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4108A709-E250-4F7E-B337-81F5A0ABAC8F}" xr6:coauthVersionLast="47" xr6:coauthVersionMax="47" xr10:uidLastSave="{00000000-0000-0000-0000-000000000000}"/>
  <bookViews>
    <workbookView xWindow="-120" yWindow="-120" windowWidth="29040" windowHeight="15840" xr2:uid="{7492CE12-878F-4CB6-A4CF-B364613496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70" i="1" l="1"/>
  <c r="AS270" i="1"/>
  <c r="AT269" i="1"/>
  <c r="AS269" i="1"/>
  <c r="AT268" i="1"/>
  <c r="AS268" i="1"/>
  <c r="AT267" i="1"/>
  <c r="AS267" i="1"/>
  <c r="AT266" i="1"/>
  <c r="AS266" i="1"/>
  <c r="AT265" i="1"/>
  <c r="AS265" i="1"/>
  <c r="AT264" i="1"/>
  <c r="AS264" i="1"/>
  <c r="AR264" i="1"/>
  <c r="AT263" i="1"/>
  <c r="AS263" i="1"/>
  <c r="AR263" i="1"/>
  <c r="AT262" i="1"/>
  <c r="AS262" i="1"/>
  <c r="AT261" i="1"/>
  <c r="AS261" i="1"/>
  <c r="AT260" i="1"/>
  <c r="AS260" i="1"/>
  <c r="AR260" i="1"/>
  <c r="AT259" i="1"/>
  <c r="AS259" i="1"/>
  <c r="AR259" i="1"/>
  <c r="AT258" i="1"/>
  <c r="AS258" i="1"/>
  <c r="AT257" i="1"/>
  <c r="AS257" i="1"/>
  <c r="AT256" i="1"/>
  <c r="AS256" i="1"/>
  <c r="AT255" i="1"/>
  <c r="AS255" i="1"/>
  <c r="AT254" i="1"/>
  <c r="AS254" i="1"/>
  <c r="AT253" i="1"/>
  <c r="AS253" i="1"/>
  <c r="AT252" i="1"/>
  <c r="AS252" i="1"/>
  <c r="AR252" i="1"/>
  <c r="AT251" i="1"/>
  <c r="AS251" i="1"/>
  <c r="AT250" i="1"/>
  <c r="AS250" i="1"/>
  <c r="AR250" i="1"/>
  <c r="AT249" i="1"/>
  <c r="AS249" i="1"/>
  <c r="AR249" i="1"/>
  <c r="AT248" i="1"/>
  <c r="AS248" i="1"/>
  <c r="AR248" i="1"/>
  <c r="AT247" i="1"/>
  <c r="AS247" i="1"/>
  <c r="AR247" i="1"/>
  <c r="AT246" i="1"/>
  <c r="AS246" i="1"/>
  <c r="AT245" i="1"/>
  <c r="AS245" i="1"/>
  <c r="AT244" i="1"/>
  <c r="AS244" i="1"/>
  <c r="AR244" i="1"/>
  <c r="AT243" i="1"/>
  <c r="AS243" i="1"/>
  <c r="AT242" i="1"/>
  <c r="AS242" i="1"/>
  <c r="AT241" i="1"/>
  <c r="AS241" i="1"/>
  <c r="AR241" i="1"/>
  <c r="AT240" i="1"/>
  <c r="AS240" i="1"/>
  <c r="AR240" i="1"/>
  <c r="AT239" i="1"/>
  <c r="AS239" i="1"/>
  <c r="AT238" i="1"/>
  <c r="AS238" i="1"/>
  <c r="AR238" i="1"/>
  <c r="AT237" i="1"/>
  <c r="AS237" i="1"/>
  <c r="AT236" i="1"/>
  <c r="AS236" i="1"/>
  <c r="AT235" i="1"/>
  <c r="AS235" i="1"/>
  <c r="AR235" i="1"/>
  <c r="AT234" i="1"/>
  <c r="AS234" i="1"/>
  <c r="AR234" i="1"/>
  <c r="AT233" i="1"/>
  <c r="AS233" i="1"/>
  <c r="AR233" i="1"/>
  <c r="AT232" i="1"/>
  <c r="AS232" i="1"/>
  <c r="AT231" i="1"/>
  <c r="AS231" i="1"/>
  <c r="AT230" i="1"/>
  <c r="AS230" i="1"/>
  <c r="AT229" i="1"/>
  <c r="AS229" i="1"/>
  <c r="AT228" i="1"/>
  <c r="AS228" i="1"/>
  <c r="AT227" i="1"/>
  <c r="AS227" i="1"/>
  <c r="AT226" i="1"/>
  <c r="AS226" i="1"/>
  <c r="AR226" i="1"/>
  <c r="AT225" i="1"/>
  <c r="AS225" i="1"/>
  <c r="AT224" i="1"/>
  <c r="AS224" i="1"/>
  <c r="AT223" i="1"/>
  <c r="AS223" i="1"/>
  <c r="AT222" i="1"/>
  <c r="AS222" i="1"/>
  <c r="AT221" i="1"/>
  <c r="AS221" i="1"/>
  <c r="AR221" i="1"/>
  <c r="AT220" i="1"/>
  <c r="AS220" i="1"/>
  <c r="AR220" i="1"/>
  <c r="AT219" i="1"/>
  <c r="AS219" i="1"/>
  <c r="AT218" i="1"/>
  <c r="AS218" i="1"/>
  <c r="AT217" i="1"/>
  <c r="AS217" i="1"/>
  <c r="AT216" i="1"/>
  <c r="AS216" i="1"/>
  <c r="AT215" i="1"/>
  <c r="AS215" i="1"/>
  <c r="AT214" i="1"/>
  <c r="AS214" i="1"/>
  <c r="AT213" i="1"/>
  <c r="AS213" i="1"/>
  <c r="AT212" i="1"/>
  <c r="AS212" i="1"/>
  <c r="AT211" i="1"/>
  <c r="AS211" i="1"/>
  <c r="AT210" i="1"/>
  <c r="AS210" i="1"/>
  <c r="AT209" i="1"/>
  <c r="AS209" i="1"/>
  <c r="AR209" i="1"/>
  <c r="AT208" i="1"/>
  <c r="AS208" i="1"/>
  <c r="AT207" i="1"/>
  <c r="AS207" i="1"/>
  <c r="AR207" i="1"/>
  <c r="AT206" i="1"/>
  <c r="AS206" i="1"/>
  <c r="AT205" i="1"/>
  <c r="AS205" i="1"/>
  <c r="AR205" i="1"/>
  <c r="AT204" i="1"/>
  <c r="AS204" i="1"/>
  <c r="AT203" i="1"/>
  <c r="AS203" i="1"/>
  <c r="AT202" i="1"/>
  <c r="AS202" i="1"/>
  <c r="AR202" i="1"/>
  <c r="AT201" i="1"/>
  <c r="AS201" i="1"/>
  <c r="AT200" i="1"/>
  <c r="AS200" i="1"/>
  <c r="AR200" i="1"/>
  <c r="AT199" i="1"/>
  <c r="AS199" i="1"/>
  <c r="AT198" i="1"/>
  <c r="AS198" i="1"/>
  <c r="AR198" i="1"/>
  <c r="AT197" i="1"/>
  <c r="AS197" i="1"/>
  <c r="AT196" i="1"/>
  <c r="AS196" i="1"/>
  <c r="AT195" i="1"/>
  <c r="AS195" i="1"/>
  <c r="AR195" i="1"/>
  <c r="AT194" i="1"/>
  <c r="AS194" i="1"/>
  <c r="AT193" i="1"/>
  <c r="AS193" i="1"/>
  <c r="AT192" i="1"/>
  <c r="AS192" i="1"/>
  <c r="AR192" i="1"/>
  <c r="AT191" i="1"/>
  <c r="AS191" i="1"/>
  <c r="AR191" i="1"/>
  <c r="AT190" i="1"/>
  <c r="AS190" i="1"/>
  <c r="AT189" i="1"/>
  <c r="AS189" i="1"/>
  <c r="AT188" i="1"/>
  <c r="AS188" i="1"/>
  <c r="AT187" i="1"/>
  <c r="AS187" i="1"/>
  <c r="AT186" i="1"/>
  <c r="AS186" i="1"/>
  <c r="AR186" i="1"/>
  <c r="AT185" i="1"/>
  <c r="AS185" i="1"/>
  <c r="AT184" i="1"/>
  <c r="AS184" i="1"/>
  <c r="AR184" i="1"/>
  <c r="AT183" i="1"/>
  <c r="AS183" i="1"/>
  <c r="AT182" i="1"/>
  <c r="AS182" i="1"/>
  <c r="AT181" i="1"/>
  <c r="AS181" i="1"/>
  <c r="AT180" i="1"/>
  <c r="AS180" i="1"/>
  <c r="AT179" i="1"/>
  <c r="AS179" i="1"/>
  <c r="AR179" i="1"/>
  <c r="AT178" i="1"/>
  <c r="AS178" i="1"/>
  <c r="AT177" i="1"/>
  <c r="AS177" i="1"/>
  <c r="AT176" i="1"/>
  <c r="AS176" i="1"/>
  <c r="AT175" i="1"/>
  <c r="AS175" i="1"/>
  <c r="AT174" i="1"/>
  <c r="AS174" i="1"/>
  <c r="AR174" i="1"/>
  <c r="AT173" i="1"/>
  <c r="AS173" i="1"/>
  <c r="AR173" i="1"/>
  <c r="AT172" i="1"/>
  <c r="AS172" i="1"/>
  <c r="AT171" i="1"/>
  <c r="AS171" i="1"/>
  <c r="AT170" i="1"/>
  <c r="AS170" i="1"/>
  <c r="AR170" i="1"/>
  <c r="AT169" i="1"/>
  <c r="AS169" i="1"/>
  <c r="AT168" i="1"/>
  <c r="AS168" i="1"/>
  <c r="AR168" i="1"/>
  <c r="AT167" i="1"/>
  <c r="AS167" i="1"/>
  <c r="AR167" i="1"/>
  <c r="AT166" i="1"/>
  <c r="AS166" i="1"/>
  <c r="AR166" i="1"/>
  <c r="AT165" i="1"/>
  <c r="AS165" i="1"/>
  <c r="AR165" i="1"/>
  <c r="AT164" i="1"/>
  <c r="AS164" i="1"/>
  <c r="AT163" i="1"/>
  <c r="AS163" i="1"/>
  <c r="AR163" i="1"/>
  <c r="AT162" i="1"/>
  <c r="AS162" i="1"/>
  <c r="AR162" i="1"/>
  <c r="AT161" i="1"/>
  <c r="AS161" i="1"/>
  <c r="AT160" i="1"/>
  <c r="AS160" i="1"/>
  <c r="AT159" i="1"/>
  <c r="AS159" i="1"/>
  <c r="AR159" i="1"/>
  <c r="AT158" i="1"/>
  <c r="AS158" i="1"/>
  <c r="AR158" i="1"/>
  <c r="AT157" i="1"/>
  <c r="AS157" i="1"/>
  <c r="AR157" i="1"/>
  <c r="AT156" i="1"/>
  <c r="AS156" i="1"/>
  <c r="AT155" i="1"/>
  <c r="AS155" i="1"/>
  <c r="AT154" i="1"/>
  <c r="AS154" i="1"/>
  <c r="AR154" i="1"/>
  <c r="AT153" i="1"/>
  <c r="AS153" i="1"/>
  <c r="AR153" i="1"/>
  <c r="AT152" i="1"/>
  <c r="AS152" i="1"/>
  <c r="AT151" i="1"/>
  <c r="AS151" i="1"/>
  <c r="AR151" i="1"/>
  <c r="AT150" i="1"/>
  <c r="AS150" i="1"/>
  <c r="AR150" i="1"/>
  <c r="AT149" i="1"/>
  <c r="AS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T143" i="1"/>
  <c r="AS143" i="1"/>
  <c r="AT142" i="1"/>
  <c r="AS142" i="1"/>
  <c r="AT141" i="1"/>
  <c r="AS141" i="1"/>
  <c r="AR141" i="1"/>
  <c r="AT140" i="1"/>
  <c r="AS140" i="1"/>
  <c r="AT139" i="1"/>
  <c r="AS139" i="1"/>
  <c r="AT138" i="1"/>
  <c r="AS138" i="1"/>
  <c r="AT137" i="1"/>
  <c r="AS137" i="1"/>
  <c r="AT136" i="1"/>
  <c r="AS136" i="1"/>
  <c r="AR136" i="1"/>
  <c r="AT135" i="1"/>
  <c r="AS135" i="1"/>
  <c r="AT134" i="1"/>
  <c r="AS134" i="1"/>
  <c r="AT133" i="1"/>
  <c r="AS133" i="1"/>
  <c r="AR133" i="1"/>
  <c r="AT132" i="1"/>
  <c r="AS132" i="1"/>
  <c r="AR132" i="1"/>
  <c r="AT131" i="1"/>
  <c r="AS131" i="1"/>
  <c r="AT130" i="1"/>
  <c r="AS130" i="1"/>
  <c r="AT129" i="1"/>
  <c r="AS129" i="1"/>
  <c r="AT128" i="1"/>
  <c r="AS128" i="1"/>
  <c r="AT127" i="1"/>
  <c r="AS127" i="1"/>
  <c r="AR127" i="1"/>
  <c r="AT126" i="1"/>
  <c r="AS126" i="1"/>
  <c r="AT125" i="1"/>
  <c r="AS125" i="1"/>
  <c r="AR125" i="1"/>
  <c r="AT124" i="1"/>
  <c r="AS124" i="1"/>
  <c r="AT123" i="1"/>
  <c r="AS123" i="1"/>
  <c r="AR123" i="1"/>
  <c r="AT122" i="1"/>
  <c r="AS122" i="1"/>
  <c r="AR122" i="1"/>
  <c r="AT121" i="1"/>
  <c r="AS121" i="1"/>
  <c r="AT120" i="1"/>
  <c r="AS120" i="1"/>
  <c r="AR120" i="1"/>
  <c r="AT119" i="1"/>
  <c r="AS119" i="1"/>
  <c r="AT118" i="1"/>
  <c r="AS118" i="1"/>
  <c r="AR118" i="1"/>
  <c r="AT117" i="1"/>
  <c r="AS117" i="1"/>
  <c r="AR117" i="1"/>
  <c r="AT116" i="1"/>
  <c r="AS116" i="1"/>
  <c r="AR116" i="1"/>
  <c r="AT115" i="1"/>
  <c r="AS115" i="1"/>
  <c r="AR115" i="1"/>
  <c r="AT114" i="1"/>
  <c r="AS114" i="1"/>
  <c r="AT113" i="1"/>
  <c r="AS113" i="1"/>
  <c r="AT112" i="1"/>
  <c r="AS112" i="1"/>
  <c r="AR112" i="1"/>
  <c r="AT111" i="1"/>
  <c r="AS111" i="1"/>
  <c r="AR111" i="1"/>
  <c r="AT110" i="1"/>
  <c r="AS110" i="1"/>
  <c r="AT109" i="1"/>
  <c r="AS109" i="1"/>
  <c r="AT108" i="1"/>
  <c r="AS108" i="1"/>
  <c r="AT107" i="1"/>
  <c r="AS107" i="1"/>
  <c r="AR107" i="1"/>
  <c r="AT106" i="1"/>
  <c r="AS106" i="1"/>
  <c r="AT105" i="1"/>
  <c r="AS105" i="1"/>
  <c r="AR105" i="1"/>
  <c r="AT104" i="1"/>
  <c r="AS104" i="1"/>
  <c r="AR104" i="1"/>
  <c r="AT103" i="1"/>
  <c r="AS103" i="1"/>
  <c r="AT102" i="1"/>
  <c r="AS102" i="1"/>
  <c r="AT101" i="1"/>
  <c r="AS101" i="1"/>
  <c r="AR101" i="1"/>
  <c r="AT100" i="1"/>
  <c r="AS100" i="1"/>
  <c r="AT99" i="1"/>
  <c r="AS99" i="1"/>
  <c r="AT98" i="1"/>
  <c r="AS98" i="1"/>
  <c r="AT97" i="1"/>
  <c r="AS97" i="1"/>
  <c r="AT96" i="1"/>
  <c r="AS96" i="1"/>
  <c r="AR96" i="1"/>
  <c r="AT95" i="1"/>
  <c r="AS95" i="1"/>
  <c r="AR95" i="1"/>
  <c r="AT94" i="1"/>
  <c r="AS94" i="1"/>
  <c r="AR94" i="1"/>
  <c r="AT93" i="1"/>
  <c r="AS93" i="1"/>
  <c r="AT92" i="1"/>
  <c r="AS92" i="1"/>
  <c r="AT91" i="1"/>
  <c r="AS91" i="1"/>
  <c r="AR91" i="1"/>
  <c r="AT90" i="1"/>
  <c r="AS90" i="1"/>
  <c r="AT89" i="1"/>
  <c r="AS89" i="1"/>
  <c r="AT88" i="1"/>
  <c r="AS88" i="1"/>
  <c r="AR88" i="1"/>
  <c r="AT87" i="1"/>
  <c r="AS87" i="1"/>
  <c r="AT86" i="1"/>
  <c r="AS86" i="1"/>
  <c r="AT85" i="1"/>
  <c r="AS85" i="1"/>
  <c r="AT84" i="1"/>
  <c r="AS84" i="1"/>
  <c r="AT83" i="1"/>
  <c r="AS83" i="1"/>
  <c r="AT82" i="1"/>
  <c r="AS82" i="1"/>
  <c r="AT81" i="1"/>
  <c r="AS81" i="1"/>
  <c r="AT80" i="1"/>
  <c r="AS80" i="1"/>
  <c r="AR80" i="1"/>
  <c r="AT79" i="1"/>
  <c r="AS79" i="1"/>
  <c r="AT78" i="1"/>
  <c r="AS78" i="1"/>
  <c r="AR78" i="1"/>
  <c r="AT77" i="1"/>
  <c r="AS77" i="1"/>
  <c r="AT76" i="1"/>
  <c r="AS76" i="1"/>
  <c r="AT75" i="1"/>
  <c r="AS75" i="1"/>
  <c r="AT74" i="1"/>
  <c r="AS74" i="1"/>
  <c r="AT73" i="1"/>
  <c r="AS73" i="1"/>
  <c r="AT72" i="1"/>
  <c r="AS72" i="1"/>
  <c r="AR72" i="1"/>
  <c r="AT71" i="1"/>
  <c r="AS71" i="1"/>
  <c r="AT70" i="1"/>
  <c r="AS70" i="1"/>
  <c r="AT69" i="1"/>
  <c r="AS69" i="1"/>
  <c r="AT68" i="1"/>
  <c r="AS68" i="1"/>
  <c r="AT67" i="1"/>
  <c r="AS67" i="1"/>
  <c r="AR67" i="1"/>
  <c r="AT66" i="1"/>
  <c r="AS66" i="1"/>
  <c r="AR66" i="1"/>
  <c r="AT65" i="1"/>
  <c r="AS65" i="1"/>
  <c r="AT64" i="1"/>
  <c r="AS64" i="1"/>
  <c r="AT63" i="1"/>
  <c r="AS63" i="1"/>
  <c r="AR63" i="1"/>
  <c r="AT62" i="1"/>
  <c r="AS62" i="1"/>
  <c r="AT61" i="1"/>
  <c r="AS61" i="1"/>
  <c r="AT60" i="1"/>
  <c r="AS60" i="1"/>
  <c r="AR60" i="1"/>
  <c r="AT59" i="1"/>
  <c r="AS59" i="1"/>
  <c r="AT58" i="1"/>
  <c r="AS58" i="1"/>
  <c r="AR58" i="1"/>
  <c r="AT57" i="1"/>
  <c r="AS57" i="1"/>
  <c r="AT56" i="1"/>
  <c r="AS56" i="1"/>
  <c r="AR56" i="1"/>
  <c r="AT55" i="1"/>
  <c r="AS55" i="1"/>
  <c r="AR55" i="1"/>
  <c r="AT54" i="1"/>
  <c r="AS54" i="1"/>
  <c r="AR54" i="1"/>
  <c r="AT53" i="1"/>
  <c r="AS53" i="1"/>
  <c r="AT52" i="1"/>
  <c r="AS52" i="1"/>
  <c r="AT51" i="1"/>
  <c r="AS51" i="1"/>
  <c r="AR51" i="1"/>
  <c r="AT50" i="1"/>
  <c r="AS50" i="1"/>
  <c r="AR50" i="1"/>
  <c r="AT49" i="1"/>
  <c r="AS49" i="1"/>
  <c r="AR49" i="1"/>
  <c r="AT48" i="1"/>
  <c r="AS48" i="1"/>
  <c r="AT47" i="1"/>
  <c r="AS47" i="1"/>
  <c r="AR47" i="1"/>
  <c r="AT46" i="1"/>
  <c r="AS46" i="1"/>
  <c r="AR46" i="1"/>
  <c r="AT45" i="1"/>
  <c r="AS45" i="1"/>
  <c r="AR45" i="1"/>
  <c r="AT44" i="1"/>
  <c r="AS44" i="1"/>
  <c r="AT43" i="1"/>
  <c r="AS43" i="1"/>
  <c r="AT42" i="1"/>
  <c r="AS42" i="1"/>
  <c r="AR42" i="1"/>
  <c r="AT41" i="1"/>
  <c r="AS41" i="1"/>
  <c r="AR41" i="1"/>
  <c r="AT40" i="1"/>
  <c r="AS40" i="1"/>
  <c r="AT39" i="1"/>
  <c r="AS39" i="1"/>
  <c r="AR39" i="1"/>
  <c r="AT38" i="1"/>
  <c r="AS38" i="1"/>
  <c r="AR38" i="1"/>
  <c r="AT37" i="1"/>
  <c r="AS37" i="1"/>
  <c r="AR37" i="1"/>
  <c r="AT36" i="1"/>
  <c r="AS36" i="1"/>
  <c r="AT35" i="1"/>
  <c r="AS35" i="1"/>
  <c r="AR35" i="1"/>
  <c r="AT34" i="1"/>
  <c r="AS34" i="1"/>
  <c r="AR34" i="1"/>
  <c r="AT33" i="1"/>
  <c r="AS33" i="1"/>
  <c r="AR33" i="1"/>
  <c r="AT32" i="1"/>
  <c r="AS32" i="1"/>
  <c r="AR32" i="1"/>
  <c r="AT31" i="1"/>
  <c r="AS31" i="1"/>
  <c r="AT30" i="1"/>
  <c r="AS30" i="1"/>
  <c r="AR30" i="1"/>
  <c r="AT29" i="1"/>
  <c r="AS29" i="1"/>
  <c r="AR29" i="1"/>
  <c r="AT28" i="1"/>
  <c r="AS28" i="1"/>
  <c r="AR28" i="1"/>
  <c r="AT27" i="1"/>
  <c r="AS27" i="1"/>
  <c r="AT26" i="1"/>
  <c r="AS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T20" i="1"/>
  <c r="AS20" i="1"/>
  <c r="AR20" i="1"/>
  <c r="AT19" i="1"/>
  <c r="AS19" i="1"/>
  <c r="AR19" i="1"/>
  <c r="AT18" i="1"/>
  <c r="AS18" i="1"/>
  <c r="AR18" i="1"/>
  <c r="AT17" i="1"/>
  <c r="AS17" i="1"/>
  <c r="AT16" i="1"/>
  <c r="AS16" i="1"/>
  <c r="AR16" i="1"/>
  <c r="AT15" i="1"/>
  <c r="AS15" i="1"/>
  <c r="AR15" i="1"/>
  <c r="AT14" i="1"/>
  <c r="AS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R3" i="1"/>
  <c r="AT2" i="1"/>
  <c r="AS2" i="1"/>
</calcChain>
</file>

<file path=xl/sharedStrings.xml><?xml version="1.0" encoding="utf-8"?>
<sst xmlns="http://schemas.openxmlformats.org/spreadsheetml/2006/main" count="8167" uniqueCount="3684">
  <si>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</si>
  <si>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</si>
  <si>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</si>
  <si>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</si>
  <si>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</si>
  <si>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</si>
  <si>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</si>
  <si>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</si>
  <si>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</si>
  <si>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</si>
  <si>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</si>
  <si>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</si>
  <si>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</si>
  <si>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</si>
  <si>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</si>
  <si>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</si>
  <si>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</si>
  <si>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</si>
  <si>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</si>
  <si>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</si>
  <si>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</si>
  <si>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</si>
  <si>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</si>
  <si>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</si>
  <si>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</si>
  <si>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</si>
  <si>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</si>
  <si>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</si>
  <si>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</si>
  <si>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</si>
  <si>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</si>
  <si>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</si>
  <si>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</si>
  <si>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</si>
  <si>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</si>
  <si>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</si>
  <si>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</si>
  <si>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</si>
  <si>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</si>
  <si>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</si>
  <si>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</si>
  <si>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</si>
  <si>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</si>
  <si>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</si>
  <si>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</si>
  <si>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</si>
  <si>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</si>
  <si>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</si>
  <si>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</si>
  <si>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</si>
  <si>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</si>
  <si>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</si>
  <si>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</si>
  <si>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</si>
  <si>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</si>
  <si>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T19 .G54 1969</t>
  </si>
  <si>
    <t>0                      T  0019000G  54          1969</t>
  </si>
  <si>
    <t>Mechanization takes command : a contribution to anonymous history / Siegfried Giedion.</t>
  </si>
  <si>
    <t>No</t>
  </si>
  <si>
    <t>1</t>
  </si>
  <si>
    <t>0</t>
  </si>
  <si>
    <t>Giedion, S. (Sigfried), 1888-1968.</t>
  </si>
  <si>
    <t>New York : Norton, 1969.</t>
  </si>
  <si>
    <t>1969</t>
  </si>
  <si>
    <t>eng</t>
  </si>
  <si>
    <t>nyu</t>
  </si>
  <si>
    <t>The Norton Library</t>
  </si>
  <si>
    <t xml:space="preserve">T  </t>
  </si>
  <si>
    <t>2007-11-01</t>
  </si>
  <si>
    <t>15726741:eng</t>
  </si>
  <si>
    <t>2356796</t>
  </si>
  <si>
    <t>991005131109702656</t>
  </si>
  <si>
    <t>2268668370002656</t>
  </si>
  <si>
    <t>BOOK</t>
  </si>
  <si>
    <t>9780393004892</t>
  </si>
  <si>
    <t>32285005364111</t>
  </si>
  <si>
    <t>893628564</t>
  </si>
  <si>
    <t>T23 .T4</t>
  </si>
  <si>
    <t>0                      T  0023000T  4</t>
  </si>
  <si>
    <t>Technology transfer and U.S. foreign policy / [edited by] Henry R. Nau.</t>
  </si>
  <si>
    <t>New York : Praeger, 1976.</t>
  </si>
  <si>
    <t>1976</t>
  </si>
  <si>
    <t>Praeger special studies in U.S. economic, social, and political issues</t>
  </si>
  <si>
    <t>2001-03-14</t>
  </si>
  <si>
    <t>1993-03-25</t>
  </si>
  <si>
    <t>Yes</t>
  </si>
  <si>
    <t>3988685:eng</t>
  </si>
  <si>
    <t>2213101</t>
  </si>
  <si>
    <t>991004051249702656</t>
  </si>
  <si>
    <t>2256115200002656</t>
  </si>
  <si>
    <t>9780275567903</t>
  </si>
  <si>
    <t>32285001568079</t>
  </si>
  <si>
    <t>893693449</t>
  </si>
  <si>
    <t>T49.5 .S575 1989</t>
  </si>
  <si>
    <t>0                      T  0049500S  575         1989</t>
  </si>
  <si>
    <t>Buckminster Fuller's universe : an appreciation / Lloyd Steven Sieden ; foreword by Norman Cousins.</t>
  </si>
  <si>
    <t>Sieden, Lloyd Steven.</t>
  </si>
  <si>
    <t>New York : Plenum Press, c1989.</t>
  </si>
  <si>
    <t>1989</t>
  </si>
  <si>
    <t>1995-04-19</t>
  </si>
  <si>
    <t>1992-11-30</t>
  </si>
  <si>
    <t>836797557:eng</t>
  </si>
  <si>
    <t>18963281</t>
  </si>
  <si>
    <t>991001420149702656</t>
  </si>
  <si>
    <t>2263185770002656</t>
  </si>
  <si>
    <t>9780306431784</t>
  </si>
  <si>
    <t>32285001409894</t>
  </si>
  <si>
    <t>893703024</t>
  </si>
  <si>
    <t>T57.6 .H49 1982</t>
  </si>
  <si>
    <t>0                      T  0057600H  49          1982</t>
  </si>
  <si>
    <t>Stochastic models in operations research / Daniel P. Heyman, Matthew J. Sobel.</t>
  </si>
  <si>
    <t>V.2</t>
  </si>
  <si>
    <t>Heyman, Daniel P.</t>
  </si>
  <si>
    <t>New York : McGraw-Hill, c1982-c1984.</t>
  </si>
  <si>
    <t>1982</t>
  </si>
  <si>
    <t>McGraw-Hill series in quantitative methods for management</t>
  </si>
  <si>
    <t>2007-08-22</t>
  </si>
  <si>
    <t>405466:eng</t>
  </si>
  <si>
    <t>7811659</t>
  </si>
  <si>
    <t>991005163579702656</t>
  </si>
  <si>
    <t>2256645180002656</t>
  </si>
  <si>
    <t>9780070286313</t>
  </si>
  <si>
    <t>32285001568350</t>
  </si>
  <si>
    <t>893320138</t>
  </si>
  <si>
    <t>V.1</t>
  </si>
  <si>
    <t>32285001568343</t>
  </si>
  <si>
    <t>893350841</t>
  </si>
  <si>
    <t>T57.6 .T3 1971</t>
  </si>
  <si>
    <t>0                      T  0057600T  3           1971</t>
  </si>
  <si>
    <t>Operations research : an introduction / [by] Hamdy A. Taha.</t>
  </si>
  <si>
    <t>Taha, Hamdy A.</t>
  </si>
  <si>
    <t>New York : Macmillan, [1971]</t>
  </si>
  <si>
    <t>1971</t>
  </si>
  <si>
    <t>1992-04-23</t>
  </si>
  <si>
    <t>1990-10-22</t>
  </si>
  <si>
    <t>2908839126:eng</t>
  </si>
  <si>
    <t>127813</t>
  </si>
  <si>
    <t>991000725979702656</t>
  </si>
  <si>
    <t>2261461340002656</t>
  </si>
  <si>
    <t>32285000351592</t>
  </si>
  <si>
    <t>893432240</t>
  </si>
  <si>
    <t>T57.74 .C54 1983</t>
  </si>
  <si>
    <t>0                      T  0057740C  54          1983</t>
  </si>
  <si>
    <t>Linear programming / Vašek Chvátal.</t>
  </si>
  <si>
    <t>Chvátal, Vašek, 1946-</t>
  </si>
  <si>
    <t>New York : W.H. Freeman, c1983.</t>
  </si>
  <si>
    <t>1983</t>
  </si>
  <si>
    <t>A Series of books in the mathematical sciences</t>
  </si>
  <si>
    <t>1992-11-16</t>
  </si>
  <si>
    <t>1990-08-16</t>
  </si>
  <si>
    <t>2705402:eng</t>
  </si>
  <si>
    <t>9081664</t>
  </si>
  <si>
    <t>991000123429702656</t>
  </si>
  <si>
    <t>2256000530002656</t>
  </si>
  <si>
    <t>9780716715870</t>
  </si>
  <si>
    <t>32285000290444</t>
  </si>
  <si>
    <t>893802517</t>
  </si>
  <si>
    <t>T58 .G65</t>
  </si>
  <si>
    <t>0                      T  0058000G  65</t>
  </si>
  <si>
    <t>The psychology of management : the function of the mind in determining, teaching and installing methods of least waste / by L.M. Gilbreth.</t>
  </si>
  <si>
    <t>Gilbreth, Lillian Moller, 1878-1972.</t>
  </si>
  <si>
    <t>New York : Macmillan, 1914.</t>
  </si>
  <si>
    <t>1914</t>
  </si>
  <si>
    <t>1999-06-22</t>
  </si>
  <si>
    <t>1993-04-20</t>
  </si>
  <si>
    <t>1682569:eng</t>
  </si>
  <si>
    <t>16688134</t>
  </si>
  <si>
    <t>991001133689702656</t>
  </si>
  <si>
    <t>2270801870002656</t>
  </si>
  <si>
    <t>32285001621548</t>
  </si>
  <si>
    <t>893778584</t>
  </si>
  <si>
    <t>T58.6 .K7</t>
  </si>
  <si>
    <t>0                      T  0058600K  7</t>
  </si>
  <si>
    <t>Computer-based management information systems [by] Leonard I. Krauss.</t>
  </si>
  <si>
    <t>Krauss, Leonard I.</t>
  </si>
  <si>
    <t>[New York] American Management Association [1970]</t>
  </si>
  <si>
    <t>1970</t>
  </si>
  <si>
    <t>1998-07-16</t>
  </si>
  <si>
    <t>1997-08-13</t>
  </si>
  <si>
    <t>1167777:eng</t>
  </si>
  <si>
    <t>100408</t>
  </si>
  <si>
    <t>991000610549702656</t>
  </si>
  <si>
    <t>2258364830002656</t>
  </si>
  <si>
    <t>9780814452233</t>
  </si>
  <si>
    <t>32285003108700</t>
  </si>
  <si>
    <t>893255564</t>
  </si>
  <si>
    <t>TA1660 .L37 v...</t>
  </si>
  <si>
    <t>0                      TA 1660000L  37                                                      v...</t>
  </si>
  <si>
    <t>Laser applications / edited by Monte Ross. Contributors: Frederick Aronowitz [and others]</t>
  </si>
  <si>
    <t>New York : Academic Press, 1971-</t>
  </si>
  <si>
    <t xml:space="preserve">TA </t>
  </si>
  <si>
    <t>1998-11-29</t>
  </si>
  <si>
    <t>1993-05-12</t>
  </si>
  <si>
    <t>2863454369:eng</t>
  </si>
  <si>
    <t>938787405</t>
  </si>
  <si>
    <t>991001218449702656</t>
  </si>
  <si>
    <t>2267175950002656</t>
  </si>
  <si>
    <t>9780124319011</t>
  </si>
  <si>
    <t>32285001665610</t>
  </si>
  <si>
    <t>893872379</t>
  </si>
  <si>
    <t>TA1673 .L34 1982</t>
  </si>
  <si>
    <t>0                      TA 1673000L  34          1982</t>
  </si>
  <si>
    <t>Laser annealing of semiconductors / edited by J.M. Poate, James W. Mayer.</t>
  </si>
  <si>
    <t>New York : Academic Press, 1982.</t>
  </si>
  <si>
    <t>1997-01-20</t>
  </si>
  <si>
    <t>352279008:eng</t>
  </si>
  <si>
    <t>8476544</t>
  </si>
  <si>
    <t>991005249499702656</t>
  </si>
  <si>
    <t>2257656400002656</t>
  </si>
  <si>
    <t>9780125588201</t>
  </si>
  <si>
    <t>32285001665628</t>
  </si>
  <si>
    <t>893242437</t>
  </si>
  <si>
    <t>TA1695 .E92 1983</t>
  </si>
  <si>
    <t>0                      TA 1695000E  92          1983</t>
  </si>
  <si>
    <t>Excimer lasers--1983 : (OSA, Lake Tahoe, Nevada) / edited by C.K. Rhodes, H. Egger and H. Pummer.</t>
  </si>
  <si>
    <t>New York : American Institute of Physics, 1983.</t>
  </si>
  <si>
    <t>AIP conference proceedings ; no. 100</t>
  </si>
  <si>
    <t>2003-11-25</t>
  </si>
  <si>
    <t>352286814:eng</t>
  </si>
  <si>
    <t>10431103</t>
  </si>
  <si>
    <t>991000249999702656</t>
  </si>
  <si>
    <t>2270990420002656</t>
  </si>
  <si>
    <t>9780883181997</t>
  </si>
  <si>
    <t>32285001665669</t>
  </si>
  <si>
    <t>893527925</t>
  </si>
  <si>
    <t>TA347.F5 H56</t>
  </si>
  <si>
    <t>0                      TA 0347000F  5                  H  56</t>
  </si>
  <si>
    <t>Finite element programming / E. Hinton and D. R. J. Owen.</t>
  </si>
  <si>
    <t>Hinton, E. (Ernest)</t>
  </si>
  <si>
    <t>London ; New York : Academic Press, 1977.</t>
  </si>
  <si>
    <t>1977</t>
  </si>
  <si>
    <t>enk</t>
  </si>
  <si>
    <t>Computational mathematics and applications</t>
  </si>
  <si>
    <t>1998-10-16</t>
  </si>
  <si>
    <t>1997-08-14</t>
  </si>
  <si>
    <t>570494:eng</t>
  </si>
  <si>
    <t>3326832</t>
  </si>
  <si>
    <t>991004407019702656</t>
  </si>
  <si>
    <t>2270346220002656</t>
  </si>
  <si>
    <t>9780123493507</t>
  </si>
  <si>
    <t>32285003109419</t>
  </si>
  <si>
    <t>893519611</t>
  </si>
  <si>
    <t>TA352 .R67 1983</t>
  </si>
  <si>
    <t>0                      TA 0352000R  67          1983</t>
  </si>
  <si>
    <t>Introduction to physical system dynamics / Ronald C. Rosenberg, Dean C. Karnopp.</t>
  </si>
  <si>
    <t>Rosenberg, Ronald C.</t>
  </si>
  <si>
    <t>New York : McGraw-Hill, c1983.</t>
  </si>
  <si>
    <t>McGraw-Hill series in mechanical engineering</t>
  </si>
  <si>
    <t>2005-11-01</t>
  </si>
  <si>
    <t>1993-05-04</t>
  </si>
  <si>
    <t>406310:eng</t>
  </si>
  <si>
    <t>8763706</t>
  </si>
  <si>
    <t>991000065999702656</t>
  </si>
  <si>
    <t>2265445030002656</t>
  </si>
  <si>
    <t>9780070539051</t>
  </si>
  <si>
    <t>32285001665131</t>
  </si>
  <si>
    <t>893601418</t>
  </si>
  <si>
    <t>TA418.5 .H86 1975</t>
  </si>
  <si>
    <t>0                      TA 0418500H  86          1975</t>
  </si>
  <si>
    <t>The measurement of appearance / Richard S. Hunter.</t>
  </si>
  <si>
    <t>Hunter, Richard S. (Richard Sewall), 1909-</t>
  </si>
  <si>
    <t>New York : Wiley, [1975]</t>
  </si>
  <si>
    <t>1975</t>
  </si>
  <si>
    <t>1995-02-03</t>
  </si>
  <si>
    <t>2387888:eng</t>
  </si>
  <si>
    <t>1528438</t>
  </si>
  <si>
    <t>991003802539702656</t>
  </si>
  <si>
    <t>2257397040002656</t>
  </si>
  <si>
    <t>9780471421412</t>
  </si>
  <si>
    <t>32285001665248</t>
  </si>
  <si>
    <t>893800186</t>
  </si>
  <si>
    <t>TA658.2 .J46 2004</t>
  </si>
  <si>
    <t>0                      TA 0658200J  46          2004</t>
  </si>
  <si>
    <t>Structures : from theory to practice / Alan Jennings.</t>
  </si>
  <si>
    <t>Jennings, Alan.</t>
  </si>
  <si>
    <t>London ; New York : Spon Press, 2004.</t>
  </si>
  <si>
    <t>2004</t>
  </si>
  <si>
    <t>2006-07-26</t>
  </si>
  <si>
    <t>801842881:eng</t>
  </si>
  <si>
    <t>53937829</t>
  </si>
  <si>
    <t>991004854779702656</t>
  </si>
  <si>
    <t>2262754560002656</t>
  </si>
  <si>
    <t>9780415268424</t>
  </si>
  <si>
    <t>32285005198303</t>
  </si>
  <si>
    <t>893325879</t>
  </si>
  <si>
    <t>TC774 .B68</t>
  </si>
  <si>
    <t>0                      TC 0774000B  68</t>
  </si>
  <si>
    <t>The Panama gateway / by Joseph Bucklin Bishop.</t>
  </si>
  <si>
    <t>Bishop, Joseph Bucklin, 1847-1928.</t>
  </si>
  <si>
    <t>New York : C. Scribner's Sons, 1913.</t>
  </si>
  <si>
    <t>1913</t>
  </si>
  <si>
    <t xml:space="preserve">TC </t>
  </si>
  <si>
    <t>1992-04-12</t>
  </si>
  <si>
    <t>1990-11-12</t>
  </si>
  <si>
    <t>1644110:eng</t>
  </si>
  <si>
    <t>563386</t>
  </si>
  <si>
    <t>991002995319702656</t>
  </si>
  <si>
    <t>2255729690002656</t>
  </si>
  <si>
    <t>32285000367713</t>
  </si>
  <si>
    <t>893867971</t>
  </si>
  <si>
    <t>TC774 .M62</t>
  </si>
  <si>
    <t>0                      TC 0774000M  62</t>
  </si>
  <si>
    <t>The Isthmian highway : a review of the problems of the Caribbean / by Hugh Gordon Miller with illustrations and appencices; foreword by Don Miguel Cruchaga and introduction by James M. Beck.</t>
  </si>
  <si>
    <t>Miller, Hugh Gordon, 1875-</t>
  </si>
  <si>
    <t>New York : The Macmillan company, 1929.</t>
  </si>
  <si>
    <t>1929</t>
  </si>
  <si>
    <t>1993-11-05</t>
  </si>
  <si>
    <t>1992-04-15</t>
  </si>
  <si>
    <t>1173135:eng</t>
  </si>
  <si>
    <t>2197964</t>
  </si>
  <si>
    <t>991004044839702656</t>
  </si>
  <si>
    <t>2258453860002656</t>
  </si>
  <si>
    <t>32285001061737</t>
  </si>
  <si>
    <t>893687284</t>
  </si>
  <si>
    <t>TD195.52.N72 A3523 2007</t>
  </si>
  <si>
    <t>0                      TD 0195520N  72                 A  3523        2007</t>
  </si>
  <si>
    <t>Acid rain in the Adirondacks : an environmental history / Jerry Jenkins ... [et al.].</t>
  </si>
  <si>
    <t>Ithaca : Comstock Pub. Associates/Cornell University Press, 2007.</t>
  </si>
  <si>
    <t>2007</t>
  </si>
  <si>
    <t xml:space="preserve">TD </t>
  </si>
  <si>
    <t>2008-10-13</t>
  </si>
  <si>
    <t>989538047:eng</t>
  </si>
  <si>
    <t>137325183</t>
  </si>
  <si>
    <t>991005270769702656</t>
  </si>
  <si>
    <t>2257087430002656</t>
  </si>
  <si>
    <t>9780801446511</t>
  </si>
  <si>
    <t>32285005463061</t>
  </si>
  <si>
    <t>893431147</t>
  </si>
  <si>
    <t>TD883 .B54 1998</t>
  </si>
  <si>
    <t>0                      TD 0883000B  54          1998</t>
  </si>
  <si>
    <t>What's in the air : natural and man-made air pollution / Stephen E. Blewett with Mary Embree.</t>
  </si>
  <si>
    <t>Blewett, Stephen E.</t>
  </si>
  <si>
    <t>Ventura, CA : Seaview Publishing, c1998.</t>
  </si>
  <si>
    <t>1998</t>
  </si>
  <si>
    <t>cau</t>
  </si>
  <si>
    <t>2002-10-15</t>
  </si>
  <si>
    <t>1999-10-07</t>
  </si>
  <si>
    <t>26467126:eng</t>
  </si>
  <si>
    <t>41159152</t>
  </si>
  <si>
    <t>991003021089702656</t>
  </si>
  <si>
    <t>2259726150002656</t>
  </si>
  <si>
    <t>9780964056527</t>
  </si>
  <si>
    <t>32285003593323</t>
  </si>
  <si>
    <t>893692297</t>
  </si>
  <si>
    <t>TD883 .S83 1976, v...</t>
  </si>
  <si>
    <t>0                      TD 0883000S  83          1976                                        v...</t>
  </si>
  <si>
    <t>Air pollution / edited by Arthur C. Stern.</t>
  </si>
  <si>
    <t>V.3</t>
  </si>
  <si>
    <t>Stern, Arthur C.</t>
  </si>
  <si>
    <t>New York : Academic Press, 1976-&lt;1986 &gt;</t>
  </si>
  <si>
    <t>3d. ed.</t>
  </si>
  <si>
    <t>Environmental sciences</t>
  </si>
  <si>
    <t>1995-04-13</t>
  </si>
  <si>
    <t>1993-05-20</t>
  </si>
  <si>
    <t>5090454012:eng</t>
  </si>
  <si>
    <t>3017782</t>
  </si>
  <si>
    <t>991004320889702656</t>
  </si>
  <si>
    <t>2269988440002656</t>
  </si>
  <si>
    <t>9780126666014</t>
  </si>
  <si>
    <t>32285001666303</t>
  </si>
  <si>
    <t>893235336</t>
  </si>
  <si>
    <t>V.4</t>
  </si>
  <si>
    <t>1994-03-02</t>
  </si>
  <si>
    <t>32285001666311</t>
  </si>
  <si>
    <t>893253546</t>
  </si>
  <si>
    <t>V.5</t>
  </si>
  <si>
    <t>32285001409845</t>
  </si>
  <si>
    <t>893253545</t>
  </si>
  <si>
    <t>TD883.1 .M4 1990</t>
  </si>
  <si>
    <t>0                      TD 0883100M  4           1990</t>
  </si>
  <si>
    <t>Meteorological aspects of emergency response / Mark L. Kramer, William M. Porch, editors.</t>
  </si>
  <si>
    <t>Boston, Mass. : American Meteorological Society, c1990.</t>
  </si>
  <si>
    <t>1990</t>
  </si>
  <si>
    <t>mau</t>
  </si>
  <si>
    <t>2005-05-03</t>
  </si>
  <si>
    <t>23314943:eng</t>
  </si>
  <si>
    <t>22173388</t>
  </si>
  <si>
    <t>991004522139702656</t>
  </si>
  <si>
    <t>2256448310002656</t>
  </si>
  <si>
    <t>9781878220004</t>
  </si>
  <si>
    <t>32285005034722</t>
  </si>
  <si>
    <t>893794955</t>
  </si>
  <si>
    <t>TF140.K9 A3</t>
  </si>
  <si>
    <t>0                      TF 0140000K  9                  A  3</t>
  </si>
  <si>
    <t>End of track, by James H. Kyner as told to Hawthorne Daniel. With an introd. by James C. Olson.</t>
  </si>
  <si>
    <t>Kyner, James Henry, 1846-</t>
  </si>
  <si>
    <t>[Lincoln] University of Nebraska Press, 1960 [c1937]</t>
  </si>
  <si>
    <t>1960</t>
  </si>
  <si>
    <t xml:space="preserve">xx </t>
  </si>
  <si>
    <t>A Bison book, BB101.</t>
  </si>
  <si>
    <t xml:space="preserve">TF </t>
  </si>
  <si>
    <t>2009-01-09</t>
  </si>
  <si>
    <t>2182514:eng</t>
  </si>
  <si>
    <t>1311186</t>
  </si>
  <si>
    <t>991003683769702656</t>
  </si>
  <si>
    <t>2258822270002656</t>
  </si>
  <si>
    <t>32285003140513</t>
  </si>
  <si>
    <t>893505869</t>
  </si>
  <si>
    <t>TG25.N53 T7 1979</t>
  </si>
  <si>
    <t>0                      TG 0025000N  53                 T  7           1979</t>
  </si>
  <si>
    <t>Brooklyn Bridge : fact and symbol / Alan Trachtenberg.</t>
  </si>
  <si>
    <t>Trachtenberg, Alan.</t>
  </si>
  <si>
    <t>Chicago : University of Chicago Press, 1979.</t>
  </si>
  <si>
    <t>1979</t>
  </si>
  <si>
    <t>Phoenix ed.</t>
  </si>
  <si>
    <t>ilu</t>
  </si>
  <si>
    <t>A Phoenix book ; P828</t>
  </si>
  <si>
    <t xml:space="preserve">TG </t>
  </si>
  <si>
    <t>2001-08-31</t>
  </si>
  <si>
    <t>419428:eng</t>
  </si>
  <si>
    <t>4592772</t>
  </si>
  <si>
    <t>991004685849702656</t>
  </si>
  <si>
    <t>2272474240002656</t>
  </si>
  <si>
    <t>9780226811154</t>
  </si>
  <si>
    <t>32285001666444</t>
  </si>
  <si>
    <t>893895348</t>
  </si>
  <si>
    <t>TH9445.L5 M67 1979</t>
  </si>
  <si>
    <t>0                      TH 9445000L  5                  M  67          1979</t>
  </si>
  <si>
    <t>Managing the library fire risk / by John Morris.</t>
  </si>
  <si>
    <t>Morris, John, 1912-</t>
  </si>
  <si>
    <t>[Berkeley] : University of California, 1979.</t>
  </si>
  <si>
    <t>2d ed.</t>
  </si>
  <si>
    <t xml:space="preserve">TH </t>
  </si>
  <si>
    <t>1997-11-02</t>
  </si>
  <si>
    <t>1993-05-21</t>
  </si>
  <si>
    <t>565709:eng</t>
  </si>
  <si>
    <t>4504506</t>
  </si>
  <si>
    <t>991004666889702656</t>
  </si>
  <si>
    <t>2264802660002656</t>
  </si>
  <si>
    <t>9780960227815</t>
  </si>
  <si>
    <t>32285001666618</t>
  </si>
  <si>
    <t>893436572</t>
  </si>
  <si>
    <t>TJ163.2 .I55 1981</t>
  </si>
  <si>
    <t>0                      TJ 0163200I  55          1981</t>
  </si>
  <si>
    <t>Energy in a finite world : report / by the Energy Systems Program Group of the International Institute for Applied Systems Analysis ; Wolf Häfele, program leader ; written by Jeanne Anderer with Alan McDonald and Nebojsa Nakicenovic.</t>
  </si>
  <si>
    <t>International Institute for Applied Systems Analysis. Energy Systems Program Group.</t>
  </si>
  <si>
    <t>Cambridge, Mass. : Ballinger Pub. Co., c1981.</t>
  </si>
  <si>
    <t>1981</t>
  </si>
  <si>
    <t xml:space="preserve">TJ </t>
  </si>
  <si>
    <t>2003-09-29</t>
  </si>
  <si>
    <t>4714440640:eng</t>
  </si>
  <si>
    <t>6603774</t>
  </si>
  <si>
    <t>991005012409702656</t>
  </si>
  <si>
    <t>2254711250002656</t>
  </si>
  <si>
    <t>9780844106427</t>
  </si>
  <si>
    <t>32285001666899</t>
  </si>
  <si>
    <t>893625348</t>
  </si>
  <si>
    <t>TJ163.3 .F74</t>
  </si>
  <si>
    <t>0                      TJ 0163300F  74</t>
  </si>
  <si>
    <t>The contrasumers; a citizen's guide to resource conservation / by Albert J. Fritsch.</t>
  </si>
  <si>
    <t>Fritsch, Albert J.</t>
  </si>
  <si>
    <t>New York : Praeger, 1974.</t>
  </si>
  <si>
    <t>1974</t>
  </si>
  <si>
    <t>2004-01-15</t>
  </si>
  <si>
    <t>489913833:eng</t>
  </si>
  <si>
    <t>947902</t>
  </si>
  <si>
    <t>991003408899702656</t>
  </si>
  <si>
    <t>2264696890002656</t>
  </si>
  <si>
    <t>9780275101404</t>
  </si>
  <si>
    <t>32285001667129</t>
  </si>
  <si>
    <t>893416347</t>
  </si>
  <si>
    <t>TK7885.2 .S57 1987</t>
  </si>
  <si>
    <t>0                      TK 7885200S  57          1987</t>
  </si>
  <si>
    <t>Portraits in silicon / Robert Slater.</t>
  </si>
  <si>
    <t>Slater, Robert, 1943-2014.</t>
  </si>
  <si>
    <t>Cambridge, Mass. : MIT Press, c1987.</t>
  </si>
  <si>
    <t>1987</t>
  </si>
  <si>
    <t xml:space="preserve">TK </t>
  </si>
  <si>
    <t>2003-06-09</t>
  </si>
  <si>
    <t>1992-09-01</t>
  </si>
  <si>
    <t>141386559:eng</t>
  </si>
  <si>
    <t>15630421</t>
  </si>
  <si>
    <t>991001047989702656</t>
  </si>
  <si>
    <t>2260905770002656</t>
  </si>
  <si>
    <t>9780262192620</t>
  </si>
  <si>
    <t>32285001284669</t>
  </si>
  <si>
    <t>893528621</t>
  </si>
  <si>
    <t>TL540.L49 A3</t>
  </si>
  <si>
    <t>0                      TL 0540000L  49                 A  3</t>
  </si>
  <si>
    <t>North to the Orient, by Anne Morrow Lindbergh; with maps by Charles A. Lindbergh.</t>
  </si>
  <si>
    <t>Lindbergh, Anne Morrow, 1906-2001.</t>
  </si>
  <si>
    <t>New York, Harcourt, Brace and company [c1935]</t>
  </si>
  <si>
    <t>1935</t>
  </si>
  <si>
    <t xml:space="preserve">TL </t>
  </si>
  <si>
    <t>2010-03-08</t>
  </si>
  <si>
    <t>1998-02-25</t>
  </si>
  <si>
    <t>48354389:eng</t>
  </si>
  <si>
    <t>564946</t>
  </si>
  <si>
    <t>991002996509702656</t>
  </si>
  <si>
    <t>2256815250002656</t>
  </si>
  <si>
    <t>32285003261095</t>
  </si>
  <si>
    <t>893251892</t>
  </si>
  <si>
    <t>TN291 .C37 1971</t>
  </si>
  <si>
    <t>0                      TN 0291000C  37          1971</t>
  </si>
  <si>
    <t>My land is dying / [by] Harry M. Caudill.</t>
  </si>
  <si>
    <t>Caudill, Harry M., 1922-1990.</t>
  </si>
  <si>
    <t>New York : E. P. Dutton, 1971.</t>
  </si>
  <si>
    <t>[1st ed.]</t>
  </si>
  <si>
    <t xml:space="preserve">TN </t>
  </si>
  <si>
    <t>1995-10-04</t>
  </si>
  <si>
    <t>1992-04-02</t>
  </si>
  <si>
    <t>422710702:eng</t>
  </si>
  <si>
    <t>215949</t>
  </si>
  <si>
    <t>991001286049702656</t>
  </si>
  <si>
    <t>2255716570002656</t>
  </si>
  <si>
    <t>9780525162308</t>
  </si>
  <si>
    <t>32285001032399</t>
  </si>
  <si>
    <t>893496979</t>
  </si>
  <si>
    <t>TN443.M9 G55</t>
  </si>
  <si>
    <t>0                      TN 0443000M  9                  G  55</t>
  </si>
  <si>
    <t>The war of the copper kings; builders of Butte and wolves of Wall Street, by C.B. Glasscock ...</t>
  </si>
  <si>
    <t>Glasscock, Carl B. (Carl Burgess), 1884-1942.</t>
  </si>
  <si>
    <t>Indianapolis, New York, The Bobbs-Merrill Company [c1935]</t>
  </si>
  <si>
    <t>inu</t>
  </si>
  <si>
    <t>1997-12-01</t>
  </si>
  <si>
    <t>1997-08-28</t>
  </si>
  <si>
    <t>1704424:eng</t>
  </si>
  <si>
    <t>721474</t>
  </si>
  <si>
    <t>991003196039702656</t>
  </si>
  <si>
    <t>2259102350002656</t>
  </si>
  <si>
    <t>32285003117743</t>
  </si>
  <si>
    <t>893623243</t>
  </si>
  <si>
    <t>TN870 .I58</t>
  </si>
  <si>
    <t>0                      TN 0870000I  58</t>
  </si>
  <si>
    <t>Oil and gas production : an introductory guide to production techniques and conservation methods / compiled by the Engineering Committee.</t>
  </si>
  <si>
    <t>Interstate Oil Compact Commission. Engineering Committee.</t>
  </si>
  <si>
    <t>Norman, Okla. : Published for the Interstate Oil Compact Commission by the University of Oklahoma Press, c1951.</t>
  </si>
  <si>
    <t>1951</t>
  </si>
  <si>
    <t>1st ed.</t>
  </si>
  <si>
    <t>oku</t>
  </si>
  <si>
    <t>2002-02-13</t>
  </si>
  <si>
    <t>1994-04-05</t>
  </si>
  <si>
    <t>24090367:eng</t>
  </si>
  <si>
    <t>28762830</t>
  </si>
  <si>
    <t>991002232589702656</t>
  </si>
  <si>
    <t>2259791790002656</t>
  </si>
  <si>
    <t>32285001873461</t>
  </si>
  <si>
    <t>893232713</t>
  </si>
  <si>
    <t>TN874.N78 O56 1973</t>
  </si>
  <si>
    <t>0                      TN 0874000N  78                 O  56          1973</t>
  </si>
  <si>
    <t>North Sea oil and gas; implications for future United States development [by] Irvin L. White [and others] A study sponsored by the Council on Environmental Quality.</t>
  </si>
  <si>
    <t>University of Oklahoma. Technology Assessment Group.</t>
  </si>
  <si>
    <t>Norman, University of Oklahoma Press [c1973]</t>
  </si>
  <si>
    <t>1973</t>
  </si>
  <si>
    <t>2004-04-25</t>
  </si>
  <si>
    <t>356336577:eng</t>
  </si>
  <si>
    <t>836252</t>
  </si>
  <si>
    <t>991003312639702656</t>
  </si>
  <si>
    <t>2268939420002656</t>
  </si>
  <si>
    <t>32285003118014</t>
  </si>
  <si>
    <t>893227935</t>
  </si>
  <si>
    <t>TP156.C35 C375 v...</t>
  </si>
  <si>
    <t>0                      TP 0156000C  35                 C  375                               v...</t>
  </si>
  <si>
    <t>Catalysis : science and technology / edited by John R. Anderson and Michel Boudart.</t>
  </si>
  <si>
    <t>Berlin ; New York : Springer-Verlag, 1981-</t>
  </si>
  <si>
    <t xml:space="preserve">gw </t>
  </si>
  <si>
    <t xml:space="preserve">TP </t>
  </si>
  <si>
    <t>2002-08-02</t>
  </si>
  <si>
    <t>1993-06-14</t>
  </si>
  <si>
    <t>5342885949:eng</t>
  </si>
  <si>
    <t>6917662</t>
  </si>
  <si>
    <t>991005060799702656</t>
  </si>
  <si>
    <t>2264726320002656</t>
  </si>
  <si>
    <t>9780387103532</t>
  </si>
  <si>
    <t>32285001731065</t>
  </si>
  <si>
    <t>893870449</t>
  </si>
  <si>
    <t>TP156.E6 M52</t>
  </si>
  <si>
    <t>0                      TP 0156000E  6                  M  52</t>
  </si>
  <si>
    <t>Microemulsions : theory and practice / edited by Leon M. Prince. --</t>
  </si>
  <si>
    <t>New York : Academic Press, 1977.</t>
  </si>
  <si>
    <t>2005-11-23</t>
  </si>
  <si>
    <t>409607:eng</t>
  </si>
  <si>
    <t>2873401</t>
  </si>
  <si>
    <t>991004267819702656</t>
  </si>
  <si>
    <t>2259433990002656</t>
  </si>
  <si>
    <t>9780125657501</t>
  </si>
  <si>
    <t>32285001731073</t>
  </si>
  <si>
    <t>893712356</t>
  </si>
  <si>
    <t>TP248.195.L29 B54 1995</t>
  </si>
  <si>
    <t>0                      TP 0248195L  29                 B  54          1995</t>
  </si>
  <si>
    <t>Biotechnology in Latin America : politics, impacts, and risks / edited by N. Patrick Peritore and Ana Karina Galve-Peritore.</t>
  </si>
  <si>
    <t>Wilmington, Del. : SR Books, 1995.</t>
  </si>
  <si>
    <t>1995</t>
  </si>
  <si>
    <t>deu</t>
  </si>
  <si>
    <t>Latin American silhouettes</t>
  </si>
  <si>
    <t>1999-09-14</t>
  </si>
  <si>
    <t>1996-03-01</t>
  </si>
  <si>
    <t>799499838:eng</t>
  </si>
  <si>
    <t>32468780</t>
  </si>
  <si>
    <t>991002496489702656</t>
  </si>
  <si>
    <t>2265936490002656</t>
  </si>
  <si>
    <t>9780842025560</t>
  </si>
  <si>
    <t>32285002139409</t>
  </si>
  <si>
    <t>893440215</t>
  </si>
  <si>
    <t>TP248.2 .B5744 2008</t>
  </si>
  <si>
    <t>0                      TP 0248200B  5744        2008</t>
  </si>
  <si>
    <t>Biotechnology : state of the art and prospects for development / G.E. Zaikov, editor.</t>
  </si>
  <si>
    <t>New York : Nova Science Publishers, c2008.</t>
  </si>
  <si>
    <t>2008</t>
  </si>
  <si>
    <t>2009-11-04</t>
  </si>
  <si>
    <t>3768585467:eng</t>
  </si>
  <si>
    <t>171614113</t>
  </si>
  <si>
    <t>991005338599702656</t>
  </si>
  <si>
    <t>2269098660002656</t>
  </si>
  <si>
    <t>9781604560152</t>
  </si>
  <si>
    <t>32285005549679</t>
  </si>
  <si>
    <t>893514457</t>
  </si>
  <si>
    <t>TP248.6 .F687 1999</t>
  </si>
  <si>
    <t>0                      TP 0248600F  687         1999</t>
  </si>
  <si>
    <t>Beyond evolution : the genetically altered future of plants, animals, the earth-- and humans / Michael W. Fox.</t>
  </si>
  <si>
    <t>Fox, Michael W., 1937-</t>
  </si>
  <si>
    <t>New York, N.Y. : Lyons Press, c1999.</t>
  </si>
  <si>
    <t>1999</t>
  </si>
  <si>
    <t>2004-04-20</t>
  </si>
  <si>
    <t>1999-10-13</t>
  </si>
  <si>
    <t>375570211:eng</t>
  </si>
  <si>
    <t>40830072</t>
  </si>
  <si>
    <t>991003009209702656</t>
  </si>
  <si>
    <t>2256155990002656</t>
  </si>
  <si>
    <t>9781558219014</t>
  </si>
  <si>
    <t>32285003610424</t>
  </si>
  <si>
    <t>893227579</t>
  </si>
  <si>
    <t>TP248.6 F69 1992</t>
  </si>
  <si>
    <t>0                      TP 0248600F  69          1992</t>
  </si>
  <si>
    <t>Superpigs and wondercorn : the brave new world of biotechnology and where it all may lead / Michael W. Fox.</t>
  </si>
  <si>
    <t>New York : Lyons &amp; Burford, c1992.</t>
  </si>
  <si>
    <t>1992</t>
  </si>
  <si>
    <t>1995-09-24</t>
  </si>
  <si>
    <t>1992-10-15</t>
  </si>
  <si>
    <t>28822872:eng</t>
  </si>
  <si>
    <t>26131704</t>
  </si>
  <si>
    <t>991002047379702656</t>
  </si>
  <si>
    <t>2259914100002656</t>
  </si>
  <si>
    <t>9781558211827</t>
  </si>
  <si>
    <t>32285001318178</t>
  </si>
  <si>
    <t>893603148</t>
  </si>
  <si>
    <t>TP248.65.F66 C48 2001</t>
  </si>
  <si>
    <t>0                      TP 0248650F  66                 C  48          2001</t>
  </si>
  <si>
    <t>Lords of the harvest : biotech, big money, and the future of food / Daniel Charles.</t>
  </si>
  <si>
    <t>Charles, Daniel.</t>
  </si>
  <si>
    <t>Cambridge, Mass. : Perseus Publ., 2001.</t>
  </si>
  <si>
    <t>2001</t>
  </si>
  <si>
    <t>2007-05-31</t>
  </si>
  <si>
    <t>2001-12-18</t>
  </si>
  <si>
    <t>1089578:eng</t>
  </si>
  <si>
    <t>48071336</t>
  </si>
  <si>
    <t>991003677209702656</t>
  </si>
  <si>
    <t>2256991690002656</t>
  </si>
  <si>
    <t>9780738202914</t>
  </si>
  <si>
    <t>32285004428933</t>
  </si>
  <si>
    <t>893800016</t>
  </si>
  <si>
    <t>TP248.65.F66 C85 2000</t>
  </si>
  <si>
    <t>0                      TP 0248650F  66                 C  85          2000</t>
  </si>
  <si>
    <t>Genetically engineered food : a self-defense guide for consumers / by Ronnie Cummins and Ben Lilliston ; foreword by Andrew Kimbrell.</t>
  </si>
  <si>
    <t>Cummins, Ronnie.</t>
  </si>
  <si>
    <t>New York ; Marlowe, c2000.</t>
  </si>
  <si>
    <t>2000</t>
  </si>
  <si>
    <t>2009-11-15</t>
  </si>
  <si>
    <t>2000-12-05</t>
  </si>
  <si>
    <t>1086322:eng</t>
  </si>
  <si>
    <t>43323763</t>
  </si>
  <si>
    <t>991003347799702656</t>
  </si>
  <si>
    <t>2272179570002656</t>
  </si>
  <si>
    <t>9781569246351</t>
  </si>
  <si>
    <t>32285004275169</t>
  </si>
  <si>
    <t>893604705</t>
  </si>
  <si>
    <t>TP358 .M478 1990</t>
  </si>
  <si>
    <t>0                      TP 0358000M  478         1990</t>
  </si>
  <si>
    <t>Methanol as an alternative fuel choice : an assessment / Wilfrid L. Kohl, editor.</t>
  </si>
  <si>
    <t>Washington, D.C. : International Energy Program, Foreign Policy Institute, the Paul H. Nitze School of Advanced International Studies, the Johns Hopkins University, c1990.</t>
  </si>
  <si>
    <t>dcu</t>
  </si>
  <si>
    <t>1992-11-12</t>
  </si>
  <si>
    <t>1990-09-12</t>
  </si>
  <si>
    <t>433934528:eng</t>
  </si>
  <si>
    <t>21973549</t>
  </si>
  <si>
    <t>991001737199702656</t>
  </si>
  <si>
    <t>2266454860002656</t>
  </si>
  <si>
    <t>9780941700641</t>
  </si>
  <si>
    <t>32285000276807</t>
  </si>
  <si>
    <t>893690852</t>
  </si>
  <si>
    <t>TP482 .M23</t>
  </si>
  <si>
    <t>0                      TP 0482000M  23</t>
  </si>
  <si>
    <t>Cryogenics.</t>
  </si>
  <si>
    <t>McClintock, Michael.</t>
  </si>
  <si>
    <t>New York : Reinhold Pub. Corp., [1964]</t>
  </si>
  <si>
    <t>1964</t>
  </si>
  <si>
    <t>2006-02-03</t>
  </si>
  <si>
    <t>1990-11-30</t>
  </si>
  <si>
    <t>2342745:eng</t>
  </si>
  <si>
    <t>1439990</t>
  </si>
  <si>
    <t>991003757149702656</t>
  </si>
  <si>
    <t>2269660540002656</t>
  </si>
  <si>
    <t>32285000411354</t>
  </si>
  <si>
    <t>893318367</t>
  </si>
  <si>
    <t>TP593 .E83</t>
  </si>
  <si>
    <t>0                      TP 0593000E  83</t>
  </si>
  <si>
    <t>Ethyl alcohol production and use as a motor fuel / edited by J. K. Paul.</t>
  </si>
  <si>
    <t>Park Ridge, N.J. : Noyes Data Corp., 1979.</t>
  </si>
  <si>
    <t>nju</t>
  </si>
  <si>
    <t>Chemical technology review ; no. 144</t>
  </si>
  <si>
    <t>1994-02-27</t>
  </si>
  <si>
    <t>1992-10-29</t>
  </si>
  <si>
    <t>352287234:eng</t>
  </si>
  <si>
    <t>5606822</t>
  </si>
  <si>
    <t>991004850209702656</t>
  </si>
  <si>
    <t>2266148280002656</t>
  </si>
  <si>
    <t>9780815507802</t>
  </si>
  <si>
    <t>32285001387835</t>
  </si>
  <si>
    <t>893229912</t>
  </si>
  <si>
    <t>TP807 .L4 1973</t>
  </si>
  <si>
    <t>0                      TP 0807000L  4           1973</t>
  </si>
  <si>
    <t>A potter's book / with introductions by Soyetsu Yanagi and Michael Cardew.</t>
  </si>
  <si>
    <t>Leach, Bernard, 1887-1979.</t>
  </si>
  <si>
    <t>Great Britain ; New York : Transatlantic Arts Inc., c1970, 1973.</t>
  </si>
  <si>
    <t>2002-03-08</t>
  </si>
  <si>
    <t>1991-12-11</t>
  </si>
  <si>
    <t>58708333:eng</t>
  </si>
  <si>
    <t>1997352</t>
  </si>
  <si>
    <t>991003974069702656</t>
  </si>
  <si>
    <t>2261200310002656</t>
  </si>
  <si>
    <t>32285000875475</t>
  </si>
  <si>
    <t>893234891</t>
  </si>
  <si>
    <t>TP808 .R53 1970</t>
  </si>
  <si>
    <t>0                      TP 0808000R  53          1970</t>
  </si>
  <si>
    <t>Raku</t>
  </si>
  <si>
    <t>Riegger, Hal, 1921-</t>
  </si>
  <si>
    <t>New York : Van Nostrand Reinhold, [1970]</t>
  </si>
  <si>
    <t>2009-04-17</t>
  </si>
  <si>
    <t>1991-12-06</t>
  </si>
  <si>
    <t>1263311:eng</t>
  </si>
  <si>
    <t>81067</t>
  </si>
  <si>
    <t>991000499389702656</t>
  </si>
  <si>
    <t>2269718730002656</t>
  </si>
  <si>
    <t>9780289700143</t>
  </si>
  <si>
    <t>32285000838044</t>
  </si>
  <si>
    <t>893689752</t>
  </si>
  <si>
    <t>TP809 .C66</t>
  </si>
  <si>
    <t>0                      TP 0809000C  66</t>
  </si>
  <si>
    <t>Ceramic formulas : the complete compendium ; a guide to clay, glaze, enamel, glass, and their colors.</t>
  </si>
  <si>
    <t>Conrad, John W.</t>
  </si>
  <si>
    <t>New York : Macmillan, [1973]</t>
  </si>
  <si>
    <t>2010-07-19</t>
  </si>
  <si>
    <t>1993-10-22</t>
  </si>
  <si>
    <t>429908829:eng</t>
  </si>
  <si>
    <t>1289015</t>
  </si>
  <si>
    <t>991003671769702656</t>
  </si>
  <si>
    <t>2266497240002656</t>
  </si>
  <si>
    <t>32285001794170</t>
  </si>
  <si>
    <t>893240461</t>
  </si>
  <si>
    <t>TP823 .H66 1984</t>
  </si>
  <si>
    <t>0                      TP 0823000H  66          1984</t>
  </si>
  <si>
    <t>The ceramic spectrum : a simplified approach to glaze &amp; color development / Robin Hopper.</t>
  </si>
  <si>
    <t>Hopper, Robin.</t>
  </si>
  <si>
    <t>Radnor, Pa. : Chilton Book Co., c1984.</t>
  </si>
  <si>
    <t>1984</t>
  </si>
  <si>
    <t>pau</t>
  </si>
  <si>
    <t>1993-10-04</t>
  </si>
  <si>
    <t>1993-06-16</t>
  </si>
  <si>
    <t>37295451:eng</t>
  </si>
  <si>
    <t>9685292</t>
  </si>
  <si>
    <t>991000242139702656</t>
  </si>
  <si>
    <t>2263252680002656</t>
  </si>
  <si>
    <t>9780801972751</t>
  </si>
  <si>
    <t>32285001731735</t>
  </si>
  <si>
    <t>893502362</t>
  </si>
  <si>
    <t>TS1109 .A28 1999</t>
  </si>
  <si>
    <t>0                      TS 1109000A  28          1999</t>
  </si>
  <si>
    <t>Paper cuts : recovering the paper landscape / Janet M. Abramovitz and Ashley T. Mattoon ; Jane A. Peterson, editor.</t>
  </si>
  <si>
    <t>Abramovitz, Janet N.</t>
  </si>
  <si>
    <t>Washington, D.C. : Worldwatch Institute, c1999.</t>
  </si>
  <si>
    <t>Worldwatch paper ; 149</t>
  </si>
  <si>
    <t xml:space="preserve">TS </t>
  </si>
  <si>
    <t>2006-11-09</t>
  </si>
  <si>
    <t>2000-02-14</t>
  </si>
  <si>
    <t>196736964:eng</t>
  </si>
  <si>
    <t>43074819</t>
  </si>
  <si>
    <t>991003051409702656</t>
  </si>
  <si>
    <t>2268485270002656</t>
  </si>
  <si>
    <t>9781878071514</t>
  </si>
  <si>
    <t>32285003662003</t>
  </si>
  <si>
    <t>893348288</t>
  </si>
  <si>
    <t>TS1109 .P36 1995</t>
  </si>
  <si>
    <t>0                      TS 1109000P  36          1995</t>
  </si>
  <si>
    <t>Paper Task Force recommendations for purchasing and using environmentally preferable paper : final report / The Paper Task Force.</t>
  </si>
  <si>
    <t>[New York, N.Y.] : Environmental Defense Fund, c1995.</t>
  </si>
  <si>
    <t>1996-09-25</t>
  </si>
  <si>
    <t>39630344:eng</t>
  </si>
  <si>
    <t>34326590</t>
  </si>
  <si>
    <t>991002620189702656</t>
  </si>
  <si>
    <t>2263788340002656</t>
  </si>
  <si>
    <t>32285002319829</t>
  </si>
  <si>
    <t>893421601</t>
  </si>
  <si>
    <t>TS1449 .W5 1964</t>
  </si>
  <si>
    <t>0                      TS 1449000W  5           1964</t>
  </si>
  <si>
    <t>Textile fabrics and their selection.</t>
  </si>
  <si>
    <t>Wingate, Isabel Barnum.</t>
  </si>
  <si>
    <t>Englewood Cliffs, N.J., Prentice-Hall [1964]</t>
  </si>
  <si>
    <t>5th ed.</t>
  </si>
  <si>
    <t>2010-04-19</t>
  </si>
  <si>
    <t>1997-08-29</t>
  </si>
  <si>
    <t>1285471:eng</t>
  </si>
  <si>
    <t>711036</t>
  </si>
  <si>
    <t>991003177439702656</t>
  </si>
  <si>
    <t>2264070910002656</t>
  </si>
  <si>
    <t>32285003119855</t>
  </si>
  <si>
    <t>893409989</t>
  </si>
  <si>
    <t>TS155 .H298 2000</t>
  </si>
  <si>
    <t>0                      TS 0155000H  298         2000</t>
  </si>
  <si>
    <t>Six sigma : the breakthrough management strategy revolutionizing the world's top corporations / Mikel Harry and Richard Schroeder.</t>
  </si>
  <si>
    <t>Harry, Mikel J.</t>
  </si>
  <si>
    <t>New York : Currency, c2000.</t>
  </si>
  <si>
    <t>2003-12-07</t>
  </si>
  <si>
    <t>2000-08-09</t>
  </si>
  <si>
    <t>793227477:eng</t>
  </si>
  <si>
    <t>42603295</t>
  </si>
  <si>
    <t>991003227289702656</t>
  </si>
  <si>
    <t>2266248390002656</t>
  </si>
  <si>
    <t>9780385494373</t>
  </si>
  <si>
    <t>32285003756854</t>
  </si>
  <si>
    <t>893499066</t>
  </si>
  <si>
    <t>TS155 .J56</t>
  </si>
  <si>
    <t>0                      TS 0155000J  56</t>
  </si>
  <si>
    <t>Operations research in production planning, scheduling, and inventory control / by Lynwood A. Johnson and Douglas C. Montgomery.</t>
  </si>
  <si>
    <t>Johnson, Lynwood A.</t>
  </si>
  <si>
    <t>New York : Wiley, 1974.</t>
  </si>
  <si>
    <t>1995-06-11</t>
  </si>
  <si>
    <t>1992-08-14</t>
  </si>
  <si>
    <t>489971:eng</t>
  </si>
  <si>
    <t>724399</t>
  </si>
  <si>
    <t>991003200409702656</t>
  </si>
  <si>
    <t>2255001510002656</t>
  </si>
  <si>
    <t>9780471446187</t>
  </si>
  <si>
    <t>32285001245793</t>
  </si>
  <si>
    <t>893342318</t>
  </si>
  <si>
    <t>TS155.6 .Y68 1986</t>
  </si>
  <si>
    <t>0                      TS 0155600Y  68          1986</t>
  </si>
  <si>
    <t>Flexible manufacturing systems / Clifford Young, Alice Greene.</t>
  </si>
  <si>
    <t>Young, Clifford, 1947-</t>
  </si>
  <si>
    <t>New York : AMA Membership Publications Division, American Management Association, c1986.</t>
  </si>
  <si>
    <t>1986</t>
  </si>
  <si>
    <t>AMA management briefing</t>
  </si>
  <si>
    <t>2007-02-08</t>
  </si>
  <si>
    <t>1993-08-02</t>
  </si>
  <si>
    <t>5552727:eng</t>
  </si>
  <si>
    <t>12724728</t>
  </si>
  <si>
    <t>991000731379702656</t>
  </si>
  <si>
    <t>2266873990002656</t>
  </si>
  <si>
    <t>9780814423202</t>
  </si>
  <si>
    <t>32285001748176</t>
  </si>
  <si>
    <t>893784477</t>
  </si>
  <si>
    <t>TS156 .B75 1999</t>
  </si>
  <si>
    <t>0                      TS 0156000B  75          1999</t>
  </si>
  <si>
    <t>Implementing Six Sigma : smarter solutions using statistical methods / Forrest W. Breyfogle III.</t>
  </si>
  <si>
    <t>Breyfogle, Forrest W., 1946-</t>
  </si>
  <si>
    <t>New York : John Wiley, c1999.</t>
  </si>
  <si>
    <t>2007-06-14</t>
  </si>
  <si>
    <t>801667781:eng</t>
  </si>
  <si>
    <t>40193486</t>
  </si>
  <si>
    <t>991005093569702656</t>
  </si>
  <si>
    <t>2266849600002656</t>
  </si>
  <si>
    <t>9780471296591</t>
  </si>
  <si>
    <t>32285005317275</t>
  </si>
  <si>
    <t>893795594</t>
  </si>
  <si>
    <t>TS156 .M64 1985</t>
  </si>
  <si>
    <t>0                      TS 0156000M  64          1985</t>
  </si>
  <si>
    <t>Introduction to statistical quality control / Douglas C. Montgomery.</t>
  </si>
  <si>
    <t>Montgomery, Douglas C.</t>
  </si>
  <si>
    <t>New York : Wiley, c1985.</t>
  </si>
  <si>
    <t>1985</t>
  </si>
  <si>
    <t>2006-02-24</t>
  </si>
  <si>
    <t>1993-05-06</t>
  </si>
  <si>
    <t>1020306:eng</t>
  </si>
  <si>
    <t>11344716</t>
  </si>
  <si>
    <t>991000522079702656</t>
  </si>
  <si>
    <t>2272354310002656</t>
  </si>
  <si>
    <t>9780471808701</t>
  </si>
  <si>
    <t>32285001580892</t>
  </si>
  <si>
    <t>893502555</t>
  </si>
  <si>
    <t>TS156 .S33</t>
  </si>
  <si>
    <t>0                      TS 0156000S  33</t>
  </si>
  <si>
    <t>Mathematical methods of statistical quality control, by K. Sarkadi and I. Vincze.</t>
  </si>
  <si>
    <t>Sarkadi, K. (Károly), -1985.</t>
  </si>
  <si>
    <t>New York, Academic Press, 1974.</t>
  </si>
  <si>
    <t>Probability and mathematical statistics, 18</t>
  </si>
  <si>
    <t>1993-03-15</t>
  </si>
  <si>
    <t>1991-12-17</t>
  </si>
  <si>
    <t>1836774:eng</t>
  </si>
  <si>
    <t>902370</t>
  </si>
  <si>
    <t>991003366469702656</t>
  </si>
  <si>
    <t>2262551960002656</t>
  </si>
  <si>
    <t>32285000901685</t>
  </si>
  <si>
    <t>893774663</t>
  </si>
  <si>
    <t>TS156 .T761 1992</t>
  </si>
  <si>
    <t>0                      TS 0156000T  761         1992</t>
  </si>
  <si>
    <t>Recognizing quality achievement : noncash award programs / by Kathryn L. Troy.</t>
  </si>
  <si>
    <t>Troy, Kathryn.</t>
  </si>
  <si>
    <t>New York, NY : Conference Board, c1992.</t>
  </si>
  <si>
    <t>Conference Board research report ; no. 1008</t>
  </si>
  <si>
    <t>1997-04-21</t>
  </si>
  <si>
    <t>1992-08-25</t>
  </si>
  <si>
    <t>375886327:eng</t>
  </si>
  <si>
    <t>26329682</t>
  </si>
  <si>
    <t>991002058159702656</t>
  </si>
  <si>
    <t>2261785360002656</t>
  </si>
  <si>
    <t>9780823704569</t>
  </si>
  <si>
    <t>32285001261352</t>
  </si>
  <si>
    <t>893621862</t>
  </si>
  <si>
    <t>TS156.6 .S54</t>
  </si>
  <si>
    <t>0                      TS 0156600S  54</t>
  </si>
  <si>
    <t>Qualitysense : organizational approaches to improving product quality and service / Martin R. Smith.</t>
  </si>
  <si>
    <t>Smith, Martin R., 1934-</t>
  </si>
  <si>
    <t>New York : AMACOM, c1979.</t>
  </si>
  <si>
    <t>1993-11-11</t>
  </si>
  <si>
    <t>1991-12-13</t>
  </si>
  <si>
    <t>16838747:eng</t>
  </si>
  <si>
    <t>5239510</t>
  </si>
  <si>
    <t>991004804569702656</t>
  </si>
  <si>
    <t>2264358430002656</t>
  </si>
  <si>
    <t>9780814455340</t>
  </si>
  <si>
    <t>32285000906007</t>
  </si>
  <si>
    <t>893876601</t>
  </si>
  <si>
    <t>TS156.Q3 F4 1961</t>
  </si>
  <si>
    <t>0                      TS 0156000Q  3                  F  4           1961</t>
  </si>
  <si>
    <t>Total quality control: engineering and management: the technical and managerial field for improving product quality, including its reliability, and for reducing operating costs and losses.</t>
  </si>
  <si>
    <t>Feigenbaum, A. V. (Armand Vallin)</t>
  </si>
  <si>
    <t>New York, McGraw-Hill, 1961.</t>
  </si>
  <si>
    <t>1961</t>
  </si>
  <si>
    <t>1994-02-08</t>
  </si>
  <si>
    <t>1992-03-23</t>
  </si>
  <si>
    <t>10677926595:eng</t>
  </si>
  <si>
    <t>567344</t>
  </si>
  <si>
    <t>991002999079702656</t>
  </si>
  <si>
    <t>2258112170002656</t>
  </si>
  <si>
    <t>32285001026482</t>
  </si>
  <si>
    <t>893323621</t>
  </si>
  <si>
    <t>TS157 .A27 1991</t>
  </si>
  <si>
    <t>0                      TS 0157000A  27          1991</t>
  </si>
  <si>
    <t>The human side of just-in-time : how to make the techniques really work / Charlene B. Adair-Heeley.</t>
  </si>
  <si>
    <t>Adair-Heeley, Charlene B.</t>
  </si>
  <si>
    <t>New York : American Management Association, c1991.</t>
  </si>
  <si>
    <t>1991</t>
  </si>
  <si>
    <t>2003-04-02</t>
  </si>
  <si>
    <t>1991-05-15</t>
  </si>
  <si>
    <t>24171384:eng</t>
  </si>
  <si>
    <t>22862959</t>
  </si>
  <si>
    <t>991001819139702656</t>
  </si>
  <si>
    <t>2272373960002656</t>
  </si>
  <si>
    <t>9780814450314</t>
  </si>
  <si>
    <t>32285000539204</t>
  </si>
  <si>
    <t>893316090</t>
  </si>
  <si>
    <t>TS170 .H66 2001</t>
  </si>
  <si>
    <t>0                      TS 0170000H  66          2001</t>
  </si>
  <si>
    <t>Customer-centered products : creating successful products through smart requirements management / Ivy F. Hooks &amp; Kristin A. Farry.</t>
  </si>
  <si>
    <t>Hooks, Ivy F.</t>
  </si>
  <si>
    <t>New York : AMACOM, c2001.</t>
  </si>
  <si>
    <t>2000-10-18</t>
  </si>
  <si>
    <t>2000-10-17</t>
  </si>
  <si>
    <t>800048254:eng</t>
  </si>
  <si>
    <t>43590230</t>
  </si>
  <si>
    <t>991003318329702656</t>
  </si>
  <si>
    <t>2271256140002656</t>
  </si>
  <si>
    <t>9780814405680</t>
  </si>
  <si>
    <t>32285003768248</t>
  </si>
  <si>
    <t>893705112</t>
  </si>
  <si>
    <t>TS175 .C66 1986</t>
  </si>
  <si>
    <t>0                      TS 0175000C  66          1986</t>
  </si>
  <si>
    <t>Consuming fears : the politics of product risks / Harvey M. Sapolsky, editor.</t>
  </si>
  <si>
    <t>New York : Basic Books, c1986.</t>
  </si>
  <si>
    <t>1998-03-24</t>
  </si>
  <si>
    <t>1992-11-19</t>
  </si>
  <si>
    <t>910880436:eng</t>
  </si>
  <si>
    <t>13792083</t>
  </si>
  <si>
    <t>991000870129702656</t>
  </si>
  <si>
    <t>2272759920002656</t>
  </si>
  <si>
    <t>9780465014118</t>
  </si>
  <si>
    <t>32285001406494</t>
  </si>
  <si>
    <t>893620873</t>
  </si>
  <si>
    <t>TS1966.E3 I357 1995</t>
  </si>
  <si>
    <t>0                      TS 1966000E  3                  I  357         1995</t>
  </si>
  <si>
    <t>Choice cuts : meat production in ancient Egypt / by Salima Ikram.</t>
  </si>
  <si>
    <t>Ikram, Salima.</t>
  </si>
  <si>
    <t>Leuven : Peeters : Departement Oosterse Studies, 1995.</t>
  </si>
  <si>
    <t xml:space="preserve">be </t>
  </si>
  <si>
    <t>Orientalia Lovaniensia analecta ; 69</t>
  </si>
  <si>
    <t>2010-10-05</t>
  </si>
  <si>
    <t>2001-02-07</t>
  </si>
  <si>
    <t>11711354:eng</t>
  </si>
  <si>
    <t>37211517</t>
  </si>
  <si>
    <t>991003256499702656</t>
  </si>
  <si>
    <t>2258924530002656</t>
  </si>
  <si>
    <t>9782877232715</t>
  </si>
  <si>
    <t>32285004294293</t>
  </si>
  <si>
    <t>893598411</t>
  </si>
  <si>
    <t>TS2280 .B83 2007</t>
  </si>
  <si>
    <t>0                      TS 2280000B  83          2007</t>
  </si>
  <si>
    <t>Vietnam Zippos / Sherry Buchanan ; from the collection of Bradford Edwards.</t>
  </si>
  <si>
    <t>Buchanan, Sherry.</t>
  </si>
  <si>
    <t>Chicago : University of Chicago Press, 2007.</t>
  </si>
  <si>
    <t>2008-02-21</t>
  </si>
  <si>
    <t>102984522:eng</t>
  </si>
  <si>
    <t>145378613</t>
  </si>
  <si>
    <t>991005170739702656</t>
  </si>
  <si>
    <t>2266844530002656</t>
  </si>
  <si>
    <t>9780226078281</t>
  </si>
  <si>
    <t>32285005393839</t>
  </si>
  <si>
    <t>893801856</t>
  </si>
  <si>
    <t>TS271 .C38</t>
  </si>
  <si>
    <t>0                      TS 0271000C  38</t>
  </si>
  <si>
    <t>Barbs, prongs, points, prickers, &amp; stickers; a complete and illustrated catalogue of antique barbed wire [by] Robert T. Clifton.</t>
  </si>
  <si>
    <t>Clifton, Robert T.</t>
  </si>
  <si>
    <t>Norman] University of Oklahoma Press [1970]</t>
  </si>
  <si>
    <t>[1st ed.</t>
  </si>
  <si>
    <t>2000-03-15</t>
  </si>
  <si>
    <t>579083:eng</t>
  </si>
  <si>
    <t>69952</t>
  </si>
  <si>
    <t>991000327919702656</t>
  </si>
  <si>
    <t>2261344510002656</t>
  </si>
  <si>
    <t>9780806108766</t>
  </si>
  <si>
    <t>32285003119723</t>
  </si>
  <si>
    <t>893589349</t>
  </si>
  <si>
    <t>TS752 .H218 1994</t>
  </si>
  <si>
    <t>0                      TS 0752000H  218         1994</t>
  </si>
  <si>
    <t>Gemstones / Cally Hall.</t>
  </si>
  <si>
    <t>Hall, Cally.</t>
  </si>
  <si>
    <t>London ; New York : Dorling Kindersley, 1994.</t>
  </si>
  <si>
    <t>1994</t>
  </si>
  <si>
    <t>1st American ed.</t>
  </si>
  <si>
    <t>Eyewitness handbooks</t>
  </si>
  <si>
    <t>2001-01-30</t>
  </si>
  <si>
    <t>1995-04-10</t>
  </si>
  <si>
    <t>4928407731:eng</t>
  </si>
  <si>
    <t>28424743</t>
  </si>
  <si>
    <t>991002211559702656</t>
  </si>
  <si>
    <t>2268090080002656</t>
  </si>
  <si>
    <t>9781564584984</t>
  </si>
  <si>
    <t>32285002017647</t>
  </si>
  <si>
    <t>893232685</t>
  </si>
  <si>
    <t>TT145 .K37 1973</t>
  </si>
  <si>
    <t>0                      TT 0145000K  37          1973</t>
  </si>
  <si>
    <t>Basic craft techniques / by Tommy Karlén.</t>
  </si>
  <si>
    <t>Karlén, Tommy.</t>
  </si>
  <si>
    <t>New York : Drake Publishers, [1973]</t>
  </si>
  <si>
    <t xml:space="preserve">TT </t>
  </si>
  <si>
    <t>1998-04-26</t>
  </si>
  <si>
    <t>1993-08-03</t>
  </si>
  <si>
    <t>1706609:eng</t>
  </si>
  <si>
    <t>671917</t>
  </si>
  <si>
    <t>991003128189702656</t>
  </si>
  <si>
    <t>2268241060002656</t>
  </si>
  <si>
    <t>9780877494195</t>
  </si>
  <si>
    <t>32285001748770</t>
  </si>
  <si>
    <t>893440957</t>
  </si>
  <si>
    <t>TT150 .L56 1984</t>
  </si>
  <si>
    <t>0                      TT 0150000L  56          1984</t>
  </si>
  <si>
    <t>Arts &amp; crafts for the classroom / Earl W. Linderman, Marlene M. Linderman.</t>
  </si>
  <si>
    <t>Linderman, Earl W.</t>
  </si>
  <si>
    <t>New York : Macmillan ; London : Collier Macmillan, 1984.</t>
  </si>
  <si>
    <t>2nd ed.</t>
  </si>
  <si>
    <t>1999-09-24</t>
  </si>
  <si>
    <t>20601451:eng</t>
  </si>
  <si>
    <t>9254495</t>
  </si>
  <si>
    <t>991000157919702656</t>
  </si>
  <si>
    <t>2259083760002656</t>
  </si>
  <si>
    <t>9780023708602</t>
  </si>
  <si>
    <t>32285000890680</t>
  </si>
  <si>
    <t>893884178</t>
  </si>
  <si>
    <t>TT157 .Y58 1972</t>
  </si>
  <si>
    <t>0                      TT 0157000Y  58          1972</t>
  </si>
  <si>
    <t>Woodstock craftsmans̕ manual / provoked by Jean Young.</t>
  </si>
  <si>
    <t>Young, Jean.</t>
  </si>
  <si>
    <t>New York : Praeger, 1972.</t>
  </si>
  <si>
    <t>1972</t>
  </si>
  <si>
    <t>2005-04-24</t>
  </si>
  <si>
    <t>1992-10-10</t>
  </si>
  <si>
    <t>571716:eng</t>
  </si>
  <si>
    <t>7674633</t>
  </si>
  <si>
    <t>991005148279702656</t>
  </si>
  <si>
    <t>2257756850002656</t>
  </si>
  <si>
    <t>32285001346203</t>
  </si>
  <si>
    <t>893694816</t>
  </si>
  <si>
    <t>TT160 .M2584 1994</t>
  </si>
  <si>
    <t>0                      TT 0160000M  2584        1994</t>
  </si>
  <si>
    <t>Animal crafts / Iain MacLeod-Brudenell ; photographs by Zul Mukhida.</t>
  </si>
  <si>
    <t>MacLeod-Brudenell, Iain.</t>
  </si>
  <si>
    <t>Milwaukee : Gareth Stevens Pub., 1994.</t>
  </si>
  <si>
    <t>North American ed.</t>
  </si>
  <si>
    <t>wiu</t>
  </si>
  <si>
    <t>Worldwide crafts</t>
  </si>
  <si>
    <t>2004-09-14</t>
  </si>
  <si>
    <t>1995-01-06</t>
  </si>
  <si>
    <t>4230770884:eng</t>
  </si>
  <si>
    <t>30547355</t>
  </si>
  <si>
    <t>991004576769702656</t>
  </si>
  <si>
    <t>2263907190002656</t>
  </si>
  <si>
    <t>9780836811513</t>
  </si>
  <si>
    <t>32285001991222</t>
  </si>
  <si>
    <t>893220905</t>
  </si>
  <si>
    <t>TT180 .M384</t>
  </si>
  <si>
    <t>0                      TT 0180000M  384</t>
  </si>
  <si>
    <t>Woodworking, the new wave : today's design trends in objects, furniture and sculpture with artist interviews / by Dona Z. Meilach.</t>
  </si>
  <si>
    <t>Meilach, Dona Z.</t>
  </si>
  <si>
    <t>New York : Crown Publishers, c1981.</t>
  </si>
  <si>
    <t>1995-09-07</t>
  </si>
  <si>
    <t>500469725:eng</t>
  </si>
  <si>
    <t>7248565</t>
  </si>
  <si>
    <t>991005092979702656</t>
  </si>
  <si>
    <t>2267770980002656</t>
  </si>
  <si>
    <t>9780517541920</t>
  </si>
  <si>
    <t>32285001748788</t>
  </si>
  <si>
    <t>893600598</t>
  </si>
  <si>
    <t>TT196 .P33 1983</t>
  </si>
  <si>
    <t>0                      TT 0196000P  33          1983</t>
  </si>
  <si>
    <t>Furniture designed by architects / by Marian Page.</t>
  </si>
  <si>
    <t>Page, Marian, 1918-</t>
  </si>
  <si>
    <t>New York : Whitney Library of Design ; London : Architectural Press, 1983, c1980.</t>
  </si>
  <si>
    <t>Paperback ed.</t>
  </si>
  <si>
    <t>2000-05-12</t>
  </si>
  <si>
    <t>1992-11-03</t>
  </si>
  <si>
    <t>6744756:eng</t>
  </si>
  <si>
    <t>13352975</t>
  </si>
  <si>
    <t>991005406429702656</t>
  </si>
  <si>
    <t>2262999820002656</t>
  </si>
  <si>
    <t>32285001380889</t>
  </si>
  <si>
    <t>893613656</t>
  </si>
  <si>
    <t>TT199 .T49 1980</t>
  </si>
  <si>
    <t>0                      TT 0199000T  49          1980</t>
  </si>
  <si>
    <t>Repairing furniture / by the editors of Time-Life Books.</t>
  </si>
  <si>
    <t>Time-Life Books.</t>
  </si>
  <si>
    <t>Alexandria, Va. : Time-Life Books, c1980.</t>
  </si>
  <si>
    <t>1980</t>
  </si>
  <si>
    <t>vau</t>
  </si>
  <si>
    <t>Home repair and improvement ; 24</t>
  </si>
  <si>
    <t>1998-10-07</t>
  </si>
  <si>
    <t>55941171:eng</t>
  </si>
  <si>
    <t>6378838</t>
  </si>
  <si>
    <t>991004974309702656</t>
  </si>
  <si>
    <t>2268854470002656</t>
  </si>
  <si>
    <t>9780809424399</t>
  </si>
  <si>
    <t>32285001748804</t>
  </si>
  <si>
    <t>893446483</t>
  </si>
  <si>
    <t>TT199 .W46 1975</t>
  </si>
  <si>
    <t>0                      TT 0199000W  46          1975</t>
  </si>
  <si>
    <t>Restoring antique furniture / Leslie Wenn ; with an historical introd. by Martin Drury.</t>
  </si>
  <si>
    <t>Wenn, Leslie.</t>
  </si>
  <si>
    <t>New York : Watson-Guptill, [1975] c1974.</t>
  </si>
  <si>
    <t>1996-01-29</t>
  </si>
  <si>
    <t>1994-05-06</t>
  </si>
  <si>
    <t>2156431:eng</t>
  </si>
  <si>
    <t>1195980</t>
  </si>
  <si>
    <t>991003613429702656</t>
  </si>
  <si>
    <t>2260177890002656</t>
  </si>
  <si>
    <t>9780823045464</t>
  </si>
  <si>
    <t>32285001907152</t>
  </si>
  <si>
    <t>893422752</t>
  </si>
  <si>
    <t>TT199.7 .T37 1979</t>
  </si>
  <si>
    <t>0                      TT 0199700T  37          1979</t>
  </si>
  <si>
    <t>1001 designs for whittling and woodcarving / E. J. Tangerman.</t>
  </si>
  <si>
    <t>Tangerman, E. J. (Elmer John), 1907-1998.</t>
  </si>
  <si>
    <t>New York : Bonanza Books, 1979, c1976.</t>
  </si>
  <si>
    <t>1994-04-06</t>
  </si>
  <si>
    <t>196608245:eng</t>
  </si>
  <si>
    <t>5219210</t>
  </si>
  <si>
    <t>991004801429702656</t>
  </si>
  <si>
    <t>2268328080002656</t>
  </si>
  <si>
    <t>9780517294086</t>
  </si>
  <si>
    <t>32285001748812</t>
  </si>
  <si>
    <t>893254112</t>
  </si>
  <si>
    <t>TT205 .U55 1968</t>
  </si>
  <si>
    <t>0                      TT 0205000U  55          1968</t>
  </si>
  <si>
    <t>Metal techniques for craftsmen : a basic manual for craftsmen on the methods of forming and decorating metals / by Oppi Untracht.</t>
  </si>
  <si>
    <t>Untracht, Oppi.</t>
  </si>
  <si>
    <t>Garden City, N.Y. : Doubleday, [1968]</t>
  </si>
  <si>
    <t>1968</t>
  </si>
  <si>
    <t>2003-09-02</t>
  </si>
  <si>
    <t>453433:eng</t>
  </si>
  <si>
    <t>217433</t>
  </si>
  <si>
    <t>991001288679702656</t>
  </si>
  <si>
    <t>2258807100002656</t>
  </si>
  <si>
    <t>32285001748838</t>
  </si>
  <si>
    <t>893503291</t>
  </si>
  <si>
    <t>TT22 .H86 1942</t>
  </si>
  <si>
    <t>0                      TT 0022000H  86          1942</t>
  </si>
  <si>
    <t>Indiancraft / [by] W. Ben Hunt.</t>
  </si>
  <si>
    <t>Hunt, W. Ben (Walter Ben), 1888-1970.</t>
  </si>
  <si>
    <t>Milwaukee : Bruce, c1942.</t>
  </si>
  <si>
    <t>1942</t>
  </si>
  <si>
    <t>2004-03-15</t>
  </si>
  <si>
    <t>3901074135:eng</t>
  </si>
  <si>
    <t>1362233</t>
  </si>
  <si>
    <t>991004262729702656</t>
  </si>
  <si>
    <t>2258767580002656</t>
  </si>
  <si>
    <t>32285004893078</t>
  </si>
  <si>
    <t>893901012</t>
  </si>
  <si>
    <t>TT273 .K657 1972</t>
  </si>
  <si>
    <t>0                      TT 0273000K  657         1972</t>
  </si>
  <si>
    <t>Photographic screen printing. Illus. by the author.</t>
  </si>
  <si>
    <t>Kosloff, Albert.</t>
  </si>
  <si>
    <t>Cincinnati, Signs of the Times Pub. Co. [1972]</t>
  </si>
  <si>
    <t>4th ed.</t>
  </si>
  <si>
    <t>2006-06-29</t>
  </si>
  <si>
    <t>1211271:eng</t>
  </si>
  <si>
    <t>742314</t>
  </si>
  <si>
    <t>991003216329702656</t>
  </si>
  <si>
    <t>2270354830002656</t>
  </si>
  <si>
    <t>32285003120002</t>
  </si>
  <si>
    <t>893258178</t>
  </si>
  <si>
    <t>TT288 .R57 1972</t>
  </si>
  <si>
    <t>0                      TT 0288000R  57          1972</t>
  </si>
  <si>
    <t>Scrimshaw / by Carson I. A. Ritchie.</t>
  </si>
  <si>
    <t>Ritchie, Carson I. A.</t>
  </si>
  <si>
    <t>New York : Sterling Pub. Co., c1972, 1973 printing.</t>
  </si>
  <si>
    <t>Little craft book series</t>
  </si>
  <si>
    <t>1995-01-12</t>
  </si>
  <si>
    <t>1423070:eng</t>
  </si>
  <si>
    <t>328900</t>
  </si>
  <si>
    <t>991002383369702656</t>
  </si>
  <si>
    <t>2271426090002656</t>
  </si>
  <si>
    <t>9780806951942</t>
  </si>
  <si>
    <t>32285001748846</t>
  </si>
  <si>
    <t>893804548</t>
  </si>
  <si>
    <t>TT298 .L83 1983</t>
  </si>
  <si>
    <t>0                      TT 0298000L  83          1983</t>
  </si>
  <si>
    <t>Glass fusing / written by Boyce Lundstrom and Daniel Schwoerer.</t>
  </si>
  <si>
    <t>Lundstrom, Boyce.</t>
  </si>
  <si>
    <t>Portland, Or. : Vitreous Publications, 1983-c1989.</t>
  </si>
  <si>
    <t>oru</t>
  </si>
  <si>
    <t>2009-08-03</t>
  </si>
  <si>
    <t>1994-06-20</t>
  </si>
  <si>
    <t>4020211616:eng</t>
  </si>
  <si>
    <t>10513563</t>
  </si>
  <si>
    <t>991000386189702656</t>
  </si>
  <si>
    <t>2255646560002656</t>
  </si>
  <si>
    <t>9780961228224</t>
  </si>
  <si>
    <t>32285001923340</t>
  </si>
  <si>
    <t>893683357</t>
  </si>
  <si>
    <t>1994-10-21</t>
  </si>
  <si>
    <t>32285001923357</t>
  </si>
  <si>
    <t>893714533</t>
  </si>
  <si>
    <t>TT298 .R49 1990</t>
  </si>
  <si>
    <t>0                      TT 0298000R  49          1990</t>
  </si>
  <si>
    <t>The fused glass handbook / by Gil Reynolds.</t>
  </si>
  <si>
    <t>Reynolds, Gil, 1951-</t>
  </si>
  <si>
    <t>Scottsdale, Ariz. : Hidden Valley Books ; Portland, OR : Distributed by Fusion Headquarters, c1990.</t>
  </si>
  <si>
    <t>Rev. ed.</t>
  </si>
  <si>
    <t>azu</t>
  </si>
  <si>
    <t>1994-06-06</t>
  </si>
  <si>
    <t>12636620:eng</t>
  </si>
  <si>
    <t>22542490</t>
  </si>
  <si>
    <t>991001790139702656</t>
  </si>
  <si>
    <t>2266535100002656</t>
  </si>
  <si>
    <t>9780915807024</t>
  </si>
  <si>
    <t>32285001921278</t>
  </si>
  <si>
    <t>893497378</t>
  </si>
  <si>
    <t>TT305 .C29 1996</t>
  </si>
  <si>
    <t>0                      TT 0305000C  29          1996</t>
  </si>
  <si>
    <t>The complete book of paint : a comprehensive guide to paint techniques for walls, floors, furniture, fabrics, and metalwork / by David Carter; text by Charles Hemming.</t>
  </si>
  <si>
    <t>Carter, David.</t>
  </si>
  <si>
    <t>New York : Clarkson Potter/Publishers, c1996.</t>
  </si>
  <si>
    <t>1996</t>
  </si>
  <si>
    <t>2000-01-11</t>
  </si>
  <si>
    <t>1998-11-04</t>
  </si>
  <si>
    <t>7836809:eng</t>
  </si>
  <si>
    <t>34190529</t>
  </si>
  <si>
    <t>991002609279702656</t>
  </si>
  <si>
    <t>2256415290002656</t>
  </si>
  <si>
    <t>9780517704516</t>
  </si>
  <si>
    <t>32285003485355</t>
  </si>
  <si>
    <t>893409310</t>
  </si>
  <si>
    <t>TT320 .T55 1976</t>
  </si>
  <si>
    <t>0                      TT 0320000T  55          1976</t>
  </si>
  <si>
    <t>Paint and wallpaper / by the editors of Time-Life Books.</t>
  </si>
  <si>
    <t>New York : Time-Life Books, c1976.</t>
  </si>
  <si>
    <t>Home repair and improvement</t>
  </si>
  <si>
    <t>2004-10-06</t>
  </si>
  <si>
    <t>502631493:eng</t>
  </si>
  <si>
    <t>2343944</t>
  </si>
  <si>
    <t>991004090149702656</t>
  </si>
  <si>
    <t>2262060430002656</t>
  </si>
  <si>
    <t>32285001748879</t>
  </si>
  <si>
    <t>893900784</t>
  </si>
  <si>
    <t>TT385 .G78 1992</t>
  </si>
  <si>
    <t>0                      TT 0385000G  78          1992</t>
  </si>
  <si>
    <t>Techniques for marbleizing paper / Gabriele Grünebaum.</t>
  </si>
  <si>
    <t>Grünebaum, Gabriele.</t>
  </si>
  <si>
    <t>New York : Dover Publications, 1992.</t>
  </si>
  <si>
    <t>2006-04-28</t>
  </si>
  <si>
    <t>1997-02-27</t>
  </si>
  <si>
    <t>29479791:eng</t>
  </si>
  <si>
    <t>27018984</t>
  </si>
  <si>
    <t>991002107199702656</t>
  </si>
  <si>
    <t>2255664120002656</t>
  </si>
  <si>
    <t>9780486271569</t>
  </si>
  <si>
    <t>32285002434099</t>
  </si>
  <si>
    <t>893226470</t>
  </si>
  <si>
    <t>TT387 .D44 1995</t>
  </si>
  <si>
    <t>0                      TT 0387000D  44          1995</t>
  </si>
  <si>
    <t>Decorating with fabric &amp; wallcovering : 98 projects &amp; ideas / The Home Decorating Institute.</t>
  </si>
  <si>
    <t>Minnetonka, Minn. : Cy DeCosse, c1995.</t>
  </si>
  <si>
    <t>mnu</t>
  </si>
  <si>
    <t>Arts &amp; crafts for home decorating</t>
  </si>
  <si>
    <t>2002-06-26</t>
  </si>
  <si>
    <t>1997-03-04</t>
  </si>
  <si>
    <t>33239494:eng</t>
  </si>
  <si>
    <t>31133035</t>
  </si>
  <si>
    <t>991002396609702656</t>
  </si>
  <si>
    <t>2271424890002656</t>
  </si>
  <si>
    <t>9780865733718</t>
  </si>
  <si>
    <t>32285002434420</t>
  </si>
  <si>
    <t>893322883</t>
  </si>
  <si>
    <t>TT496.I82 F574 2002</t>
  </si>
  <si>
    <t>0                      TT 0496000I  82                 F  574         2002</t>
  </si>
  <si>
    <t>Dressing Renaissance Florence : families, fortunes, &amp; fine clothing / Carole Collier Frick.</t>
  </si>
  <si>
    <t>Frick, Carole Collier.</t>
  </si>
  <si>
    <t>Baltimore : Johns Hopkins University Press, 2002.</t>
  </si>
  <si>
    <t>2002</t>
  </si>
  <si>
    <t>mdu</t>
  </si>
  <si>
    <t>The Johns Hopkins University studies in historical and political science ; 120th ser., 3</t>
  </si>
  <si>
    <t>2009-04-08</t>
  </si>
  <si>
    <t>2002-10-17</t>
  </si>
  <si>
    <t>892126037:eng</t>
  </si>
  <si>
    <t>48221346</t>
  </si>
  <si>
    <t>991003918729702656</t>
  </si>
  <si>
    <t>2255123380002656</t>
  </si>
  <si>
    <t>9780801869396</t>
  </si>
  <si>
    <t>32285004655675</t>
  </si>
  <si>
    <t>893806427</t>
  </si>
  <si>
    <t>TT497 .H36 1999</t>
  </si>
  <si>
    <t>0                      TT 0497000H  36          1999</t>
  </si>
  <si>
    <t>Nylon : the story of a fashion revolution : a celebration of design from art silk to nylon and thinking fibres / Susannah Handley.</t>
  </si>
  <si>
    <t>Handley, Susannah.</t>
  </si>
  <si>
    <t>Baltimore, Md : Johns Hopkins University Press, 1999.</t>
  </si>
  <si>
    <t>2001-08-14</t>
  </si>
  <si>
    <t>3856781514:eng</t>
  </si>
  <si>
    <t>41488728</t>
  </si>
  <si>
    <t>991003597119702656</t>
  </si>
  <si>
    <t>2257733880002656</t>
  </si>
  <si>
    <t>9780801863257</t>
  </si>
  <si>
    <t>32285004377494</t>
  </si>
  <si>
    <t>893900153</t>
  </si>
  <si>
    <t>TT503 .B33 1995</t>
  </si>
  <si>
    <t>0                      TT 0503000B  33          1995</t>
  </si>
  <si>
    <t>The guide to historic costume / Karen Baclawski ; with a foreword by Negley Harte.</t>
  </si>
  <si>
    <t>Baclawski, Karen.</t>
  </si>
  <si>
    <t>New York : Drama Book Publishers, 1995.</t>
  </si>
  <si>
    <t>1998-05-29</t>
  </si>
  <si>
    <t>20704976:eng</t>
  </si>
  <si>
    <t>32190392</t>
  </si>
  <si>
    <t>991002471459702656</t>
  </si>
  <si>
    <t>2262374990002656</t>
  </si>
  <si>
    <t>9780896761377</t>
  </si>
  <si>
    <t>32285003261566</t>
  </si>
  <si>
    <t>893873563</t>
  </si>
  <si>
    <t>TT504 .B68 1985</t>
  </si>
  <si>
    <t>0                      TT 0504000B  68          1985</t>
  </si>
  <si>
    <t>A fashion for extravagance : art deco fabrics and fashions / Sara Bowman, Michel Molinare.</t>
  </si>
  <si>
    <t>Bowman, Sara.</t>
  </si>
  <si>
    <t>New York : Dutton, 1985.</t>
  </si>
  <si>
    <t>2000-05-30</t>
  </si>
  <si>
    <t>1990-02-21</t>
  </si>
  <si>
    <t>5598406:eng</t>
  </si>
  <si>
    <t>18668089</t>
  </si>
  <si>
    <t>991005410189702656</t>
  </si>
  <si>
    <t>2259918450002656</t>
  </si>
  <si>
    <t>9780525243588</t>
  </si>
  <si>
    <t>32285000056829</t>
  </si>
  <si>
    <t>893508220</t>
  </si>
  <si>
    <t>TT504 .D45</t>
  </si>
  <si>
    <t>0                      TT 0504000D  45</t>
  </si>
  <si>
    <t>The history of haute couture, 1850-1950 / Diana de Marly.</t>
  </si>
  <si>
    <t>De Marly, Diana.</t>
  </si>
  <si>
    <t>New York : Holmes and Meier, c1980.</t>
  </si>
  <si>
    <t>2007-02-13</t>
  </si>
  <si>
    <t>505778:eng</t>
  </si>
  <si>
    <t>5607848</t>
  </si>
  <si>
    <t>991004850509702656</t>
  </si>
  <si>
    <t>2265587510002656</t>
  </si>
  <si>
    <t>9780841905863</t>
  </si>
  <si>
    <t>32285001748895</t>
  </si>
  <si>
    <t>893694406</t>
  </si>
  <si>
    <t>TT504 .G64 1975</t>
  </si>
  <si>
    <t>0                      TT 0504000G  64          1975</t>
  </si>
  <si>
    <t>75 years of fashion / by Annalee Gold.</t>
  </si>
  <si>
    <t>Gold, Annalee.</t>
  </si>
  <si>
    <t>New York : Fairchild Publications, [1975]</t>
  </si>
  <si>
    <t>2002-07-27</t>
  </si>
  <si>
    <t>1993-09-01</t>
  </si>
  <si>
    <t>513858:eng</t>
  </si>
  <si>
    <t>1443968</t>
  </si>
  <si>
    <t>991003759319702656</t>
  </si>
  <si>
    <t>2255095300002656</t>
  </si>
  <si>
    <t>9780870051449</t>
  </si>
  <si>
    <t>32285001781136</t>
  </si>
  <si>
    <t>893240566</t>
  </si>
  <si>
    <t>TT504 .W38</t>
  </si>
  <si>
    <t>0                      TT 0504000W  38</t>
  </si>
  <si>
    <t>The cut of men's clothes, 1600-1900.</t>
  </si>
  <si>
    <t>Waugh, Norah.</t>
  </si>
  <si>
    <t>New York : Theatre Arts Books, [1964]</t>
  </si>
  <si>
    <t>2000-11-09</t>
  </si>
  <si>
    <t>1990-02-24</t>
  </si>
  <si>
    <t>4820465439:eng</t>
  </si>
  <si>
    <t>566717</t>
  </si>
  <si>
    <t>991002998539702656</t>
  </si>
  <si>
    <t>2256399100002656</t>
  </si>
  <si>
    <t>32285000061274</t>
  </si>
  <si>
    <t>893704782</t>
  </si>
  <si>
    <t>TT504 .W385 1968b</t>
  </si>
  <si>
    <t>0                      TT 0504000W  385         1968b</t>
  </si>
  <si>
    <t>The cut of women's clothes 1600-1930 / [by] Norah Waugh; [completed and] with line diagrams by Margaret Woodward.</t>
  </si>
  <si>
    <t>London : Faber, 1968.</t>
  </si>
  <si>
    <t>2005-03-20</t>
  </si>
  <si>
    <t>158611:eng</t>
  </si>
  <si>
    <t>43015</t>
  </si>
  <si>
    <t>991000098189702656</t>
  </si>
  <si>
    <t>2260590060002656</t>
  </si>
  <si>
    <t>9780571085941</t>
  </si>
  <si>
    <t>32285000057876</t>
  </si>
  <si>
    <t>893521396</t>
  </si>
  <si>
    <t>TT505.H4 C455 2003</t>
  </si>
  <si>
    <t>0                      TT 0505000H  4                  C  455         2003</t>
  </si>
  <si>
    <t>Edith Head : the life and times of Hollywood's celebrated costume designer / David Chierichetti.</t>
  </si>
  <si>
    <t>Chierichetti, David.</t>
  </si>
  <si>
    <t>New York : Harper Collins Publishers, c2003.</t>
  </si>
  <si>
    <t>2003</t>
  </si>
  <si>
    <t>2003-06-25</t>
  </si>
  <si>
    <t>2003-03-11</t>
  </si>
  <si>
    <t>5614215853:eng</t>
  </si>
  <si>
    <t>49260717</t>
  </si>
  <si>
    <t>991004002399702656</t>
  </si>
  <si>
    <t>2254775070002656</t>
  </si>
  <si>
    <t>9780060194284</t>
  </si>
  <si>
    <t>32285004683727</t>
  </si>
  <si>
    <t>893228791</t>
  </si>
  <si>
    <t>TT505.K54 G35 1994</t>
  </si>
  <si>
    <t>0                      TT 0505000K  54                 G  35          1994</t>
  </si>
  <si>
    <t>Obsession : the lives and times of Calvin Klein / Steven Gaines and Sharon Churcher.</t>
  </si>
  <si>
    <t>Gaines, Steven S.</t>
  </si>
  <si>
    <t>New York : Birch Lane Press, c1994.</t>
  </si>
  <si>
    <t>2008-10-28</t>
  </si>
  <si>
    <t>1994-05-19</t>
  </si>
  <si>
    <t>32325228:eng</t>
  </si>
  <si>
    <t>30321777</t>
  </si>
  <si>
    <t>991002330369702656</t>
  </si>
  <si>
    <t>2269999550002656</t>
  </si>
  <si>
    <t>9781559722353</t>
  </si>
  <si>
    <t>32285001897593</t>
  </si>
  <si>
    <t>893427481</t>
  </si>
  <si>
    <t>TT505.V74 A33 1984</t>
  </si>
  <si>
    <t>0                      TT 0505000V  74                 A  33          1984</t>
  </si>
  <si>
    <t>D.V. / by Diana Vreeland ; edited by George Plimpton and Christopher Hemphill.</t>
  </si>
  <si>
    <t>Vreeland, Diana.</t>
  </si>
  <si>
    <t>New York : Knopf, 1984.</t>
  </si>
  <si>
    <t>2001-12-14</t>
  </si>
  <si>
    <t>1990-07-27</t>
  </si>
  <si>
    <t>673125:eng</t>
  </si>
  <si>
    <t>10606379</t>
  </si>
  <si>
    <t>991000400939702656</t>
  </si>
  <si>
    <t>2260190530002656</t>
  </si>
  <si>
    <t>9780394503417</t>
  </si>
  <si>
    <t>32285000023639</t>
  </si>
  <si>
    <t>893413314</t>
  </si>
  <si>
    <t>TT507 .A713</t>
  </si>
  <si>
    <t>0                      TT 0507000A  713</t>
  </si>
  <si>
    <t>Elegance : a complete guide for every women who wants to be well and properly dressed on all occasions / Geneviève Antoine Dariaux.</t>
  </si>
  <si>
    <t>Antoine-Dariaux, Geneviève, 1914-</t>
  </si>
  <si>
    <t>Garden City, N.Y. : Doubleday, 1964.</t>
  </si>
  <si>
    <t>2006-12-15</t>
  </si>
  <si>
    <t>1990-02-28</t>
  </si>
  <si>
    <t>198709381:eng</t>
  </si>
  <si>
    <t>326714</t>
  </si>
  <si>
    <t>991002367439702656</t>
  </si>
  <si>
    <t>2272078760002656</t>
  </si>
  <si>
    <t>32285000072669</t>
  </si>
  <si>
    <t>893257208</t>
  </si>
  <si>
    <t>TT507 .B37 1984</t>
  </si>
  <si>
    <t>0                      TT 0507000B  37          1984</t>
  </si>
  <si>
    <t>Art deco fashion : French designers 1908-1925 / Martin Battersby.</t>
  </si>
  <si>
    <t>Battersby, Martin.</t>
  </si>
  <si>
    <t>London : Academy Editions ; New York : St. Martin's Press, c1984.</t>
  </si>
  <si>
    <t>1996-12-13</t>
  </si>
  <si>
    <t>1991-10-29</t>
  </si>
  <si>
    <t>5585258481:eng</t>
  </si>
  <si>
    <t>11859677</t>
  </si>
  <si>
    <t>991000604689702656</t>
  </si>
  <si>
    <t>2267246680002656</t>
  </si>
  <si>
    <t>9780312051815</t>
  </si>
  <si>
    <t>32285000803246</t>
  </si>
  <si>
    <t>893419613</t>
  </si>
  <si>
    <t>TT507 .B55 1984</t>
  </si>
  <si>
    <t>0                      TT 0507000B  55          1984</t>
  </si>
  <si>
    <t>The professional image : the total program for marketing yourself visually / by Susan Bixler ; illustrated by Linda Haas Baliko. Photographs by Kerry Hackney.</t>
  </si>
  <si>
    <t>Bixler, Susan.</t>
  </si>
  <si>
    <t>New York : Putnam, 1984.</t>
  </si>
  <si>
    <t>1998-06-09</t>
  </si>
  <si>
    <t>4084369:eng</t>
  </si>
  <si>
    <t>10208421</t>
  </si>
  <si>
    <t>991000333489702656</t>
  </si>
  <si>
    <t>2264347520002656</t>
  </si>
  <si>
    <t>9780399129544</t>
  </si>
  <si>
    <t>32285000072677</t>
  </si>
  <si>
    <t>893224908</t>
  </si>
  <si>
    <t>TT507 .B67</t>
  </si>
  <si>
    <t>0                      TT 0507000B  67</t>
  </si>
  <si>
    <t>Careers and opportunities in fashion.</t>
  </si>
  <si>
    <t>Brenner, Barbara.</t>
  </si>
  <si>
    <t>Dutton, 1964</t>
  </si>
  <si>
    <t>2003-09-03</t>
  </si>
  <si>
    <t>2191654:eng</t>
  </si>
  <si>
    <t>1283995</t>
  </si>
  <si>
    <t>991003659189702656</t>
  </si>
  <si>
    <t>2261749690002656</t>
  </si>
  <si>
    <t>32285003120044</t>
  </si>
  <si>
    <t>893875010</t>
  </si>
  <si>
    <t>TT507 .B68</t>
  </si>
  <si>
    <t>0                      TT 0507000B  68</t>
  </si>
  <si>
    <t>The theory of fashion design / [by] Helen L. Brockman.</t>
  </si>
  <si>
    <t>Brockman, Helen L.</t>
  </si>
  <si>
    <t>New York : Wiley, [1965]</t>
  </si>
  <si>
    <t>1965</t>
  </si>
  <si>
    <t>2003-02-10</t>
  </si>
  <si>
    <t>1990-03-22</t>
  </si>
  <si>
    <t>1809428291:eng</t>
  </si>
  <si>
    <t>500788</t>
  </si>
  <si>
    <t>991002872849702656</t>
  </si>
  <si>
    <t>2255229090002656</t>
  </si>
  <si>
    <t>32285000091990</t>
  </si>
  <si>
    <t>893717027</t>
  </si>
  <si>
    <t>TT507 .E68 1976</t>
  </si>
  <si>
    <t>0                      TT 0507000E  68          1976</t>
  </si>
  <si>
    <t>Fashion drawings and illustrations from "Harper's bazar" / selected, and with an introd. by Stella Blum.</t>
  </si>
  <si>
    <t>Erté.</t>
  </si>
  <si>
    <t>New York : Dover Publications, 1976.</t>
  </si>
  <si>
    <t>2003-11-13</t>
  </si>
  <si>
    <t>1999-03-31</t>
  </si>
  <si>
    <t>253236690:eng</t>
  </si>
  <si>
    <t>3003691</t>
  </si>
  <si>
    <t>991004315689702656</t>
  </si>
  <si>
    <t>2271010130002656</t>
  </si>
  <si>
    <t>9780486233970</t>
  </si>
  <si>
    <t>32285003548319</t>
  </si>
  <si>
    <t>893624588</t>
  </si>
  <si>
    <t>TT507 .E69 1981</t>
  </si>
  <si>
    <t>0                      TT 0507000E  69          1981</t>
  </si>
  <si>
    <t>Erté's fashion designs : 218 illustrations from "Harper's bazar," 1918-1932 / Erté.</t>
  </si>
  <si>
    <t>New York : Dover Publications, 1981.</t>
  </si>
  <si>
    <t>1999-03-03</t>
  </si>
  <si>
    <t>1024900413:eng</t>
  </si>
  <si>
    <t>8157049</t>
  </si>
  <si>
    <t>991005209899702656</t>
  </si>
  <si>
    <t>2269628100002656</t>
  </si>
  <si>
    <t>9780486242033</t>
  </si>
  <si>
    <t>32285003529046</t>
  </si>
  <si>
    <t>893795787</t>
  </si>
  <si>
    <t>TT507 .E83 1993</t>
  </si>
  <si>
    <t>0                      TT 0507000E  83          1993</t>
  </si>
  <si>
    <t>How to make historic American costumes / by Mary Evans and William-Alan Landes ; illustrated by Elizabeth Brooks ... [et al.].</t>
  </si>
  <si>
    <t>Evans, Mary, 1890-1970.</t>
  </si>
  <si>
    <t>Studio City, CA : Players Press, c1993.</t>
  </si>
  <si>
    <t>1993</t>
  </si>
  <si>
    <t>Rev. and updated.</t>
  </si>
  <si>
    <t>2005-12-05</t>
  </si>
  <si>
    <t>1996-04-24</t>
  </si>
  <si>
    <t>114359254:eng</t>
  </si>
  <si>
    <t>29181784</t>
  </si>
  <si>
    <t>991002251789702656</t>
  </si>
  <si>
    <t>2254701510002656</t>
  </si>
  <si>
    <t>9780887346361</t>
  </si>
  <si>
    <t>32285002156825</t>
  </si>
  <si>
    <t>893439944</t>
  </si>
  <si>
    <t>TT507 .G68 1996</t>
  </si>
  <si>
    <t>0                      TT 0507000G  68          1996</t>
  </si>
  <si>
    <t>Create your own stage costumes / Jacquie Govier and Gill Davies.</t>
  </si>
  <si>
    <t>Govier, Jacquie.</t>
  </si>
  <si>
    <t>London : A &amp; C Black ; Portsmouth, NH. : Heineman, 1996.</t>
  </si>
  <si>
    <t>nhu</t>
  </si>
  <si>
    <t>2005-10-06</t>
  </si>
  <si>
    <t>1996-07-15</t>
  </si>
  <si>
    <t>39637786:eng</t>
  </si>
  <si>
    <t>35207958</t>
  </si>
  <si>
    <t>991002648309702656</t>
  </si>
  <si>
    <t>2262426810002656</t>
  </si>
  <si>
    <t>9780435086756</t>
  </si>
  <si>
    <t>32285002212313</t>
  </si>
  <si>
    <t>893691836</t>
  </si>
  <si>
    <t>TT507 .I46 1992</t>
  </si>
  <si>
    <t>0                      TT 0507000I  46          1992</t>
  </si>
  <si>
    <t>The costume designer's handbook : a complete guide for amateur and professional costume designers / Rosemary Ingham, Liz Covey.</t>
  </si>
  <si>
    <t>Ingham, Rosemary.</t>
  </si>
  <si>
    <t>Portsmouth, NH : Heinemann, c1992.</t>
  </si>
  <si>
    <t>2nd ed., Rev. and updated.</t>
  </si>
  <si>
    <t>1996-05-14</t>
  </si>
  <si>
    <t>836704991:eng</t>
  </si>
  <si>
    <t>25713499</t>
  </si>
  <si>
    <t>991002021949702656</t>
  </si>
  <si>
    <t>2262707940002656</t>
  </si>
  <si>
    <t>9780435086077</t>
  </si>
  <si>
    <t>32285002167434</t>
  </si>
  <si>
    <t>893703580</t>
  </si>
  <si>
    <t>TT507 .I47 1992</t>
  </si>
  <si>
    <t>0                      TT 0507000I  47          1992</t>
  </si>
  <si>
    <t>The costume technician's handbook : a complete guide for amateur and professional costume technicians / Rosemary Ingham, Liz Covey.</t>
  </si>
  <si>
    <t>[Rev. ed.].</t>
  </si>
  <si>
    <t>29112913:eng</t>
  </si>
  <si>
    <t>25747583</t>
  </si>
  <si>
    <t>991002023969702656</t>
  </si>
  <si>
    <t>2269902960002656</t>
  </si>
  <si>
    <t>9780435086107</t>
  </si>
  <si>
    <t>32285002167764</t>
  </si>
  <si>
    <t>893596944</t>
  </si>
  <si>
    <t>TT507 .K415 1982</t>
  </si>
  <si>
    <t>0                      TT 0507000K  415         1982</t>
  </si>
  <si>
    <t>The success image : a guide for the better-dressed business woman / Vicki Keltner, Mike Holsey.</t>
  </si>
  <si>
    <t>Keltner, Vicki.</t>
  </si>
  <si>
    <t>Houston : Gulf Pub. Co., c1982.</t>
  </si>
  <si>
    <t>txu</t>
  </si>
  <si>
    <t>1995-05-02</t>
  </si>
  <si>
    <t>1992-04-24</t>
  </si>
  <si>
    <t>20648702:eng</t>
  </si>
  <si>
    <t>8387678</t>
  </si>
  <si>
    <t>991005237009702656</t>
  </si>
  <si>
    <t>2266638010002656</t>
  </si>
  <si>
    <t>9780872010345</t>
  </si>
  <si>
    <t>32285001095362</t>
  </si>
  <si>
    <t>893260786</t>
  </si>
  <si>
    <t>TT507 .L46</t>
  </si>
  <si>
    <t>0                      TT 0507000L  46</t>
  </si>
  <si>
    <t>The executive look and how to get it : professional guidelines for putting together executive wardrobes for men and women / Mortimer Levitt.</t>
  </si>
  <si>
    <t>Levitt, Mortimer, 1907-</t>
  </si>
  <si>
    <t>New York : AMACOM, 1979.</t>
  </si>
  <si>
    <t>An AMA management briefing</t>
  </si>
  <si>
    <t>1993-04-02</t>
  </si>
  <si>
    <t>1990-07-09</t>
  </si>
  <si>
    <t>16803298:eng</t>
  </si>
  <si>
    <t>5286372</t>
  </si>
  <si>
    <t>991004812859702656</t>
  </si>
  <si>
    <t>2271728620002656</t>
  </si>
  <si>
    <t>9780814422373</t>
  </si>
  <si>
    <t>32285000222256</t>
  </si>
  <si>
    <t>893424217</t>
  </si>
  <si>
    <t>TT507 .N8</t>
  </si>
  <si>
    <t>0                      TT 0507000N  8</t>
  </si>
  <si>
    <t>Economics of fashion, by Paul H. Nystrom ...</t>
  </si>
  <si>
    <t>Nystrom, Paul H. (Paul Henry), 1878-1969.</t>
  </si>
  <si>
    <t>New York, The Ronald Press Company [c1928]</t>
  </si>
  <si>
    <t>1928</t>
  </si>
  <si>
    <t>1999-07-19</t>
  </si>
  <si>
    <t>4080527:eng</t>
  </si>
  <si>
    <t>2167082</t>
  </si>
  <si>
    <t>991004034799702656</t>
  </si>
  <si>
    <t>2270482860002656</t>
  </si>
  <si>
    <t>32285003120077</t>
  </si>
  <si>
    <t>893618143</t>
  </si>
  <si>
    <t>TT507 .P363 1993</t>
  </si>
  <si>
    <t>0                      TT 0507000P  363         1993</t>
  </si>
  <si>
    <t>Costume design : techniques of modern masters / Lynn Pecktal.</t>
  </si>
  <si>
    <t>Pecktal, Lynn.</t>
  </si>
  <si>
    <t>New York : Back Stage Books, c1993.</t>
  </si>
  <si>
    <t>1997-01-31</t>
  </si>
  <si>
    <t>1994-03-30</t>
  </si>
  <si>
    <t>356254:eng</t>
  </si>
  <si>
    <t>27035587</t>
  </si>
  <si>
    <t>991002109709702656</t>
  </si>
  <si>
    <t>2270240950002656</t>
  </si>
  <si>
    <t>9780823083114</t>
  </si>
  <si>
    <t>32285001863017</t>
  </si>
  <si>
    <t>893697362</t>
  </si>
  <si>
    <t>TT507 .T466</t>
  </si>
  <si>
    <t>0                      TT 0507000T  466</t>
  </si>
  <si>
    <t>A practical approach to costume design and construction / Beverly Jane Thomas.</t>
  </si>
  <si>
    <t>Thomas, Beverly Jane.</t>
  </si>
  <si>
    <t>Boston : Allyn and Bacon, 1982.</t>
  </si>
  <si>
    <t>2000-04-05</t>
  </si>
  <si>
    <t>2000-01-05</t>
  </si>
  <si>
    <t>28586280:eng</t>
  </si>
  <si>
    <t>7555469</t>
  </si>
  <si>
    <t>991005128689702656</t>
  </si>
  <si>
    <t>2266352240002656</t>
  </si>
  <si>
    <t>9780205072736</t>
  </si>
  <si>
    <t>32285001748929</t>
  </si>
  <si>
    <t>893320074</t>
  </si>
  <si>
    <t>32285003637658</t>
  </si>
  <si>
    <t>893338558</t>
  </si>
  <si>
    <t>TT507 .W43 1983</t>
  </si>
  <si>
    <t>0                      TT 0507000W  43          1983</t>
  </si>
  <si>
    <t>Elementary fashion design and trade sketching / written and illustrated by Maxine Westerman.</t>
  </si>
  <si>
    <t>Westerman, Maxine.</t>
  </si>
  <si>
    <t>New York : Fairchild Publications, c1983.</t>
  </si>
  <si>
    <t>1999-04-28</t>
  </si>
  <si>
    <t>21863459:eng</t>
  </si>
  <si>
    <t>9500168</t>
  </si>
  <si>
    <t>991000206709702656</t>
  </si>
  <si>
    <t>2263020500002656</t>
  </si>
  <si>
    <t>9780870054389</t>
  </si>
  <si>
    <t>32285003557435</t>
  </si>
  <si>
    <t>893689522</t>
  </si>
  <si>
    <t>TT515 .B88 1993</t>
  </si>
  <si>
    <t>0                      TT 0515000B  88          1993</t>
  </si>
  <si>
    <t>Art in dress (1922) / by P. Clement Brown ; edited by R.L. Shep, with additional notes &amp; illustrations.</t>
  </si>
  <si>
    <t>Brown, P. Clement (Percy Clement), 1886-</t>
  </si>
  <si>
    <t>Mendocino, CA : R.L. Shep, c1993.</t>
  </si>
  <si>
    <t>New ed.</t>
  </si>
  <si>
    <t>1999-10-28</t>
  </si>
  <si>
    <t>1996-05-09</t>
  </si>
  <si>
    <t>2864739499:eng</t>
  </si>
  <si>
    <t>28294709</t>
  </si>
  <si>
    <t>991002200829702656</t>
  </si>
  <si>
    <t>2258832520002656</t>
  </si>
  <si>
    <t>9780914046196</t>
  </si>
  <si>
    <t>32285002166089</t>
  </si>
  <si>
    <t>893627005</t>
  </si>
  <si>
    <t>TT520 .G667 1993</t>
  </si>
  <si>
    <t>0                      TT 0520000G  667         1993</t>
  </si>
  <si>
    <t>Ladies' tailor-made garments / by S.S. Gordon ; edited by Jules &amp; Kaethe Kliot.</t>
  </si>
  <si>
    <t>Gordon, S. S.</t>
  </si>
  <si>
    <t>Berkeley, CA : LACIS Publications, c1993.</t>
  </si>
  <si>
    <t>2005-04-19</t>
  </si>
  <si>
    <t>1997-07-01</t>
  </si>
  <si>
    <t>33646973:eng</t>
  </si>
  <si>
    <t>31149680</t>
  </si>
  <si>
    <t>991002397549702656</t>
  </si>
  <si>
    <t>2271208360002656</t>
  </si>
  <si>
    <t>9780916896454</t>
  </si>
  <si>
    <t>32285002754710</t>
  </si>
  <si>
    <t>893421299</t>
  </si>
  <si>
    <t>TT520 .H67 1990</t>
  </si>
  <si>
    <t>0                      TT 0520000H  67          1990</t>
  </si>
  <si>
    <t>Edwardian ladies' tailoring : the twentieth century system of ladies' garment cutting (1910) / by J.C. Hopkins.</t>
  </si>
  <si>
    <t>Hopkins, J. C.</t>
  </si>
  <si>
    <t>Mendocino, CA : R.L. Shep, c1990.</t>
  </si>
  <si>
    <t>4th ed. / enl. &amp; edited by R.L. Shep.</t>
  </si>
  <si>
    <t>1028201587:eng</t>
  </si>
  <si>
    <t>21410038</t>
  </si>
  <si>
    <t>991001688209702656</t>
  </si>
  <si>
    <t>2254862690002656</t>
  </si>
  <si>
    <t>9780914046103</t>
  </si>
  <si>
    <t>32285002166147</t>
  </si>
  <si>
    <t>893322153</t>
  </si>
  <si>
    <t>TT520 .H933 1996</t>
  </si>
  <si>
    <t>0                      TT 0520000H  933         1996</t>
  </si>
  <si>
    <t>Period costume for stage &amp; screen. Patterns for women's dress, medieval-1500 / Jean Hunnisett ; illustrations by Kathryn Turner.</t>
  </si>
  <si>
    <t>Hunnisett, Jean.</t>
  </si>
  <si>
    <t>Studio City, CA : Players Press, c1996.</t>
  </si>
  <si>
    <t>2007-10-28</t>
  </si>
  <si>
    <t>3943298331:eng</t>
  </si>
  <si>
    <t>33861888</t>
  </si>
  <si>
    <t>991005126109702656</t>
  </si>
  <si>
    <t>2266449760002656</t>
  </si>
  <si>
    <t>9780887346538</t>
  </si>
  <si>
    <t>32285005361935</t>
  </si>
  <si>
    <t>893807857</t>
  </si>
  <si>
    <t>TT556 .A54 1988</t>
  </si>
  <si>
    <t>0                      TT 0556000A  54          1988</t>
  </si>
  <si>
    <t>American dress pattern catalogs, 1873-1909 : four complete reprints / edited by Nancy Villa Bryk.</t>
  </si>
  <si>
    <t>New York : Published for Henry Ford Museum &amp; Greenfield Village, Dearborn, Michigan by Dover Publications, 1988.</t>
  </si>
  <si>
    <t>1988</t>
  </si>
  <si>
    <t>2003-02-17</t>
  </si>
  <si>
    <t>836849182:eng</t>
  </si>
  <si>
    <t>17767864</t>
  </si>
  <si>
    <t>991001261069702656</t>
  </si>
  <si>
    <t>2255458950002656</t>
  </si>
  <si>
    <t>9780486256542</t>
  </si>
  <si>
    <t>32285002167442</t>
  </si>
  <si>
    <t>893684201</t>
  </si>
  <si>
    <t>TT560 .P36</t>
  </si>
  <si>
    <t>0                      TT 0560000P  36</t>
  </si>
  <si>
    <t>Costumes to make. Illustrated by Lynn Sweat.</t>
  </si>
  <si>
    <t>Parish, Peggy.</t>
  </si>
  <si>
    <t>[New York] Macmillan [1970]</t>
  </si>
  <si>
    <t>399987:eng</t>
  </si>
  <si>
    <t>86996</t>
  </si>
  <si>
    <t>991000518259702656</t>
  </si>
  <si>
    <t>2270193110002656</t>
  </si>
  <si>
    <t>32285003120085</t>
  </si>
  <si>
    <t>893689775</t>
  </si>
  <si>
    <t>TT560 .R87 1975</t>
  </si>
  <si>
    <t>0                      TT 0560000R  87          1975</t>
  </si>
  <si>
    <t>Adaptable stage costume for women : a hundred-in-one costumes designed by Elizabeth Russell.</t>
  </si>
  <si>
    <t>Russell, Elizabeth, active 1974-</t>
  </si>
  <si>
    <t>New York : Theatre Arts Books, 1974 [i.e. 1975]</t>
  </si>
  <si>
    <t>2004-06-30</t>
  </si>
  <si>
    <t>10677791595:eng</t>
  </si>
  <si>
    <t>1323578</t>
  </si>
  <si>
    <t>991003692529702656</t>
  </si>
  <si>
    <t>2255278980002656</t>
  </si>
  <si>
    <t>9780878300075</t>
  </si>
  <si>
    <t>32285003120093</t>
  </si>
  <si>
    <t>893800035</t>
  </si>
  <si>
    <t>TT580 .G55 1987</t>
  </si>
  <si>
    <t>0                      TT 0580000G  55          1987</t>
  </si>
  <si>
    <t>The art of cutting and history of English costume / by Edward B. Giles.</t>
  </si>
  <si>
    <t>Giles, Edward B. (Edward Boyer), -1896.</t>
  </si>
  <si>
    <t>Lopez Island [Wash.] : R.L. Shep, c1987.</t>
  </si>
  <si>
    <t>wau</t>
  </si>
  <si>
    <t>11972197:eng</t>
  </si>
  <si>
    <t>16405846</t>
  </si>
  <si>
    <t>991001106859702656</t>
  </si>
  <si>
    <t>2263621370002656</t>
  </si>
  <si>
    <t>9780914046059</t>
  </si>
  <si>
    <t>32285002754603</t>
  </si>
  <si>
    <t>893803350</t>
  </si>
  <si>
    <t>TT617 .K37 1986</t>
  </si>
  <si>
    <t>0                      TT 0617000K  37          1986</t>
  </si>
  <si>
    <t>The winner's style : the modern male's passport to perfect grooming / Kenneth J. Karpinski with Philip Z. Trupp ; foreword by Doris Pooser.</t>
  </si>
  <si>
    <t>Karpinski, Kenneth J., 1948-</t>
  </si>
  <si>
    <t>Washington, DC : Acropolis Books, c1986.</t>
  </si>
  <si>
    <t>2010-11-16</t>
  </si>
  <si>
    <t>1992-06-25</t>
  </si>
  <si>
    <t>7750236:eng</t>
  </si>
  <si>
    <t>14187234</t>
  </si>
  <si>
    <t>991000917119702656</t>
  </si>
  <si>
    <t>2260188920002656</t>
  </si>
  <si>
    <t>9780874918243</t>
  </si>
  <si>
    <t>32285001145266</t>
  </si>
  <si>
    <t>893696290</t>
  </si>
  <si>
    <t>TT618 .M64 1978</t>
  </si>
  <si>
    <t>0                      TT 0618000M  64          1978</t>
  </si>
  <si>
    <t>Dress for success / by John T. Molloy.</t>
  </si>
  <si>
    <t>Molloy, John T.</t>
  </si>
  <si>
    <t>New York : Warner Books, 1978, c1975.</t>
  </si>
  <si>
    <t>1978</t>
  </si>
  <si>
    <t>1992-07-03</t>
  </si>
  <si>
    <t>2399732:eng</t>
  </si>
  <si>
    <t>4814840</t>
  </si>
  <si>
    <t>991004726229702656</t>
  </si>
  <si>
    <t>2263334360002656</t>
  </si>
  <si>
    <t>9780446879606</t>
  </si>
  <si>
    <t>32285001157154</t>
  </si>
  <si>
    <t>893436670</t>
  </si>
  <si>
    <t>TT618 .M64 1988</t>
  </si>
  <si>
    <t>0                      TT 0618000M  64          1988</t>
  </si>
  <si>
    <t>John T. Molloy's new dress for success.</t>
  </si>
  <si>
    <t>New York, NY : Warner Books, c1988.</t>
  </si>
  <si>
    <t>1992-06-10</t>
  </si>
  <si>
    <t>3901187573:eng</t>
  </si>
  <si>
    <t>15251679</t>
  </si>
  <si>
    <t>991001006629702656</t>
  </si>
  <si>
    <t>2255251730002656</t>
  </si>
  <si>
    <t>9780446385527</t>
  </si>
  <si>
    <t>32285001128080</t>
  </si>
  <si>
    <t>893614693</t>
  </si>
  <si>
    <t>TT633 .C67 1980</t>
  </si>
  <si>
    <t>0                      TT 0633000C  67          1980</t>
  </si>
  <si>
    <t>The costumer's handbook : how to make all kinds of costumes / Rosemary Ingham, Liz Covey.</t>
  </si>
  <si>
    <t>Englewood Cliffs, N.J. : Prentice-Hall, c1980.</t>
  </si>
  <si>
    <t>A Spectrum book</t>
  </si>
  <si>
    <t>1997-02-26</t>
  </si>
  <si>
    <t>1992-01-21</t>
  </si>
  <si>
    <t>866845856:eng</t>
  </si>
  <si>
    <t>5008371</t>
  </si>
  <si>
    <t>991004762879702656</t>
  </si>
  <si>
    <t>2269390550002656</t>
  </si>
  <si>
    <t>9780131812635</t>
  </si>
  <si>
    <t>32285000916261</t>
  </si>
  <si>
    <t>893411918</t>
  </si>
  <si>
    <t>TT633 .E74</t>
  </si>
  <si>
    <t>0                      TT 0633000E  74</t>
  </si>
  <si>
    <t>Ethnic costume : clothing designs and techniques with an international inspiration / Lois Ericson and Diane Ericson ; illustrated by Diane Ericson.</t>
  </si>
  <si>
    <t>Ericson, Lois.</t>
  </si>
  <si>
    <t>New York : Van Nostrand, 1979.</t>
  </si>
  <si>
    <t>1992-01-23</t>
  </si>
  <si>
    <t>836664733:eng</t>
  </si>
  <si>
    <t>4494561</t>
  </si>
  <si>
    <t>991004653199702656</t>
  </si>
  <si>
    <t>2265276010002656</t>
  </si>
  <si>
    <t>9780442267810</t>
  </si>
  <si>
    <t>32285000917368</t>
  </si>
  <si>
    <t>893606292</t>
  </si>
  <si>
    <t>TT633 .H65 1984</t>
  </si>
  <si>
    <t>0                      TT 0633000H  65          1984</t>
  </si>
  <si>
    <t>Patterns for theatrical costumes : garments, trims, and accessories from ancient Egypt to 1915 / Katherine Strand Holkeboer.</t>
  </si>
  <si>
    <t>Strand-Evans, Katherine.</t>
  </si>
  <si>
    <t>Englewood Cliffs, N.J. : Prentice-Hall, c1984.</t>
  </si>
  <si>
    <t>1997-02-14</t>
  </si>
  <si>
    <t>1990-07-11</t>
  </si>
  <si>
    <t>3158179:eng</t>
  </si>
  <si>
    <t>10273235</t>
  </si>
  <si>
    <t>991000341419702656</t>
  </si>
  <si>
    <t>2267376670002656</t>
  </si>
  <si>
    <t>9780136542780</t>
  </si>
  <si>
    <t>32285000235720</t>
  </si>
  <si>
    <t>893431876</t>
  </si>
  <si>
    <t>TT633 .H65 1993</t>
  </si>
  <si>
    <t>0                      TT 0633000H  65          1993</t>
  </si>
  <si>
    <t>New York : Drama Book Publishers, 1993, c1984.</t>
  </si>
  <si>
    <t>1st Drama Book Publishers ed.</t>
  </si>
  <si>
    <t>2006-04-25</t>
  </si>
  <si>
    <t>31811042</t>
  </si>
  <si>
    <t>991002440009702656</t>
  </si>
  <si>
    <t>2256808840002656</t>
  </si>
  <si>
    <t>9780896761254</t>
  </si>
  <si>
    <t>32285002754637</t>
  </si>
  <si>
    <t>893622282</t>
  </si>
  <si>
    <t>TT649 .D4 1992</t>
  </si>
  <si>
    <t>0                      TT 0649000D  4           1992</t>
  </si>
  <si>
    <t>Elegantly frugal costumes : the poor man's do-it-yourself costume maker's guide / by Shirley Dearing ; illustrations by Beth Tallakson.</t>
  </si>
  <si>
    <t>Dearing, Shirley, 1931-</t>
  </si>
  <si>
    <t>Colorado Springs, CO : Meriwether Pub. Co., c1992.</t>
  </si>
  <si>
    <t>cou</t>
  </si>
  <si>
    <t>335385427:eng</t>
  </si>
  <si>
    <t>26129788</t>
  </si>
  <si>
    <t>991002046739702656</t>
  </si>
  <si>
    <t>2270945880002656</t>
  </si>
  <si>
    <t>9780916260880</t>
  </si>
  <si>
    <t>32285002167723</t>
  </si>
  <si>
    <t>893603145</t>
  </si>
  <si>
    <t>TT655 .B5 1992</t>
  </si>
  <si>
    <t>0                      TT 0655000B  5           1992</t>
  </si>
  <si>
    <t>Edwardian hats : the art of millinery (1909) / by Anna Ben-Yusuf ; enlarged &amp; edited by R.L. Shep.</t>
  </si>
  <si>
    <t>Ben-Yûsuf, Anna.</t>
  </si>
  <si>
    <t>Mendocino, CA : R.L. Shep, c1992.</t>
  </si>
  <si>
    <t>2009-03-20</t>
  </si>
  <si>
    <t>28307206:eng</t>
  </si>
  <si>
    <t>25632389</t>
  </si>
  <si>
    <t>991002016409702656</t>
  </si>
  <si>
    <t>2268235340002656</t>
  </si>
  <si>
    <t>9780914046158</t>
  </si>
  <si>
    <t>32285002166121</t>
  </si>
  <si>
    <t>893892035</t>
  </si>
  <si>
    <t>TT698 .D78</t>
  </si>
  <si>
    <t>0                      TT 0698000D  78</t>
  </si>
  <si>
    <t>Occupational handicrafts.</t>
  </si>
  <si>
    <t>Dryad Handicrafts (Firm)</t>
  </si>
  <si>
    <t>Leicester, [Eng.] : Dryad Handicrafts [1951]</t>
  </si>
  <si>
    <t>1999-10-12</t>
  </si>
  <si>
    <t>1780678093:eng</t>
  </si>
  <si>
    <t>13530513</t>
  </si>
  <si>
    <t>991000843419702656</t>
  </si>
  <si>
    <t>2259361840002656</t>
  </si>
  <si>
    <t>32285003120101</t>
  </si>
  <si>
    <t>893690088</t>
  </si>
  <si>
    <t>TT771 .S55 1968</t>
  </si>
  <si>
    <t>0                      TT 0771000S  55          1968</t>
  </si>
  <si>
    <t>Sylvia Sidney needlepoint book / [by] Sylvia Sidney with Alfred Allen Lewis.</t>
  </si>
  <si>
    <t>Sidney, Sylvia, 1910-1999.</t>
  </si>
  <si>
    <t>New York : Reinhold Book Corp., [1968]</t>
  </si>
  <si>
    <t>1995-08-30</t>
  </si>
  <si>
    <t>1990-02-07</t>
  </si>
  <si>
    <t>1342901:eng</t>
  </si>
  <si>
    <t>300946</t>
  </si>
  <si>
    <t>991002254479702656</t>
  </si>
  <si>
    <t>2269420580002656</t>
  </si>
  <si>
    <t>32285000033752</t>
  </si>
  <si>
    <t>893798372</t>
  </si>
  <si>
    <t>TT778.C3 L27 1977</t>
  </si>
  <si>
    <t>0                      TT 0778000C  3                  L  27          1977</t>
  </si>
  <si>
    <t>Needlework designs from the American Indians : traditional patterns of the Southeastern tribes / Anne Cheek Landsman.</t>
  </si>
  <si>
    <t>Landsman, Anne Cheek, 1948-</t>
  </si>
  <si>
    <t>South Brunswick, [N.J.] : A. S. Barnes, c1977.</t>
  </si>
  <si>
    <t>2003-05-29</t>
  </si>
  <si>
    <t>962293573:eng</t>
  </si>
  <si>
    <t>3017769</t>
  </si>
  <si>
    <t>991004066849702656</t>
  </si>
  <si>
    <t>2269980330002656</t>
  </si>
  <si>
    <t>9780498018046</t>
  </si>
  <si>
    <t>32285004748736</t>
  </si>
  <si>
    <t>893800543</t>
  </si>
  <si>
    <t>TT848 .M47 1987</t>
  </si>
  <si>
    <t>0                      TT 0848000M  47          1987</t>
  </si>
  <si>
    <t>Spanish-American blanketry : its relationship to aboriginal weaving in the Southwest / by H.P. Mera ; with an introduction by Kate Peck Kent ; and a foreword by E. Boyd.</t>
  </si>
  <si>
    <t>Mera, H. P. (Harry Percival), 1875-1951.</t>
  </si>
  <si>
    <t>Santa Fe, N.M. : School of American Research Press, c1987.</t>
  </si>
  <si>
    <t>nmu</t>
  </si>
  <si>
    <t>2004-12-13</t>
  </si>
  <si>
    <t>147951650:eng</t>
  </si>
  <si>
    <t>15792500</t>
  </si>
  <si>
    <t>991004366119702656</t>
  </si>
  <si>
    <t>2261294950002656</t>
  </si>
  <si>
    <t>9780933452213</t>
  </si>
  <si>
    <t>32285005016448</t>
  </si>
  <si>
    <t>893593598</t>
  </si>
  <si>
    <t>TT851 .D79 1981</t>
  </si>
  <si>
    <t>0                      TT 0851000D  79          1981</t>
  </si>
  <si>
    <t>Fabric painting &amp; dyeing for the theatre / Deborah M. Dryden.</t>
  </si>
  <si>
    <t>Dryden, Deborah M.</t>
  </si>
  <si>
    <t>New York : Drama Book Specialists, c1981.</t>
  </si>
  <si>
    <t>30800228:eng</t>
  </si>
  <si>
    <t>7464495</t>
  </si>
  <si>
    <t>991005117559702656</t>
  </si>
  <si>
    <t>2262377810002656</t>
  </si>
  <si>
    <t>9780896760561</t>
  </si>
  <si>
    <t>32285001748937</t>
  </si>
  <si>
    <t>893424563</t>
  </si>
  <si>
    <t>TT851 .D79 1993</t>
  </si>
  <si>
    <t>0                      TT 0851000D  79          1993</t>
  </si>
  <si>
    <t>Fabric painting and dyeing for the theatre / Deborah M. Dryden.</t>
  </si>
  <si>
    <t>Portsmouth, NH : Heinemann, c1993.</t>
  </si>
  <si>
    <t>1999-08-04</t>
  </si>
  <si>
    <t>1997-06-30</t>
  </si>
  <si>
    <t>28631803</t>
  </si>
  <si>
    <t>991002222329702656</t>
  </si>
  <si>
    <t>2269185460002656</t>
  </si>
  <si>
    <t>9780435086244</t>
  </si>
  <si>
    <t>32285002754223</t>
  </si>
  <si>
    <t>893335065</t>
  </si>
  <si>
    <t>TT851 .E45 1994</t>
  </si>
  <si>
    <t>0                      TT 0851000E  45          1994</t>
  </si>
  <si>
    <t>Painting fabric / Marion Elliot.</t>
  </si>
  <si>
    <t>Elliot, Marion.</t>
  </si>
  <si>
    <t>New York : H. Holt, 1994, c1993.</t>
  </si>
  <si>
    <t>1st American/Owl Book ed.</t>
  </si>
  <si>
    <t>Contemporary crafts</t>
  </si>
  <si>
    <t>2002-04-18</t>
  </si>
  <si>
    <t>32162268:eng</t>
  </si>
  <si>
    <t>30867764</t>
  </si>
  <si>
    <t>991002372639702656</t>
  </si>
  <si>
    <t>2263302770002656</t>
  </si>
  <si>
    <t>9780805033243</t>
  </si>
  <si>
    <t>32285002754629</t>
  </si>
  <si>
    <t>893427526</t>
  </si>
  <si>
    <t>TT851 .K36 1993</t>
  </si>
  <si>
    <t>0                      TT 0851000K  36          1993</t>
  </si>
  <si>
    <t>The comp[l]ete book of fabric painting / by Linda S. Kanzinger.</t>
  </si>
  <si>
    <t>Kanzinger, Linda S., 1951-</t>
  </si>
  <si>
    <t>Portland, OR. : Alcott Press, 1993.</t>
  </si>
  <si>
    <t>Rev. and expanded</t>
  </si>
  <si>
    <t>1999-04-13</t>
  </si>
  <si>
    <t>5425033:eng</t>
  </si>
  <si>
    <t>28930497</t>
  </si>
  <si>
    <t>991002241509702656</t>
  </si>
  <si>
    <t>2267895640002656</t>
  </si>
  <si>
    <t>9780961618018</t>
  </si>
  <si>
    <t>32285003551719</t>
  </si>
  <si>
    <t>893322708</t>
  </si>
  <si>
    <t>TT870 .H56 1971</t>
  </si>
  <si>
    <t>0                      TT 0870000H  56          1971</t>
  </si>
  <si>
    <t>Decorative papers &amp; fabrics / Annette Hollander.</t>
  </si>
  <si>
    <t>Hollander, Annette.</t>
  </si>
  <si>
    <t>New York : Van Nostrand Reinhold Co., [1971]</t>
  </si>
  <si>
    <t>1995-03-25</t>
  </si>
  <si>
    <t>1308944:eng</t>
  </si>
  <si>
    <t>216887</t>
  </si>
  <si>
    <t>991001287429702656</t>
  </si>
  <si>
    <t>2256826600002656</t>
  </si>
  <si>
    <t>32285001748945</t>
  </si>
  <si>
    <t>893426501</t>
  </si>
  <si>
    <t>TT870 .P3</t>
  </si>
  <si>
    <t>0                      TT 0870000P  3</t>
  </si>
  <si>
    <t>Practical papercraft : over 400 useful and decorative projects for fun and profit.</t>
  </si>
  <si>
    <t>Palestrant, Simon S., 1908-</t>
  </si>
  <si>
    <t>New York : Homecrafts, [1950]</t>
  </si>
  <si>
    <t>1950</t>
  </si>
  <si>
    <t>1999-09-30</t>
  </si>
  <si>
    <t>1993-07-01</t>
  </si>
  <si>
    <t>433586509:eng</t>
  </si>
  <si>
    <t>1650977</t>
  </si>
  <si>
    <t>991003854239702656</t>
  </si>
  <si>
    <t>2271999980002656</t>
  </si>
  <si>
    <t>32285001699254</t>
  </si>
  <si>
    <t>893337048</t>
  </si>
  <si>
    <t>TT898 .J36 1990</t>
  </si>
  <si>
    <t>0                      TT 0898000J  36          1990</t>
  </si>
  <si>
    <t>The prop builder's mask-making handbook / Thurston James.</t>
  </si>
  <si>
    <t>James, Thurston, 1933-</t>
  </si>
  <si>
    <t>Cincinnati, Ohio : Betterway Books, c1990.</t>
  </si>
  <si>
    <t>2003-10-29</t>
  </si>
  <si>
    <t>2010-03-31</t>
  </si>
  <si>
    <t>1997-03-06</t>
  </si>
  <si>
    <t>936684:eng</t>
  </si>
  <si>
    <t>21764264</t>
  </si>
  <si>
    <t>991001721279702656</t>
  </si>
  <si>
    <t>2263338150002656</t>
  </si>
  <si>
    <t>9781558701670</t>
  </si>
  <si>
    <t>32285002440740</t>
  </si>
  <si>
    <t>893696979</t>
  </si>
  <si>
    <t>32285002440757</t>
  </si>
  <si>
    <t>893715658</t>
  </si>
  <si>
    <t>TT900.H34 R6 1985</t>
  </si>
  <si>
    <t>0                      TT 0900000H  34                 R  6           1985</t>
  </si>
  <si>
    <t>The Hanukkah book / Mae Shafter Rockland.</t>
  </si>
  <si>
    <t>Tupa, Mae Rockland.</t>
  </si>
  <si>
    <t>New York : Schocken Books, c1985.</t>
  </si>
  <si>
    <t>2008-10-09</t>
  </si>
  <si>
    <t>1992-11-17</t>
  </si>
  <si>
    <t>2405476:eng</t>
  </si>
  <si>
    <t>12822179</t>
  </si>
  <si>
    <t>991000743949702656</t>
  </si>
  <si>
    <t>2271801890002656</t>
  </si>
  <si>
    <t>9780805207927</t>
  </si>
  <si>
    <t>32285005174171</t>
  </si>
  <si>
    <t>893589702</t>
  </si>
  <si>
    <t>TT919.5 .F68 1992</t>
  </si>
  <si>
    <t>0                      TT 0919500F  68          1992</t>
  </si>
  <si>
    <t>Illustrated dictionary of practical pottery / Robert Fournier.</t>
  </si>
  <si>
    <t>Fournier, Robert, 1915-2008.</t>
  </si>
  <si>
    <t>Radnor, Pa. : Chilton Book Co., 1992.</t>
  </si>
  <si>
    <t>3rd ed.</t>
  </si>
  <si>
    <t>1997-11-25</t>
  </si>
  <si>
    <t>1993-12-06</t>
  </si>
  <si>
    <t>131349958:eng</t>
  </si>
  <si>
    <t>24541329</t>
  </si>
  <si>
    <t>991001941999702656</t>
  </si>
  <si>
    <t>2263618980002656</t>
  </si>
  <si>
    <t>9780801982484</t>
  </si>
  <si>
    <t>32285001814309</t>
  </si>
  <si>
    <t>893408502</t>
  </si>
  <si>
    <t>TT920 .C68</t>
  </si>
  <si>
    <t>0                      TT 0920000C  68</t>
  </si>
  <si>
    <t>Pottery workshop : a study in the making of pottery from idea to finished form / Charles Counts; photos. by Bill Haddox.</t>
  </si>
  <si>
    <t>Counts, Charles.</t>
  </si>
  <si>
    <t>New York : Macmillan, 1976, c1973, 1979 printing.</t>
  </si>
  <si>
    <t>398019:eng</t>
  </si>
  <si>
    <t>658094</t>
  </si>
  <si>
    <t>991003113199702656</t>
  </si>
  <si>
    <t>2260109580002656</t>
  </si>
  <si>
    <t>32285001748952</t>
  </si>
  <si>
    <t>893874444</t>
  </si>
  <si>
    <t>TT920 .G74 1992</t>
  </si>
  <si>
    <t>0                      TT 0920000G  74          1992</t>
  </si>
  <si>
    <t>Sculptural ceramics / Ian Gregory.</t>
  </si>
  <si>
    <t>Gregory, Ian.</t>
  </si>
  <si>
    <t>London : A &amp; C Black ; Radnor, Pa. : Chilton, 1992.</t>
  </si>
  <si>
    <t>2007-07-24</t>
  </si>
  <si>
    <t>8908384397:eng</t>
  </si>
  <si>
    <t>787166065</t>
  </si>
  <si>
    <t>991002118659702656</t>
  </si>
  <si>
    <t>2259345120002656</t>
  </si>
  <si>
    <t>9780713635805</t>
  </si>
  <si>
    <t>32285001921294</t>
  </si>
  <si>
    <t>893626964</t>
  </si>
  <si>
    <t>TT920 .H66 1986</t>
  </si>
  <si>
    <t>0                      TT 0920000H  66          1986</t>
  </si>
  <si>
    <t>Functional pottery : form and aesthetic in pots of purpose / Robin Hopper.</t>
  </si>
  <si>
    <t>Radnor, Pa. : Chilton Book Co., c1986.</t>
  </si>
  <si>
    <t>1990-05-17</t>
  </si>
  <si>
    <t>46262644:eng</t>
  </si>
  <si>
    <t>13003841</t>
  </si>
  <si>
    <t>991000766849702656</t>
  </si>
  <si>
    <t>2262760810002656</t>
  </si>
  <si>
    <t>9780801974519</t>
  </si>
  <si>
    <t>32285000137470</t>
  </si>
  <si>
    <t>893528373</t>
  </si>
  <si>
    <t>TT920 .S685 1989</t>
  </si>
  <si>
    <t>0                      TT 0920000S  685         1989</t>
  </si>
  <si>
    <t>Hands in clay : an introduction to ceramics / Charlotte F. Speight ; John Toki, technical advisor/collaborator.</t>
  </si>
  <si>
    <t>Speight, Charlotte F., 1919-</t>
  </si>
  <si>
    <t>Mountain View, Calif. : Mayfield, c1989.</t>
  </si>
  <si>
    <t>2001-03-21</t>
  </si>
  <si>
    <t>1991-06-11</t>
  </si>
  <si>
    <t>3281748:eng</t>
  </si>
  <si>
    <t>18557105</t>
  </si>
  <si>
    <t>991001363899702656</t>
  </si>
  <si>
    <t>2264062450002656</t>
  </si>
  <si>
    <t>9780874848489</t>
  </si>
  <si>
    <t>32285000594241</t>
  </si>
  <si>
    <t>893702965</t>
  </si>
  <si>
    <t>TT920 .W65 1978</t>
  </si>
  <si>
    <t>0                      TT 0920000W  65          1978</t>
  </si>
  <si>
    <t>Handbuilding ceramic forms / Elsbeth S. Woody.</t>
  </si>
  <si>
    <t>Woody, Elsbeth S.</t>
  </si>
  <si>
    <t>New York : Farrar, Straus, Giroux, c1978.</t>
  </si>
  <si>
    <t>1887731342:eng</t>
  </si>
  <si>
    <t>3892689</t>
  </si>
  <si>
    <t>991004539959702656</t>
  </si>
  <si>
    <t>2272300220002656</t>
  </si>
  <si>
    <t>9780374167738</t>
  </si>
  <si>
    <t>32285001748978</t>
  </si>
  <si>
    <t>893895127</t>
  </si>
  <si>
    <t>TT922 .O88 1999</t>
  </si>
  <si>
    <t>0                      TT 0922000O  88          1999</t>
  </si>
  <si>
    <t>The new maiolica : contemporary approaches to colour and technique / Matthias Ostermann.</t>
  </si>
  <si>
    <t>Ostermann, Matthias.</t>
  </si>
  <si>
    <t>London : A &amp; C Black ; Philadelphia : University of Pennsylvania Press, 1999.</t>
  </si>
  <si>
    <t>2000-08-01</t>
  </si>
  <si>
    <t>793852805:eng</t>
  </si>
  <si>
    <t>40954067</t>
  </si>
  <si>
    <t>991003228789702656</t>
  </si>
  <si>
    <t>2262945310002656</t>
  </si>
  <si>
    <t>9780713648782</t>
  </si>
  <si>
    <t>32285003744330</t>
  </si>
  <si>
    <t>893705036</t>
  </si>
  <si>
    <t>TT924 .O44 1983</t>
  </si>
  <si>
    <t>0                      TT 0924000O  44          1983</t>
  </si>
  <si>
    <t>The kiln book : materials, specifications, and construction / Frederick L. Olsen.</t>
  </si>
  <si>
    <t>Olsen, Frederick L.</t>
  </si>
  <si>
    <t>Radnor, Pa. : Chilton Book Co., c1983.</t>
  </si>
  <si>
    <t>1994-05-09</t>
  </si>
  <si>
    <t>838904308:eng</t>
  </si>
  <si>
    <t>8785156</t>
  </si>
  <si>
    <t>991000071159702656</t>
  </si>
  <si>
    <t>2266804560002656</t>
  </si>
  <si>
    <t>9780801970719</t>
  </si>
  <si>
    <t>32285001748986</t>
  </si>
  <si>
    <t>893607591</t>
  </si>
  <si>
    <t>TT985 .W23 1978</t>
  </si>
  <si>
    <t>0                      TT 0985000W  23          1978</t>
  </si>
  <si>
    <t>Crinolines and crimping irons : Victorian clothes : how they were cleaned and cared for / [by] Christina Walkley and Vanda Foster.</t>
  </si>
  <si>
    <t>Walkley, Christina.</t>
  </si>
  <si>
    <t>London : Owen, 1978.</t>
  </si>
  <si>
    <t>1997-12-12</t>
  </si>
  <si>
    <t>196752080:eng</t>
  </si>
  <si>
    <t>5125600</t>
  </si>
  <si>
    <t>991004782609702656</t>
  </si>
  <si>
    <t>2264541600002656</t>
  </si>
  <si>
    <t>9780720605006</t>
  </si>
  <si>
    <t>32285001748994</t>
  </si>
  <si>
    <t>893600226</t>
  </si>
  <si>
    <t>TX147 .L58 1980</t>
  </si>
  <si>
    <t>0                      TX 0147000L  58          1980</t>
  </si>
  <si>
    <t>Living more with less / Doris Janzen Longacre ; introduction by Ronald J. Sider.</t>
  </si>
  <si>
    <t>Scottdale, Pa. : Herald Press, 1980.</t>
  </si>
  <si>
    <t xml:space="preserve">TX </t>
  </si>
  <si>
    <t>2010-12-10</t>
  </si>
  <si>
    <t>2009-07-28</t>
  </si>
  <si>
    <t>3372332040:eng</t>
  </si>
  <si>
    <t>6378842</t>
  </si>
  <si>
    <t>991005328349702656</t>
  </si>
  <si>
    <t>2268855330002656</t>
  </si>
  <si>
    <t>9780836119305</t>
  </si>
  <si>
    <t>32285005539639</t>
  </si>
  <si>
    <t>893811003</t>
  </si>
  <si>
    <t>TX158 .W58 1978</t>
  </si>
  <si>
    <t>0                      TX 0158000W  58          1978</t>
  </si>
  <si>
    <t>The Woman's day book of household hints / edited by Martha Ellen Hughes.</t>
  </si>
  <si>
    <t>New York : Morrow, 1978.</t>
  </si>
  <si>
    <t>1995-02-20</t>
  </si>
  <si>
    <t>54194863:eng</t>
  </si>
  <si>
    <t>3481188</t>
  </si>
  <si>
    <t>991004445249702656</t>
  </si>
  <si>
    <t>2264453760002656</t>
  </si>
  <si>
    <t>9780688032838</t>
  </si>
  <si>
    <t>32285001749018</t>
  </si>
  <si>
    <t>893869722</t>
  </si>
  <si>
    <t>TX173 .S44 1995</t>
  </si>
  <si>
    <t>0                      TX 0173000S  44          1995</t>
  </si>
  <si>
    <t>Perfection salad : women and cooking at the turn of the century / by Laura Shapiro.</t>
  </si>
  <si>
    <t>Shapiro, Laura.</t>
  </si>
  <si>
    <t>New York : North Point Press/Farrar, Straus, and Giroux, 1995, c1986.</t>
  </si>
  <si>
    <t>North Point Press ed.</t>
  </si>
  <si>
    <t>2004-02-17</t>
  </si>
  <si>
    <t>1996-06-05</t>
  </si>
  <si>
    <t>5358398:eng</t>
  </si>
  <si>
    <t>33055787</t>
  </si>
  <si>
    <t>991002543989702656</t>
  </si>
  <si>
    <t>2272003850002656</t>
  </si>
  <si>
    <t>9780865474864</t>
  </si>
  <si>
    <t>32285002187788</t>
  </si>
  <si>
    <t>893773745</t>
  </si>
  <si>
    <t>TX325 .F7413 1978</t>
  </si>
  <si>
    <t>0                      TX 0325000F  7413        1978</t>
  </si>
  <si>
    <t>Twelve little housemates / by Karl von Frisch ; translated by A. T. Sugar.</t>
  </si>
  <si>
    <t>Frisch, Karl von, 1886-1982.</t>
  </si>
  <si>
    <t>Oxford ; New York : Pergamon, c1978.</t>
  </si>
  <si>
    <t>Enl. and rev. ed. of the popular book describing insects that live in our home.</t>
  </si>
  <si>
    <t>Pergamon international library of science, technology, engineering, and social studies</t>
  </si>
  <si>
    <t>2000-02-16</t>
  </si>
  <si>
    <t>1150975316:eng</t>
  </si>
  <si>
    <t>4076272</t>
  </si>
  <si>
    <t>991004583389702656</t>
  </si>
  <si>
    <t>2262898240002656</t>
  </si>
  <si>
    <t>9780080219592</t>
  </si>
  <si>
    <t>32285001749026</t>
  </si>
  <si>
    <t>893513425</t>
  </si>
  <si>
    <t>TX326 .M67 1989</t>
  </si>
  <si>
    <t>0                      TX 0326000M  67          1989</t>
  </si>
  <si>
    <t>Household finance management and the labour market / Lydia Morris with Sally Ruane.</t>
  </si>
  <si>
    <t>Morris, Lydia, 1949-</t>
  </si>
  <si>
    <t>Aldershot ; Brookfield, Vermont : Avebury, c1989.</t>
  </si>
  <si>
    <t>1995-12-01</t>
  </si>
  <si>
    <t>1990-10-09</t>
  </si>
  <si>
    <t>30023460:eng</t>
  </si>
  <si>
    <t>27434075</t>
  </si>
  <si>
    <t>991001399519702656</t>
  </si>
  <si>
    <t>2265593800002656</t>
  </si>
  <si>
    <t>9780566056918</t>
  </si>
  <si>
    <t>32285000279900</t>
  </si>
  <si>
    <t>893872515</t>
  </si>
  <si>
    <t>TX335 .B38</t>
  </si>
  <si>
    <t>0                      TX 0335000B  38</t>
  </si>
  <si>
    <t>The Battle of the household budget, by the editors of Dreyfus Publications. Illustrated by John Huehnergarth.</t>
  </si>
  <si>
    <t>New York, Dreyfus Publications [1974]</t>
  </si>
  <si>
    <t>The Dreyfus family money management service</t>
  </si>
  <si>
    <t>2007-02-14</t>
  </si>
  <si>
    <t>1953162:eng</t>
  </si>
  <si>
    <t>984267</t>
  </si>
  <si>
    <t>991003448779702656</t>
  </si>
  <si>
    <t>2272756510002656</t>
  </si>
  <si>
    <t>32285003120200</t>
  </si>
  <si>
    <t>893805785</t>
  </si>
  <si>
    <t>TX340 .M59</t>
  </si>
  <si>
    <t>0                      TX 0340000M  59</t>
  </si>
  <si>
    <t>The woman's dress for success book / John T. Molloy.</t>
  </si>
  <si>
    <t>Chicago : Follett Pub. Co., c1977.</t>
  </si>
  <si>
    <t>1991-11-08</t>
  </si>
  <si>
    <t>442957:eng</t>
  </si>
  <si>
    <t>3363753</t>
  </si>
  <si>
    <t>991004416459702656</t>
  </si>
  <si>
    <t>2259042850002656</t>
  </si>
  <si>
    <t>9780695808105</t>
  </si>
  <si>
    <t>32285000796846</t>
  </si>
  <si>
    <t>893612322</t>
  </si>
  <si>
    <t>TX340 .R313</t>
  </si>
  <si>
    <t>0                      TX 0340000R  313</t>
  </si>
  <si>
    <t>Fashions and fabrics : a guide to clothing selection and good grooming, with a special section on household fabrics / Lucy Rathbone ... [et.al.] Editorial advisor: Lela O'Toole.</t>
  </si>
  <si>
    <t>Rathbone, Lucy.</t>
  </si>
  <si>
    <t>New York : Houghton Mifflin, c1962.</t>
  </si>
  <si>
    <t>1962</t>
  </si>
  <si>
    <t>Riverside home economics series</t>
  </si>
  <si>
    <t>1995-03-15</t>
  </si>
  <si>
    <t>908019778:eng</t>
  </si>
  <si>
    <t>2022690</t>
  </si>
  <si>
    <t>991003983439702656</t>
  </si>
  <si>
    <t>2265599290002656</t>
  </si>
  <si>
    <t>32285000796838</t>
  </si>
  <si>
    <t>893512648</t>
  </si>
  <si>
    <t>TX345 .N35 1977</t>
  </si>
  <si>
    <t>0                      TX 0345000N  35          1977</t>
  </si>
  <si>
    <t>World food and nutrition study : the potential contributions of research / prepared by the Steering Committee, NRC Study on World Food and Nutrition of the Commission on International Relations, National Research Council.</t>
  </si>
  <si>
    <t>National Research Council (U.S.). World Food and Nutrition Study Steering Committee.</t>
  </si>
  <si>
    <t>Washington : National Academy of Sciences, 1977.</t>
  </si>
  <si>
    <t>2003-01-24</t>
  </si>
  <si>
    <t>819994888:eng</t>
  </si>
  <si>
    <t>3079252</t>
  </si>
  <si>
    <t>991004337839702656</t>
  </si>
  <si>
    <t>2270961490002656</t>
  </si>
  <si>
    <t>9780309026284</t>
  </si>
  <si>
    <t>32285003120291</t>
  </si>
  <si>
    <t>893525974</t>
  </si>
  <si>
    <t>TX349 .G54 1997</t>
  </si>
  <si>
    <t>0                      TX 0349000G  54          1997</t>
  </si>
  <si>
    <t>El libro de las técnicas de cocina / [Ma. Jesús Gil de Antuñano, texto ; Carmen Suárez, texto y coordinación ; Anel Fernández, fotografía ; Carmen G. Barragán y Victor Garcia, edición de textos].</t>
  </si>
  <si>
    <t>Gil de Antuñano, María Jesús.</t>
  </si>
  <si>
    <t>Madrid : El País/Aguilar, c1997.</t>
  </si>
  <si>
    <t>1997</t>
  </si>
  <si>
    <t>spa</t>
  </si>
  <si>
    <t xml:space="preserve">sp </t>
  </si>
  <si>
    <t>2000-11-20</t>
  </si>
  <si>
    <t>1998-05-13</t>
  </si>
  <si>
    <t>41913352:spa</t>
  </si>
  <si>
    <t>39069597</t>
  </si>
  <si>
    <t>991002937279702656</t>
  </si>
  <si>
    <t>2261848070002656</t>
  </si>
  <si>
    <t>32285003408829</t>
  </si>
  <si>
    <t>893409734</t>
  </si>
  <si>
    <t>TX349 .M613 1988</t>
  </si>
  <si>
    <t>0                      TX 0349000M  613         1988</t>
  </si>
  <si>
    <t>Larousse gastronomique : the new American edition of the world's greatest culinary encyclopedia / edited by Jenifer Harvey Lang.</t>
  </si>
  <si>
    <t>Montagné, Prosper, 1864-1948.</t>
  </si>
  <si>
    <t>New York : Crown Publishers, 1988.</t>
  </si>
  <si>
    <t>2007-01-17</t>
  </si>
  <si>
    <t>1990-11-26</t>
  </si>
  <si>
    <t>4922002170:eng</t>
  </si>
  <si>
    <t>17478288</t>
  </si>
  <si>
    <t>991001221609702656</t>
  </si>
  <si>
    <t>2270206270002656</t>
  </si>
  <si>
    <t>9780517570326</t>
  </si>
  <si>
    <t>32285000356849</t>
  </si>
  <si>
    <t>893340254</t>
  </si>
  <si>
    <t>TX353 .B62</t>
  </si>
  <si>
    <t>0                      TX 0353000B  62</t>
  </si>
  <si>
    <t>Future food and agriculture policy : a program for the next ten years / by John Donald Black and Maxine Enlow Kiefer.</t>
  </si>
  <si>
    <t>Black, John D. (John Donald), 1883-1960.</t>
  </si>
  <si>
    <t>New York : McGraw-Hill Book Co., 1948.</t>
  </si>
  <si>
    <t>1948</t>
  </si>
  <si>
    <t>2000-04-25</t>
  </si>
  <si>
    <t>1994-05-04</t>
  </si>
  <si>
    <t>2239576:eng</t>
  </si>
  <si>
    <t>1298910</t>
  </si>
  <si>
    <t>991003676799702656</t>
  </si>
  <si>
    <t>2263985330002656</t>
  </si>
  <si>
    <t>32285001906931</t>
  </si>
  <si>
    <t>893617598</t>
  </si>
  <si>
    <t>TX353 .B76 1981</t>
  </si>
  <si>
    <t>0                      TX 0353000B  76          1981</t>
  </si>
  <si>
    <t>Jane Brody's Nutrition book : a lifetime guide to good eating for better health and weight control / by the personal health columnist of the New York times.</t>
  </si>
  <si>
    <t>Brody, Jane E.</t>
  </si>
  <si>
    <t>New York : Norton, c1981.</t>
  </si>
  <si>
    <t>1998-04-15</t>
  </si>
  <si>
    <t>8739230:eng</t>
  </si>
  <si>
    <t>6889115</t>
  </si>
  <si>
    <t>991005053279702656</t>
  </si>
  <si>
    <t>2269168480002656</t>
  </si>
  <si>
    <t>9780393014297</t>
  </si>
  <si>
    <t>32285000033760</t>
  </si>
  <si>
    <t>893776753</t>
  </si>
  <si>
    <t>TX353 .F59</t>
  </si>
  <si>
    <t>0                      TX 0353000F  59</t>
  </si>
  <si>
    <t>Food and drink in history : selections from the Annales, économies, sociétes, civilisations, volume 5 / edited by Robert Forster and Orest Ranum ; translated by Elborg Forster and Patricia M. Ranum.</t>
  </si>
  <si>
    <t>Baltimore : Johns Hopkins University Press, c1979.</t>
  </si>
  <si>
    <t>181479:eng</t>
  </si>
  <si>
    <t>4497191</t>
  </si>
  <si>
    <t>991004661649702656</t>
  </si>
  <si>
    <t>2266968370002656</t>
  </si>
  <si>
    <t>9780801821561</t>
  </si>
  <si>
    <t>32285000072693</t>
  </si>
  <si>
    <t>893889019</t>
  </si>
  <si>
    <t>TX353 .K71</t>
  </si>
  <si>
    <t>0                      TX 0353000K  71</t>
  </si>
  <si>
    <t>Food and its functions : a text-book for students of cookery / by James Knight.</t>
  </si>
  <si>
    <t>Knight, James, active 1728.</t>
  </si>
  <si>
    <t>London, Glasgow and Dublin : Blackie, [1903]</t>
  </si>
  <si>
    <t>1903</t>
  </si>
  <si>
    <t>2008-01-28</t>
  </si>
  <si>
    <t>1992-05-05</t>
  </si>
  <si>
    <t>2689642:eng</t>
  </si>
  <si>
    <t>2018628</t>
  </si>
  <si>
    <t>991003979809702656</t>
  </si>
  <si>
    <t>2259614440002656</t>
  </si>
  <si>
    <t>32285001092724</t>
  </si>
  <si>
    <t>893593123</t>
  </si>
  <si>
    <t>TX353 .N48 1986</t>
  </si>
  <si>
    <t>0                      TX 0353000N  48          1986</t>
  </si>
  <si>
    <t>Melting pot : an annotated bibliography and guide to food and nutrition information for ethnic groups in America / Jacqueline M. Newman.</t>
  </si>
  <si>
    <t>Newman, Jacqueline M., 1932-</t>
  </si>
  <si>
    <t>New York : Garland Pub., 1986.</t>
  </si>
  <si>
    <t>Garland reference library of social science ; vol. 351</t>
  </si>
  <si>
    <t>2001-11-09</t>
  </si>
  <si>
    <t>1992-08-07</t>
  </si>
  <si>
    <t>3855427565:eng</t>
  </si>
  <si>
    <t>13158135</t>
  </si>
  <si>
    <t>991000791359702656</t>
  </si>
  <si>
    <t>2265281010002656</t>
  </si>
  <si>
    <t>9780824043261</t>
  </si>
  <si>
    <t>32285001242832</t>
  </si>
  <si>
    <t>893690036</t>
  </si>
  <si>
    <t>TX353 .W513 2002</t>
  </si>
  <si>
    <t>0                      TX 0353000W  513         2002</t>
  </si>
  <si>
    <t>What we eat : the true story of why we put sugar in our coffee and ketchup on our fries / edited by Burt Wolf.</t>
  </si>
  <si>
    <t>San Diego, Calif. : Tehabi Books, c2002.</t>
  </si>
  <si>
    <t>2010-06-09</t>
  </si>
  <si>
    <t>2006-06-20</t>
  </si>
  <si>
    <t>5164557423:eng</t>
  </si>
  <si>
    <t>50843671</t>
  </si>
  <si>
    <t>991004831759702656</t>
  </si>
  <si>
    <t>2263092090002656</t>
  </si>
  <si>
    <t>9781887656986</t>
  </si>
  <si>
    <t>32285005191514</t>
  </si>
  <si>
    <t>893688214</t>
  </si>
  <si>
    <t>TX360.M4 B34 1998</t>
  </si>
  <si>
    <t>0                      TX 0360000M  4                  B  34          1998</t>
  </si>
  <si>
    <t>Cooking - and coping - among the cacti : diet, nutrition and available income in northwestern Mexico / Roberta D. Baer.</t>
  </si>
  <si>
    <t>Baer, Roberta Dale.</t>
  </si>
  <si>
    <t>Amsterdam : Gordon and Breach, 1998.</t>
  </si>
  <si>
    <t xml:space="preserve">ne </t>
  </si>
  <si>
    <t>Food and nutrition in history and anthropology ; v. 13</t>
  </si>
  <si>
    <t>2003-03-21</t>
  </si>
  <si>
    <t>1999-09-09</t>
  </si>
  <si>
    <t>234960473:eng</t>
  </si>
  <si>
    <t>39526990</t>
  </si>
  <si>
    <t>991002958699702656</t>
  </si>
  <si>
    <t>2260126300002656</t>
  </si>
  <si>
    <t>9789056995768</t>
  </si>
  <si>
    <t>32285003587580</t>
  </si>
  <si>
    <t>893530694</t>
  </si>
  <si>
    <t>TX361.A8 D75 2000</t>
  </si>
  <si>
    <t>0                      TX 0361000A  8                  D  75          2000</t>
  </si>
  <si>
    <t>Sports nutrition / Judy A. Driskell.</t>
  </si>
  <si>
    <t>Driskell, Judy A. (Judy Anne)</t>
  </si>
  <si>
    <t>Boca Raton, FL : CRC Press, 2000.</t>
  </si>
  <si>
    <t>flu</t>
  </si>
  <si>
    <t>Nutrition in exercise and sport</t>
  </si>
  <si>
    <t>2007-12-12</t>
  </si>
  <si>
    <t>2000-03-23</t>
  </si>
  <si>
    <t>9657335210:eng</t>
  </si>
  <si>
    <t>41049745</t>
  </si>
  <si>
    <t>991003017349702656</t>
  </si>
  <si>
    <t>2259348760002656</t>
  </si>
  <si>
    <t>9780849381973</t>
  </si>
  <si>
    <t>32285003673653</t>
  </si>
  <si>
    <t>893793237</t>
  </si>
  <si>
    <t>TX361.A8 E374 1990</t>
  </si>
  <si>
    <t>0                      TX 0361000A  8                  E  374         1990</t>
  </si>
  <si>
    <t>Coaches guide to nutrition and weight control / Patricia A. Eisenman, Stephen C. Johnson, Joan E. Benson.</t>
  </si>
  <si>
    <t>Eisenman, Patricia.</t>
  </si>
  <si>
    <t>Champaign, IL : Human Kinetics Publishers, c1990.</t>
  </si>
  <si>
    <t>2005-04-09</t>
  </si>
  <si>
    <t>1990-02-02</t>
  </si>
  <si>
    <t>21426622:eng</t>
  </si>
  <si>
    <t>19518314</t>
  </si>
  <si>
    <t>991001468929702656</t>
  </si>
  <si>
    <t>2262285550002656</t>
  </si>
  <si>
    <t>9780880113656</t>
  </si>
  <si>
    <t>32285000036136</t>
  </si>
  <si>
    <t>893328151</t>
  </si>
  <si>
    <t>TX361.A8 E38 1992</t>
  </si>
  <si>
    <t>0                      TX 0361000A  8                  E  38          1992</t>
  </si>
  <si>
    <t>Eating, body weight, and performance in athletes : disorders of modern society / [edited by] Kelly D. Brownell, Judith Rodin, Jack H. Wilmore.</t>
  </si>
  <si>
    <t>Philadelphia : Lea &amp; Febiger, 1992.</t>
  </si>
  <si>
    <t>2006-10-29</t>
  </si>
  <si>
    <t>1992-05-29</t>
  </si>
  <si>
    <t>836884812:eng</t>
  </si>
  <si>
    <t>24065230</t>
  </si>
  <si>
    <t>991001903479702656</t>
  </si>
  <si>
    <t>2263969350002656</t>
  </si>
  <si>
    <t>9780812114744</t>
  </si>
  <si>
    <t>32285001119733</t>
  </si>
  <si>
    <t>893879279</t>
  </si>
  <si>
    <t>TX361.A8 N873 1995</t>
  </si>
  <si>
    <t>0                      TX 0361000A  8                  N  873         1995</t>
  </si>
  <si>
    <t>Nutrition for the recreational athlete / [edited by] Catherine G. Ratzin Jackson.</t>
  </si>
  <si>
    <t>Boca Raton : CRC Press, c1995.</t>
  </si>
  <si>
    <t>CRC series on nutrition in exercise and sport</t>
  </si>
  <si>
    <t>1999-09-27</t>
  </si>
  <si>
    <t>1995-11-27</t>
  </si>
  <si>
    <t>32766397:eng</t>
  </si>
  <si>
    <t>30593607</t>
  </si>
  <si>
    <t>991002348569702656</t>
  </si>
  <si>
    <t>2260820320002656</t>
  </si>
  <si>
    <t>9780849379147</t>
  </si>
  <si>
    <t>32285002106366</t>
  </si>
  <si>
    <t>893873397</t>
  </si>
  <si>
    <t>TX361.A8 N88 1998</t>
  </si>
  <si>
    <t>0                      TX 0361000A  8                  N  88          1998</t>
  </si>
  <si>
    <t>Nutrition in exercise and sport / edited by Ira Wolinsky.</t>
  </si>
  <si>
    <t>Boca Raton : CRC Press, c1998.</t>
  </si>
  <si>
    <t>2000-11-16</t>
  </si>
  <si>
    <t>1997-11-20</t>
  </si>
  <si>
    <t>55692747:eng</t>
  </si>
  <si>
    <t>36682351</t>
  </si>
  <si>
    <t>991002793669702656</t>
  </si>
  <si>
    <t>2256468590002656</t>
  </si>
  <si>
    <t>9780849385605</t>
  </si>
  <si>
    <t>32285003272407</t>
  </si>
  <si>
    <t>893886730</t>
  </si>
  <si>
    <t>TX361.A8 N89 2001</t>
  </si>
  <si>
    <t>0                      TX 0361000A  8                  N  89          2001</t>
  </si>
  <si>
    <t>Nutritional applications in exercise and sport / edited by Ira Wolinsky, Judy A. Driskell.</t>
  </si>
  <si>
    <t>Boca Raton : CRC Press, c2001.</t>
  </si>
  <si>
    <t>2001-12-05</t>
  </si>
  <si>
    <t>2001-12-04</t>
  </si>
  <si>
    <t>44266422</t>
  </si>
  <si>
    <t>991003664379702656</t>
  </si>
  <si>
    <t>2265216420002656</t>
  </si>
  <si>
    <t>9780849381997</t>
  </si>
  <si>
    <t>32285004425699</t>
  </si>
  <si>
    <t>893592746</t>
  </si>
  <si>
    <t>TX361.A8 S674 1995</t>
  </si>
  <si>
    <t>0                      TX 0361000A  8                  S  674         1995</t>
  </si>
  <si>
    <t>Sports nutrition : minerals and electrolytes / edited by Constance V. Kies, Judy A. Driskell.</t>
  </si>
  <si>
    <t>1999-06-29</t>
  </si>
  <si>
    <t>3752817910:eng</t>
  </si>
  <si>
    <t>30594684</t>
  </si>
  <si>
    <t>991002349979702656</t>
  </si>
  <si>
    <t>2263867570002656</t>
  </si>
  <si>
    <t>9780849379161</t>
  </si>
  <si>
    <t>32285002106333</t>
  </si>
  <si>
    <t>893603478</t>
  </si>
  <si>
    <t>TX371 .R62 1987</t>
  </si>
  <si>
    <t>0                      TX 0371000R  62          1987</t>
  </si>
  <si>
    <t>Diet for a new America / John Robbins.</t>
  </si>
  <si>
    <t>Robbins, John.</t>
  </si>
  <si>
    <t>Walpole, NH : Stillpoint, c1987.</t>
  </si>
  <si>
    <t>2010-12-07</t>
  </si>
  <si>
    <t>1991-09-24</t>
  </si>
  <si>
    <t>183665180:eng</t>
  </si>
  <si>
    <t>16678142</t>
  </si>
  <si>
    <t>991001129139702656</t>
  </si>
  <si>
    <t>2262912670002656</t>
  </si>
  <si>
    <t>9780913299548</t>
  </si>
  <si>
    <t>32285000704949</t>
  </si>
  <si>
    <t>893243879</t>
  </si>
  <si>
    <t>TX392 .B44 1982</t>
  </si>
  <si>
    <t>0                      TX 0392000B  44          1982</t>
  </si>
  <si>
    <t>Vegetarianism and the Jewish tradition / by Louis A. Berman.</t>
  </si>
  <si>
    <t>Berman, Louis Arthur.</t>
  </si>
  <si>
    <t>New York : Ktav Pub. House, 1982.</t>
  </si>
  <si>
    <t>2005-02-02</t>
  </si>
  <si>
    <t>1991-10-23</t>
  </si>
  <si>
    <t>515840:eng</t>
  </si>
  <si>
    <t>7773954</t>
  </si>
  <si>
    <t>991005159799702656</t>
  </si>
  <si>
    <t>2269276780002656</t>
  </si>
  <si>
    <t>9780870687563</t>
  </si>
  <si>
    <t>32285000779388</t>
  </si>
  <si>
    <t>893446611</t>
  </si>
  <si>
    <t>TX392 .B72 1981</t>
  </si>
  <si>
    <t>0                      TX 0392000B  72          1981</t>
  </si>
  <si>
    <t>Radical vegetarianism : a dialectic of diet and ethic / Mark Mathew Braunstein.</t>
  </si>
  <si>
    <t>Braunstein, Mark Mathew, 1951-</t>
  </si>
  <si>
    <t>Los Angeles : Panjandrum Books, 1981.</t>
  </si>
  <si>
    <t>2007-03-13</t>
  </si>
  <si>
    <t>560087:eng</t>
  </si>
  <si>
    <t>7279288</t>
  </si>
  <si>
    <t>991005099189702656</t>
  </si>
  <si>
    <t>2262258060002656</t>
  </si>
  <si>
    <t>9780915572373</t>
  </si>
  <si>
    <t>32285000779370</t>
  </si>
  <si>
    <t>893344638</t>
  </si>
  <si>
    <t>TX392 .D65 1985</t>
  </si>
  <si>
    <t>0                      TX 0392000D  65          1985</t>
  </si>
  <si>
    <t>Vegetarianism : the philosophy behind the ethical diet / by Daniel A. Dombrowski.</t>
  </si>
  <si>
    <t>Dombrowski, Daniel A.</t>
  </si>
  <si>
    <t>Wellingborough : Thorsons, 1985, c1984.</t>
  </si>
  <si>
    <t>2008-05-21</t>
  </si>
  <si>
    <t>1992-01-08</t>
  </si>
  <si>
    <t>1806279556:eng</t>
  </si>
  <si>
    <t>12503345</t>
  </si>
  <si>
    <t>991000692989702656</t>
  </si>
  <si>
    <t>2259275820002656</t>
  </si>
  <si>
    <t>9780722511282</t>
  </si>
  <si>
    <t>32285000884477</t>
  </si>
  <si>
    <t>893438503</t>
  </si>
  <si>
    <t>TX392 .F79 1999</t>
  </si>
  <si>
    <t>0                      TX 0392000F  79          1999</t>
  </si>
  <si>
    <t>Deep vegetarianism / Michael Allen Fox.</t>
  </si>
  <si>
    <t>Fox, Michael Allen.</t>
  </si>
  <si>
    <t>Philadelphia : Temple University Press, c1999.</t>
  </si>
  <si>
    <t>America in transition</t>
  </si>
  <si>
    <t>2010-11-06</t>
  </si>
  <si>
    <t>2001-10-29</t>
  </si>
  <si>
    <t>8908784090:eng</t>
  </si>
  <si>
    <t>40489353</t>
  </si>
  <si>
    <t>991003626929702656</t>
  </si>
  <si>
    <t>2264065240002656</t>
  </si>
  <si>
    <t>9781566397049</t>
  </si>
  <si>
    <t>32285004416094</t>
  </si>
  <si>
    <t>893868640</t>
  </si>
  <si>
    <t>TX392 .F85 1983</t>
  </si>
  <si>
    <t>0                      TX 0392000F  85          1983</t>
  </si>
  <si>
    <t>Rights, killing, and suffering : moral vegetarianism and applied ethics / R.G. Frey.</t>
  </si>
  <si>
    <t>Frey, R. G. (Raymond Gillespie)</t>
  </si>
  <si>
    <t>Oxford, England : B. Blackwell, 1983.</t>
  </si>
  <si>
    <t>1992-02-26</t>
  </si>
  <si>
    <t>836694937:eng</t>
  </si>
  <si>
    <t>11548324</t>
  </si>
  <si>
    <t>991000552679702656</t>
  </si>
  <si>
    <t>2260009220002656</t>
  </si>
  <si>
    <t>9780631126843</t>
  </si>
  <si>
    <t>32285000978030</t>
  </si>
  <si>
    <t>893438362</t>
  </si>
  <si>
    <t>TX392 .H528 1996</t>
  </si>
  <si>
    <t>0                      TX 0392000H  528         1996</t>
  </si>
  <si>
    <t>The case for vegetarianism : philosophy for a small planet / John Lawrence Hill.</t>
  </si>
  <si>
    <t>Hill, John L. (John Lawrence), 1960-</t>
  </si>
  <si>
    <t>Lanham, Md. : Rowman &amp; Littlefield Publishers, c1996.</t>
  </si>
  <si>
    <t>2009-04-01</t>
  </si>
  <si>
    <t>1996-05-10</t>
  </si>
  <si>
    <t>799830307:eng</t>
  </si>
  <si>
    <t>33443585</t>
  </si>
  <si>
    <t>991002574319702656</t>
  </si>
  <si>
    <t>2268249940002656</t>
  </si>
  <si>
    <t>9780847681372</t>
  </si>
  <si>
    <t>32285002166964</t>
  </si>
  <si>
    <t>893773767</t>
  </si>
  <si>
    <t>TX406 .T87 2004</t>
  </si>
  <si>
    <t>0                      TX 0406000T  87          2004</t>
  </si>
  <si>
    <t>Spice : the history of a temptation / Jack Turner.</t>
  </si>
  <si>
    <t>Turner, Jack, 1968-</t>
  </si>
  <si>
    <t>New York : Knopf : Distributed by Random House, 2004.</t>
  </si>
  <si>
    <t>2005-10-14</t>
  </si>
  <si>
    <t>2004-08-26</t>
  </si>
  <si>
    <t>1207529:eng</t>
  </si>
  <si>
    <t>53814621</t>
  </si>
  <si>
    <t>991004319309702656</t>
  </si>
  <si>
    <t>2271778010002656</t>
  </si>
  <si>
    <t>9780375407215</t>
  </si>
  <si>
    <t>32285004983374</t>
  </si>
  <si>
    <t>893241271</t>
  </si>
  <si>
    <t>TX415 .U5 1935</t>
  </si>
  <si>
    <t>0                      TX 0415000U  5           1935</t>
  </si>
  <si>
    <t>All about coffee / by William H. Ukers, M.A.</t>
  </si>
  <si>
    <t>Ukers, William H. (William Harrison), 1873-1945.</t>
  </si>
  <si>
    <t>New York : The Tea and Coffee Trade Journal Company, 1935.</t>
  </si>
  <si>
    <t>2005-09-16</t>
  </si>
  <si>
    <t>2023638:eng</t>
  </si>
  <si>
    <t>1208973</t>
  </si>
  <si>
    <t>991003621539702656</t>
  </si>
  <si>
    <t>2269054860002656</t>
  </si>
  <si>
    <t>32285001092716</t>
  </si>
  <si>
    <t>893598774</t>
  </si>
  <si>
    <t>TX541 .A76 1984</t>
  </si>
  <si>
    <t>0                      TX 0541000A  76          1984</t>
  </si>
  <si>
    <t>Analysis of foods and beverages : modern techniques / edited by George Charalambous.</t>
  </si>
  <si>
    <t>Orlando : Academic Press, 1984.</t>
  </si>
  <si>
    <t>Food science and technology</t>
  </si>
  <si>
    <t>1994-04-17</t>
  </si>
  <si>
    <t>4929784938:eng</t>
  </si>
  <si>
    <t>9682930</t>
  </si>
  <si>
    <t>991000239769702656</t>
  </si>
  <si>
    <t>2264005540002656</t>
  </si>
  <si>
    <t>9780121691608</t>
  </si>
  <si>
    <t>32285001749224</t>
  </si>
  <si>
    <t>893771498</t>
  </si>
  <si>
    <t>TX545 .C44 1997</t>
  </si>
  <si>
    <t>0                      TX 0545000C  44          1997</t>
  </si>
  <si>
    <t>Chemical and functional properties of food components / edited by Zdzislaw E. Sikorski.</t>
  </si>
  <si>
    <t>Lancaster, Pa. : Technomic Pub. Co., c1997.</t>
  </si>
  <si>
    <t>2001-05-16</t>
  </si>
  <si>
    <t>2001-04-16</t>
  </si>
  <si>
    <t>865019934:eng</t>
  </si>
  <si>
    <t>36296272</t>
  </si>
  <si>
    <t>991003492299702656</t>
  </si>
  <si>
    <t>2258139090002656</t>
  </si>
  <si>
    <t>9781566764643</t>
  </si>
  <si>
    <t>32285004312483</t>
  </si>
  <si>
    <t>893324120</t>
  </si>
  <si>
    <t>TX545 .C6 1976</t>
  </si>
  <si>
    <t>0                      TX 0545000C  6           1976</t>
  </si>
  <si>
    <t>The chemical analysis of foods / by David Pearson.</t>
  </si>
  <si>
    <t>Pearson, David.</t>
  </si>
  <si>
    <t>Edinburgh ; New York : Churchill Livingstone, 1976.</t>
  </si>
  <si>
    <t>7th ed.</t>
  </si>
  <si>
    <t>stk</t>
  </si>
  <si>
    <t>1995-03-14</t>
  </si>
  <si>
    <t>2487729926:eng</t>
  </si>
  <si>
    <t>2793796</t>
  </si>
  <si>
    <t>991004243019702656</t>
  </si>
  <si>
    <t>2268286750002656</t>
  </si>
  <si>
    <t>9780443014116</t>
  </si>
  <si>
    <t>32285001749232</t>
  </si>
  <si>
    <t>893782010</t>
  </si>
  <si>
    <t>TX551 .M377 1991</t>
  </si>
  <si>
    <t>0                      TX 0551000M  377         1991</t>
  </si>
  <si>
    <t>McCance and Widdowson's the composition of foods.</t>
  </si>
  <si>
    <t>McCance, R. A. (Robert Alexander), 1898-1993.</t>
  </si>
  <si>
    <t>Cambridge, UK : Royal Society of Chemistry : Ministry of Agriculture, Fisheries and Food, c1991.</t>
  </si>
  <si>
    <t>5th rev. and extended ed. / B. Holland ... [et al.].</t>
  </si>
  <si>
    <t>2004-10-04</t>
  </si>
  <si>
    <t>1997-05-22</t>
  </si>
  <si>
    <t>4917075348:eng</t>
  </si>
  <si>
    <t>24801302</t>
  </si>
  <si>
    <t>991001959109702656</t>
  </si>
  <si>
    <t>2267131500002656</t>
  </si>
  <si>
    <t>9780851863917</t>
  </si>
  <si>
    <t>32285002610938</t>
  </si>
  <si>
    <t>893603035</t>
  </si>
  <si>
    <t>TX551 .R6 1999</t>
  </si>
  <si>
    <t>0                      TX 0551000R  6           1999</t>
  </si>
  <si>
    <t>Harriet Roth's fat counter / by Harriet Roth.</t>
  </si>
  <si>
    <t>Roth, Harriet.</t>
  </si>
  <si>
    <t>New York : Signet, c1999.</t>
  </si>
  <si>
    <t>2nd rev. ed.</t>
  </si>
  <si>
    <t>2003-04-30</t>
  </si>
  <si>
    <t>23449083:eng</t>
  </si>
  <si>
    <t>40502831</t>
  </si>
  <si>
    <t>991004043239702656</t>
  </si>
  <si>
    <t>2256426520002656</t>
  </si>
  <si>
    <t>9780451197450</t>
  </si>
  <si>
    <t>32285004744412</t>
  </si>
  <si>
    <t>893318732</t>
  </si>
  <si>
    <t>TX553.A3 B4 1971</t>
  </si>
  <si>
    <t>0                      TX 0553000A  3                  B  4           1971</t>
  </si>
  <si>
    <t>The chemicals we eat, by Melvin A. Benarde.</t>
  </si>
  <si>
    <t>Benarde, Melvin A.</t>
  </si>
  <si>
    <t>New York, American Heritage Press [1971]</t>
  </si>
  <si>
    <t>1314622:eng</t>
  </si>
  <si>
    <t>143421</t>
  </si>
  <si>
    <t>991000817839702656</t>
  </si>
  <si>
    <t>2256675140002656</t>
  </si>
  <si>
    <t>9780070044227</t>
  </si>
  <si>
    <t>32285003120721</t>
  </si>
  <si>
    <t>893771994</t>
  </si>
  <si>
    <t>TX553.C28 R64 1998</t>
  </si>
  <si>
    <t>0                      TX 0553000C  28                 R  64          1998</t>
  </si>
  <si>
    <t>Carbohydrates and weight management / Barbara J. Rolls, James O. Hill.</t>
  </si>
  <si>
    <t>Rolls, Barbara J.</t>
  </si>
  <si>
    <t>Washington, D.C. : ILSI Press, c1998.</t>
  </si>
  <si>
    <t>ILSI North America monograph</t>
  </si>
  <si>
    <t>25993284:eng</t>
  </si>
  <si>
    <t>40990416</t>
  </si>
  <si>
    <t>991003015049702656</t>
  </si>
  <si>
    <t>2272290660002656</t>
  </si>
  <si>
    <t>9781578810130</t>
  </si>
  <si>
    <t>32285003547881</t>
  </si>
  <si>
    <t>893415935</t>
  </si>
  <si>
    <t>TX571.P4 M67 1987</t>
  </si>
  <si>
    <t>0                      TX 0571000P  4                  M  67          1987</t>
  </si>
  <si>
    <t>Pesticide alert : a guide to pesticides in fruits and vegetables / Lawrie Mott and Karen Snyder.</t>
  </si>
  <si>
    <t>Mott, Lawrie.</t>
  </si>
  <si>
    <t>San Francisco : Sierra Club Books, 1987.</t>
  </si>
  <si>
    <t>2008-11-22</t>
  </si>
  <si>
    <t>1990-06-07</t>
  </si>
  <si>
    <t>13200691:eng</t>
  </si>
  <si>
    <t>17106638</t>
  </si>
  <si>
    <t>991001179579702656</t>
  </si>
  <si>
    <t>2270336110002656</t>
  </si>
  <si>
    <t>9780871567260</t>
  </si>
  <si>
    <t>32285000184290</t>
  </si>
  <si>
    <t>893778618</t>
  </si>
  <si>
    <t>TX631 .J3 1975</t>
  </si>
  <si>
    <t>0                      TX 0631000J  3           1975</t>
  </si>
  <si>
    <t>Gastronomy / by Jay Jacobs.</t>
  </si>
  <si>
    <t>Jacobs, Jay.</t>
  </si>
  <si>
    <t>New York : Newsweek Books, c1975.</t>
  </si>
  <si>
    <t>World of culture</t>
  </si>
  <si>
    <t>2010-08-24</t>
  </si>
  <si>
    <t>2598550:eng</t>
  </si>
  <si>
    <t>1904913</t>
  </si>
  <si>
    <t>991003933099702656</t>
  </si>
  <si>
    <t>2257788850002656</t>
  </si>
  <si>
    <t>9780882251233</t>
  </si>
  <si>
    <t>32285001915882</t>
  </si>
  <si>
    <t>893263020</t>
  </si>
  <si>
    <t>TX631 .S65 1991</t>
  </si>
  <si>
    <t>0                      TX 0631000S  65          1991</t>
  </si>
  <si>
    <t>Why we eat what we eat : how the encounter between the New World and the Old changed the way everyone on the planet eats / Raymond Sokolov.</t>
  </si>
  <si>
    <t>Sokolov, Raymond A.</t>
  </si>
  <si>
    <t>New York, N.Y. : Summit Books, c1991.</t>
  </si>
  <si>
    <t>1992-02-14</t>
  </si>
  <si>
    <t>25035456:eng</t>
  </si>
  <si>
    <t>23766340</t>
  </si>
  <si>
    <t>991001884529702656</t>
  </si>
  <si>
    <t>2269589220002656</t>
  </si>
  <si>
    <t>9780671667962</t>
  </si>
  <si>
    <t>32285000946763</t>
  </si>
  <si>
    <t>893596804</t>
  </si>
  <si>
    <t>TX649.F87 F87 1999</t>
  </si>
  <si>
    <t>0                      TX 0649000F  87                 F  87          1999</t>
  </si>
  <si>
    <t>My kitchen wars / Betty Fussell.</t>
  </si>
  <si>
    <t>Fussell, Betty Harper.</t>
  </si>
  <si>
    <t>New York : North Point Press, 1999.</t>
  </si>
  <si>
    <t>2008-06-11</t>
  </si>
  <si>
    <t>2000-07-24</t>
  </si>
  <si>
    <t>49926:eng</t>
  </si>
  <si>
    <t>41086719</t>
  </si>
  <si>
    <t>991003213379702656</t>
  </si>
  <si>
    <t>2261614830002656</t>
  </si>
  <si>
    <t>9780865475779</t>
  </si>
  <si>
    <t>32285003711453</t>
  </si>
  <si>
    <t>893227799</t>
  </si>
  <si>
    <t>TX651 .S36 1999</t>
  </si>
  <si>
    <t>0                      TX 0651000S  36          1999</t>
  </si>
  <si>
    <t>Consejos múltiples de cocina y algo más-- / Elizabeth Sánchez Ysidora.</t>
  </si>
  <si>
    <t>Sánchez Ysidora, Elizabeth.</t>
  </si>
  <si>
    <t>[S.l. : s.n.], 1999</t>
  </si>
  <si>
    <t>1ra. ed.</t>
  </si>
  <si>
    <t xml:space="preserve">dr </t>
  </si>
  <si>
    <t>2000-11-06</t>
  </si>
  <si>
    <t>2000-10-31</t>
  </si>
  <si>
    <t>34557573:spa</t>
  </si>
  <si>
    <t>45003826</t>
  </si>
  <si>
    <t>991003336409702656</t>
  </si>
  <si>
    <t>2271760830002656</t>
  </si>
  <si>
    <t>32285004270517</t>
  </si>
  <si>
    <t>893881066</t>
  </si>
  <si>
    <t>TX652 .P35</t>
  </si>
  <si>
    <t>0                      TX 0652000P  35</t>
  </si>
  <si>
    <t>Classical cooking the modern way / by Eugen Pauli ; edited by Marjorie S. Arkwright ; [English translation by Peter C. March and Monroe S. Levine].</t>
  </si>
  <si>
    <t>Pauli, Eugen.</t>
  </si>
  <si>
    <t>Boston : CBI Pub. Co., c1979.</t>
  </si>
  <si>
    <t>2009-03-16</t>
  </si>
  <si>
    <t>1992-03-30</t>
  </si>
  <si>
    <t>891869449:eng</t>
  </si>
  <si>
    <t>4503930</t>
  </si>
  <si>
    <t>991004665939702656</t>
  </si>
  <si>
    <t>2265315670002656</t>
  </si>
  <si>
    <t>9780843620740</t>
  </si>
  <si>
    <t>32285001041697</t>
  </si>
  <si>
    <t>893895269</t>
  </si>
  <si>
    <t>TX705 .M368</t>
  </si>
  <si>
    <t>0                      TX 0705000M  368</t>
  </si>
  <si>
    <t>Martha Washington's Booke of cookery / transcribed by Karen Hess with historical notes and copious annotations.</t>
  </si>
  <si>
    <t>New York : Columbia University Press, 1981.</t>
  </si>
  <si>
    <t>1994-05-23</t>
  </si>
  <si>
    <t>356778261:eng</t>
  </si>
  <si>
    <t>6532164</t>
  </si>
  <si>
    <t>991004997889702656</t>
  </si>
  <si>
    <t>2261966410002656</t>
  </si>
  <si>
    <t>9780231049306</t>
  </si>
  <si>
    <t>32285001749273</t>
  </si>
  <si>
    <t>893430693</t>
  </si>
  <si>
    <t>TX714 .B77 1989</t>
  </si>
  <si>
    <t>0                      TX 0714000B  77          1989</t>
  </si>
  <si>
    <t>Cooking with memories : recipes and recollections / Lora Brody.</t>
  </si>
  <si>
    <t>Brody, Lora, 1945-</t>
  </si>
  <si>
    <t>[Lexington, Mass.] : S. Greene Press ; New York, N.Y., U.S.A. : Distributed by Viking Penguin, 1989.</t>
  </si>
  <si>
    <t>1998-01-22</t>
  </si>
  <si>
    <t>1998-01-16</t>
  </si>
  <si>
    <t>657470820:eng</t>
  </si>
  <si>
    <t>19589604</t>
  </si>
  <si>
    <t>991001478049702656</t>
  </si>
  <si>
    <t>2264183480002656</t>
  </si>
  <si>
    <t>9780828906678</t>
  </si>
  <si>
    <t>32285003303863</t>
  </si>
  <si>
    <t>893244165</t>
  </si>
  <si>
    <t>TX715 .B849145</t>
  </si>
  <si>
    <t>0                      TX 0715000B  849145</t>
  </si>
  <si>
    <t>American cooking: the Northwest / by Dale Brown and the editors of Time-Life Books ; studio photography by Richard Meek.</t>
  </si>
  <si>
    <t>Brown, Dale M. (Author and editor at Time-Life Books)</t>
  </si>
  <si>
    <t>New York : Time-Life Books, [1970]</t>
  </si>
  <si>
    <t>Foods of the world</t>
  </si>
  <si>
    <t>1999-01-14</t>
  </si>
  <si>
    <t>1992-04-14</t>
  </si>
  <si>
    <t>5608980145:eng</t>
  </si>
  <si>
    <t>127644</t>
  </si>
  <si>
    <t>991000725689702656</t>
  </si>
  <si>
    <t>2261420850002656</t>
  </si>
  <si>
    <t>32285001053106</t>
  </si>
  <si>
    <t>893496499</t>
  </si>
  <si>
    <t>TX715 .B87172</t>
  </si>
  <si>
    <t>0                      TX 0715000B  87172</t>
  </si>
  <si>
    <t>American cooking / by Dale Brown and the editors of Time-Life Books ; photographed by Mark Kauffman.</t>
  </si>
  <si>
    <t>New York : Time Life Books, [1968]</t>
  </si>
  <si>
    <t>1997-03-03</t>
  </si>
  <si>
    <t>1995-03-28</t>
  </si>
  <si>
    <t>1150923884:eng</t>
  </si>
  <si>
    <t>509832</t>
  </si>
  <si>
    <t>991002887899702656</t>
  </si>
  <si>
    <t>2261623170002656</t>
  </si>
  <si>
    <t>32285002020559</t>
  </si>
  <si>
    <t>893535237</t>
  </si>
  <si>
    <t>TX715 .F8754 1988</t>
  </si>
  <si>
    <t>0                      TX 0715000F  8754        1988</t>
  </si>
  <si>
    <t>Prairie kitchen sampler / by E. Mae Fritz.</t>
  </si>
  <si>
    <t>Fritz, E. Mae.</t>
  </si>
  <si>
    <t>[Phoenix, Ariz.] : Prairie Winds Press, [c1988]</t>
  </si>
  <si>
    <t>1998-09-15</t>
  </si>
  <si>
    <t>1993-11-30</t>
  </si>
  <si>
    <t>22991700:eng</t>
  </si>
  <si>
    <t>21907340</t>
  </si>
  <si>
    <t>991001728579702656</t>
  </si>
  <si>
    <t>2272404740002656</t>
  </si>
  <si>
    <t>9780962040405</t>
  </si>
  <si>
    <t>32285001813830</t>
  </si>
  <si>
    <t>893433068</t>
  </si>
  <si>
    <t>TX715 .G647 1988</t>
  </si>
  <si>
    <t>0                      TX 0715000G  647         1988</t>
  </si>
  <si>
    <t>The best of Amish cooking : traditional and contemporary recipes adapted from the kitchens and pantries of old order Amish cooks / Phyllis Pellman Good.</t>
  </si>
  <si>
    <t>Good, Phyllis Pellman, 1948-</t>
  </si>
  <si>
    <t>Intercourse, Pa. : Good Books, c1988.</t>
  </si>
  <si>
    <t>2008-10-20</t>
  </si>
  <si>
    <t>1992-05-21</t>
  </si>
  <si>
    <t>775625:eng</t>
  </si>
  <si>
    <t>18379252</t>
  </si>
  <si>
    <t>991001338849702656</t>
  </si>
  <si>
    <t>2269887530002656</t>
  </si>
  <si>
    <t>9780934672702</t>
  </si>
  <si>
    <t>32285001112712</t>
  </si>
  <si>
    <t>893772521</t>
  </si>
  <si>
    <t>TX715 .K217 1977</t>
  </si>
  <si>
    <t>0                      TX 0715000K  217         1977</t>
  </si>
  <si>
    <t>Pueblo &amp; Navajo cookery / Marcia Keegan.</t>
  </si>
  <si>
    <t>Keegan, Marcia.</t>
  </si>
  <si>
    <t>Dobbs Ferry, N.Y. : Earth Books, c1977.</t>
  </si>
  <si>
    <t>2005-07-27</t>
  </si>
  <si>
    <t>2005-07-26</t>
  </si>
  <si>
    <t>13712912:eng</t>
  </si>
  <si>
    <t>4056328</t>
  </si>
  <si>
    <t>991004619429702656</t>
  </si>
  <si>
    <t>2272006880002656</t>
  </si>
  <si>
    <t>9780871001351</t>
  </si>
  <si>
    <t>32285005097521</t>
  </si>
  <si>
    <t>893801149</t>
  </si>
  <si>
    <t>TX715 .K379 1976</t>
  </si>
  <si>
    <t>0                      TX 0715000K  379         1976</t>
  </si>
  <si>
    <t>The new seasoning / Graham Kerr.</t>
  </si>
  <si>
    <t>Kerr, Graham, 1934-</t>
  </si>
  <si>
    <t>New York : Simon and Schuster, c1976.</t>
  </si>
  <si>
    <t>1999-12-14</t>
  </si>
  <si>
    <t>3744474:eng</t>
  </si>
  <si>
    <t>2151202</t>
  </si>
  <si>
    <t>991004030619702656</t>
  </si>
  <si>
    <t>2261403640002656</t>
  </si>
  <si>
    <t>9780671221720</t>
  </si>
  <si>
    <t>32285001749299</t>
  </si>
  <si>
    <t>893525550</t>
  </si>
  <si>
    <t>TX715 .K4993 1975</t>
  </si>
  <si>
    <t>0                      TX 0715000K  4993        1975</t>
  </si>
  <si>
    <t>Loaves &amp; fishes : foods from Bible times / Malvina Kinard and Janet Crisler.</t>
  </si>
  <si>
    <t>Kinard, Malvina C.</t>
  </si>
  <si>
    <t>New Canaan, Conn. : Keats Pub., 1975.</t>
  </si>
  <si>
    <t>ctu</t>
  </si>
  <si>
    <t>1999-07-21</t>
  </si>
  <si>
    <t>1992-08-26</t>
  </si>
  <si>
    <t>3409717:eng</t>
  </si>
  <si>
    <t>1993003</t>
  </si>
  <si>
    <t>991003972079702656</t>
  </si>
  <si>
    <t>2263137990002656</t>
  </si>
  <si>
    <t>9780879831103</t>
  </si>
  <si>
    <t>32285001272961</t>
  </si>
  <si>
    <t>893442014</t>
  </si>
  <si>
    <t>TX715 .L5982</t>
  </si>
  <si>
    <t>0                      TX 0715000L  5982</t>
  </si>
  <si>
    <t>American cooking, the great West / by Jonathan Norton Leonard and the editors of Time-Life Books. Photography by Mark Kauffman, Richard Meek, and Ted Streshinsky.</t>
  </si>
  <si>
    <t>Leonard, Jonathan Norton, 1903-1975.</t>
  </si>
  <si>
    <t>New York : Time-Life Books, [1971]</t>
  </si>
  <si>
    <t>1996-02-29</t>
  </si>
  <si>
    <t>1994-02-28</t>
  </si>
  <si>
    <t>1168652:eng</t>
  </si>
  <si>
    <t>150494</t>
  </si>
  <si>
    <t>991000862069702656</t>
  </si>
  <si>
    <t>2271128590002656</t>
  </si>
  <si>
    <t>32285001850378</t>
  </si>
  <si>
    <t>893772046</t>
  </si>
  <si>
    <t>TX715 .L68 1999</t>
  </si>
  <si>
    <t>0                      TX 0715000L  68          1999</t>
  </si>
  <si>
    <t>Loving memories : Trans-Mississippi 1898 and Greater America 1899.</t>
  </si>
  <si>
    <t>Kearney, Neb. : Morris Press, 1999.</t>
  </si>
  <si>
    <t>nbu</t>
  </si>
  <si>
    <t>2000-10-27</t>
  </si>
  <si>
    <t>2000-02-23</t>
  </si>
  <si>
    <t>45015389:eng</t>
  </si>
  <si>
    <t>43374633</t>
  </si>
  <si>
    <t>991003052859702656</t>
  </si>
  <si>
    <t>2255672130002656</t>
  </si>
  <si>
    <t>32285003663282</t>
  </si>
  <si>
    <t>893498898</t>
  </si>
  <si>
    <t>TX715 .N43 1988</t>
  </si>
  <si>
    <t>0                      TX 0715000N  43          1988</t>
  </si>
  <si>
    <t>NEBRASKAland magazine country cookbook.</t>
  </si>
  <si>
    <t>Lincoln, NE : Nebraska Game and Parks Commission, 1988.</t>
  </si>
  <si>
    <t>1999-07-29</t>
  </si>
  <si>
    <t>1992-08-18</t>
  </si>
  <si>
    <t>15613649:eng</t>
  </si>
  <si>
    <t>17464198</t>
  </si>
  <si>
    <t>991001220979702656</t>
  </si>
  <si>
    <t>2269385380002656</t>
  </si>
  <si>
    <t>32285001077055</t>
  </si>
  <si>
    <t>893808999</t>
  </si>
  <si>
    <t>TX715 .O77 1989</t>
  </si>
  <si>
    <t>0                      TX 0715000O  77          1989</t>
  </si>
  <si>
    <t>First gentleman's cookbook / compilation and commentary by William D. "Bill" Orr, First Gentleman, State of Nebraska. Project coordinator/editor Pamela Holloway-Eiche.</t>
  </si>
  <si>
    <t>Orr, William Dayton, 1935-</t>
  </si>
  <si>
    <t>Lincoln, Neb. : Jacob North Printing Co., 1989.</t>
  </si>
  <si>
    <t>1996-07-23</t>
  </si>
  <si>
    <t>1991-10-31</t>
  </si>
  <si>
    <t>21653840:eng</t>
  </si>
  <si>
    <t>19337968</t>
  </si>
  <si>
    <t>991001452329702656</t>
  </si>
  <si>
    <t>2267704200002656</t>
  </si>
  <si>
    <t>32285000803691</t>
  </si>
  <si>
    <t>893803622</t>
  </si>
  <si>
    <t>TX715 .P127 1938</t>
  </si>
  <si>
    <t>0                      TX 0715000P  127         1938</t>
  </si>
  <si>
    <t>Early California hospitality : the cookery customs of Spanish California, with authentic recipes and menus of the period / by Ana Bégué de Packman.</t>
  </si>
  <si>
    <t>Packman, Ana Bégué.</t>
  </si>
  <si>
    <t>Glendale, CA. : The Arthur H. Clark company, 1938.</t>
  </si>
  <si>
    <t>1938</t>
  </si>
  <si>
    <t>2001-06-18</t>
  </si>
  <si>
    <t>1993-09-14</t>
  </si>
  <si>
    <t>6804226:eng</t>
  </si>
  <si>
    <t>2933904</t>
  </si>
  <si>
    <t>991004288579702656</t>
  </si>
  <si>
    <t>2268069220002656</t>
  </si>
  <si>
    <t>32285001758829</t>
  </si>
  <si>
    <t>893901054</t>
  </si>
  <si>
    <t>TX715 .W237</t>
  </si>
  <si>
    <t>0                      TX 0715000W  237</t>
  </si>
  <si>
    <t>American cooking : Southern style / by Eugene Walter and the editors of Time-Life Books. Studio photos. by Mark Kauffman.</t>
  </si>
  <si>
    <t>Walter, Eugene, 1921-1998.</t>
  </si>
  <si>
    <t>2010-11-04</t>
  </si>
  <si>
    <t>1992-04-09</t>
  </si>
  <si>
    <t>3943293127:eng</t>
  </si>
  <si>
    <t>129474</t>
  </si>
  <si>
    <t>991000741809702656</t>
  </si>
  <si>
    <t>2266646090002656</t>
  </si>
  <si>
    <t>32285001056695</t>
  </si>
  <si>
    <t>893413638</t>
  </si>
  <si>
    <t>TX716.A1 W6</t>
  </si>
  <si>
    <t>0                      TX 0716000A  1                  W  6</t>
  </si>
  <si>
    <t>The cooking of the Caribbean Islands, by Linda Wolfe and the editors of Time-Life Books. Photographed by Richard Meek.</t>
  </si>
  <si>
    <t>Wolfe, Linda, 1935-</t>
  </si>
  <si>
    <t>New York, Time-Life Books [1970]</t>
  </si>
  <si>
    <t>2002-11-24</t>
  </si>
  <si>
    <t>447736:eng</t>
  </si>
  <si>
    <t>71446</t>
  </si>
  <si>
    <t>991000371719702656</t>
  </si>
  <si>
    <t>2270862150002656</t>
  </si>
  <si>
    <t>32285003120804</t>
  </si>
  <si>
    <t>893496152</t>
  </si>
  <si>
    <t>TX717.5 .A76 1986</t>
  </si>
  <si>
    <t>0                      TX 0717500A  76          1986</t>
  </si>
  <si>
    <t>The Joyce of cooking : food &amp; drink from James Joyce's Dublin / Alison Armstrong ; foreword by Anthony Burgess.</t>
  </si>
  <si>
    <t>Armstrong, Alison, 1943-</t>
  </si>
  <si>
    <t>Barrytown, NY : Station Hill Press, c1986.</t>
  </si>
  <si>
    <t>1994-10-30</t>
  </si>
  <si>
    <t>1992-04-08</t>
  </si>
  <si>
    <t>2035997:eng</t>
  </si>
  <si>
    <t>12236085</t>
  </si>
  <si>
    <t>991000659319702656</t>
  </si>
  <si>
    <t>2260985450002656</t>
  </si>
  <si>
    <t>9780930794859</t>
  </si>
  <si>
    <t>32285001056687</t>
  </si>
  <si>
    <t>893231305</t>
  </si>
  <si>
    <t>TX717.5 .C64 1973</t>
  </si>
  <si>
    <t>0                      TX 0717500C  64          1973</t>
  </si>
  <si>
    <t>Of soda bread and Guinness : an Irish cookbook, and a picture of Ireland as seen through its people, its places, its traditions, and its cooking lore / Rosalind Cole.</t>
  </si>
  <si>
    <t>Cole, Rosalind.</t>
  </si>
  <si>
    <t>Indianapolis : Bobbs-Merrill, [1973]</t>
  </si>
  <si>
    <t>2006-10-31</t>
  </si>
  <si>
    <t>1693499:eng</t>
  </si>
  <si>
    <t>622071</t>
  </si>
  <si>
    <t>991003065769702656</t>
  </si>
  <si>
    <t>2257149380002656</t>
  </si>
  <si>
    <t>32285001749307</t>
  </si>
  <si>
    <t>893416000</t>
  </si>
  <si>
    <t>TX719 .C4 1988</t>
  </si>
  <si>
    <t>0                      TX 0719000C  4           1988</t>
  </si>
  <si>
    <t>Clémentine in the kitchen / by Samuel Chamberlain (Phineas Beck) ; illustrated with drypoints and drawings by the author.</t>
  </si>
  <si>
    <t>Chamberlain, Samuel, 1895-1975.</t>
  </si>
  <si>
    <t>Boston : D.R. Godine, 1988.</t>
  </si>
  <si>
    <t>A new ed. / revised by Narcisse Chamberlain (Diane Beck), 3rd ed.</t>
  </si>
  <si>
    <t>2009-11-08</t>
  </si>
  <si>
    <t>117699590:eng</t>
  </si>
  <si>
    <t>15630563</t>
  </si>
  <si>
    <t>991001048199702656</t>
  </si>
  <si>
    <t>2260911050002656</t>
  </si>
  <si>
    <t>9780879237028</t>
  </si>
  <si>
    <t>32285001749315</t>
  </si>
  <si>
    <t>893496775</t>
  </si>
  <si>
    <t>TX719 .C45 1975</t>
  </si>
  <si>
    <t>0                      TX 0719000C  45          1975</t>
  </si>
  <si>
    <t>From Julia Child's kitchen / by Julia Child ; photos. and drawings by Paul Child ; additional technical photos. by Albie Walton.</t>
  </si>
  <si>
    <t>Child, Julia.</t>
  </si>
  <si>
    <t>New York : Knopf, 1975.</t>
  </si>
  <si>
    <t>2007-12-13</t>
  </si>
  <si>
    <t>1992-02-20</t>
  </si>
  <si>
    <t>462282:eng</t>
  </si>
  <si>
    <t>1366101</t>
  </si>
  <si>
    <t>991003720979702656</t>
  </si>
  <si>
    <t>2255245650002656</t>
  </si>
  <si>
    <t>9780394480718</t>
  </si>
  <si>
    <t>32285000948140</t>
  </si>
  <si>
    <t>893705544</t>
  </si>
  <si>
    <t>TX719 .F65 1974</t>
  </si>
  <si>
    <t>0                      TX 0719000F  65          1974</t>
  </si>
  <si>
    <t>A taste of Paris; traditional food. Period photos. specially prepared by George Morrison.</t>
  </si>
  <si>
    <t>FitzGibbon, Theodora.</t>
  </si>
  <si>
    <t>Boston, Houghton Mifflin, 1974.</t>
  </si>
  <si>
    <t>[1st American ed.]</t>
  </si>
  <si>
    <t>2009-10-05</t>
  </si>
  <si>
    <t>3769319237:eng</t>
  </si>
  <si>
    <t>898029</t>
  </si>
  <si>
    <t>991003362239702656</t>
  </si>
  <si>
    <t>2259423060002656</t>
  </si>
  <si>
    <t>9780395193938</t>
  </si>
  <si>
    <t>32285003120812</t>
  </si>
  <si>
    <t>893887413</t>
  </si>
  <si>
    <t>TX721 .H46 1976</t>
  </si>
  <si>
    <t>0                      TX 0721000H  46          1976</t>
  </si>
  <si>
    <t>The art of Pennsylvania Dutch cooking / Edna Eby Heller ; illustrated by Ray Cruz.</t>
  </si>
  <si>
    <t>Heller, Edna Eby.</t>
  </si>
  <si>
    <t>New York : Galahad Books, [1976?] c1968.</t>
  </si>
  <si>
    <t>2005-03-30</t>
  </si>
  <si>
    <t>2144240:eng</t>
  </si>
  <si>
    <t>3018181</t>
  </si>
  <si>
    <t>991004321589702656</t>
  </si>
  <si>
    <t>2271992580002656</t>
  </si>
  <si>
    <t>9780883653555</t>
  </si>
  <si>
    <t>32285001077063</t>
  </si>
  <si>
    <t>893525945</t>
  </si>
  <si>
    <t>TX723 .R55</t>
  </si>
  <si>
    <t>0                      TX 0723000R  55</t>
  </si>
  <si>
    <t>The cooking of Italy, by Waverley Root and the editors of Time-Life Books. Photographed by Fred Lyon.</t>
  </si>
  <si>
    <t>Root, Waverley, 1903-1982.</t>
  </si>
  <si>
    <t>New York, Time-Life Books [1968]</t>
  </si>
  <si>
    <t>2008-11-21</t>
  </si>
  <si>
    <t>1993-10-27</t>
  </si>
  <si>
    <t>4815699559:eng</t>
  </si>
  <si>
    <t>232680</t>
  </si>
  <si>
    <t>991001560609702656</t>
  </si>
  <si>
    <t>2258554730002656</t>
  </si>
  <si>
    <t>32285001777266</t>
  </si>
  <si>
    <t>893897865</t>
  </si>
  <si>
    <t>2008-02-27</t>
  </si>
  <si>
    <t>1991-12-09</t>
  </si>
  <si>
    <t>32285000872381</t>
  </si>
  <si>
    <t>893897864</t>
  </si>
  <si>
    <t>TX723.5.C9 C94 1989</t>
  </si>
  <si>
    <t>0                      TX 0723500C  9                  C  94          1989</t>
  </si>
  <si>
    <t>Czechoslovak culture : recipes, history and folk arts / compiled by Pat Martin ; edited by John Zug ; photography by Joan Liffring-Zug ... [et al.]</t>
  </si>
  <si>
    <t>Iowa City, Iowa : Penfield Press, 1989.</t>
  </si>
  <si>
    <t>2010-05-03</t>
  </si>
  <si>
    <t>10194259441:eng</t>
  </si>
  <si>
    <t>19793525</t>
  </si>
  <si>
    <t>991001500919702656</t>
  </si>
  <si>
    <t>2258650260002656</t>
  </si>
  <si>
    <t>32285000400928</t>
  </si>
  <si>
    <t>893602639</t>
  </si>
  <si>
    <t>TX723.5.S7 S56 1997</t>
  </si>
  <si>
    <t>0                      TX 0723500S  7                  S  56          1997</t>
  </si>
  <si>
    <t>La cocina de Palacio, 1561-1931 / María del Carmen Simón Palmer.</t>
  </si>
  <si>
    <t>Simón Palmer, María del Carmen.</t>
  </si>
  <si>
    <t>Madrid : Editorial Castalia, c1997.</t>
  </si>
  <si>
    <t>2010-10-25</t>
  </si>
  <si>
    <t>1998-07-23</t>
  </si>
  <si>
    <t>365164768:spa</t>
  </si>
  <si>
    <t>40452925</t>
  </si>
  <si>
    <t>991002869939702656</t>
  </si>
  <si>
    <t>2271682860002656</t>
  </si>
  <si>
    <t>9788470397776</t>
  </si>
  <si>
    <t>32285003445490</t>
  </si>
  <si>
    <t>893329655</t>
  </si>
  <si>
    <t>TX724 .B27 1964</t>
  </si>
  <si>
    <t>0                      TX 0724000B  27          1964</t>
  </si>
  <si>
    <t>The Israeli cook book / Molly Lyons Bar-David.</t>
  </si>
  <si>
    <t>Bar-David, Molly Lyons, 1910-</t>
  </si>
  <si>
    <t>New York : Crown Publishers, c1964, 1977 printing.</t>
  </si>
  <si>
    <t>___</t>
  </si>
  <si>
    <t>International cookbook series</t>
  </si>
  <si>
    <t>2002-04-14</t>
  </si>
  <si>
    <t>1992-03-31</t>
  </si>
  <si>
    <t>364336379:eng</t>
  </si>
  <si>
    <t>1436285</t>
  </si>
  <si>
    <t>991003755869702656</t>
  </si>
  <si>
    <t>2270019320002656</t>
  </si>
  <si>
    <t>32285001030617</t>
  </si>
  <si>
    <t>893525192</t>
  </si>
  <si>
    <t>TX724.5.A1 S7</t>
  </si>
  <si>
    <t>0                      TX 0724500A  1                  S  7</t>
  </si>
  <si>
    <t>Pacific and Southeast Asian cooking, by Rafael Steinberg and the editors of Time-Life Books. Photographed by Anthony Blake [and others]</t>
  </si>
  <si>
    <t>Steinberg, Rafael, 1927-</t>
  </si>
  <si>
    <t>2010-09-08</t>
  </si>
  <si>
    <t>467287:eng</t>
  </si>
  <si>
    <t>87633</t>
  </si>
  <si>
    <t>991000519999702656</t>
  </si>
  <si>
    <t>2270833060002656</t>
  </si>
  <si>
    <t>32285003120838</t>
  </si>
  <si>
    <t>893339620</t>
  </si>
  <si>
    <t>TX724.5.C5 H33</t>
  </si>
  <si>
    <t>0                      TX 0724500C  5                  H  33</t>
  </si>
  <si>
    <t>The cooking of China, by Emily Hahn and the editors of Time-Life Books. Photographed by Michael Rougier.</t>
  </si>
  <si>
    <t>Hahn, Emily, 1905-1997.</t>
  </si>
  <si>
    <t>1998-12-03</t>
  </si>
  <si>
    <t>1991-12-10</t>
  </si>
  <si>
    <t>149340782:eng</t>
  </si>
  <si>
    <t>451990</t>
  </si>
  <si>
    <t>991002809859702656</t>
  </si>
  <si>
    <t>2261126800002656</t>
  </si>
  <si>
    <t>32285000839232</t>
  </si>
  <si>
    <t>893809682</t>
  </si>
  <si>
    <t>TX724.5.I4 R3</t>
  </si>
  <si>
    <t>0                      TX 0724500I  4                  R  3</t>
  </si>
  <si>
    <t>The cooking of India / by Santha Rama Rau and the editors of Time-Life books. Photographed by Eliot Elisofon.</t>
  </si>
  <si>
    <t>Rama Rau, Santha, 1923-2009.</t>
  </si>
  <si>
    <t>New York : Time-Life Books, [1969]</t>
  </si>
  <si>
    <t>2009-07-30</t>
  </si>
  <si>
    <t>1441219:eng</t>
  </si>
  <si>
    <t>60428</t>
  </si>
  <si>
    <t>991000157069702656</t>
  </si>
  <si>
    <t>2271527290002656</t>
  </si>
  <si>
    <t>32285000367556</t>
  </si>
  <si>
    <t>893884177</t>
  </si>
  <si>
    <t>TX724.5.J3 T9</t>
  </si>
  <si>
    <t>0                      TX 0724500J  3                  T  9</t>
  </si>
  <si>
    <t>Typical Japanese cooking / edited by the Japanese Cooking Companions.</t>
  </si>
  <si>
    <t>Tokyo : Japan Publications, [1970]</t>
  </si>
  <si>
    <t xml:space="preserve">ja </t>
  </si>
  <si>
    <t>2009-11-29</t>
  </si>
  <si>
    <t>1991-10-18</t>
  </si>
  <si>
    <t>1299336:eng</t>
  </si>
  <si>
    <t>139661</t>
  </si>
  <si>
    <t>991000803059702656</t>
  </si>
  <si>
    <t>2261376280002656</t>
  </si>
  <si>
    <t>32285000776475</t>
  </si>
  <si>
    <t>893225323</t>
  </si>
  <si>
    <t>TX724.5.K65 H9 1988</t>
  </si>
  <si>
    <t>0                      TX 0724500K  65                 H  9           1988</t>
  </si>
  <si>
    <t>The Korean cookbook / Judy Hyun ; with an introduction by Nika Standen Hazelton.</t>
  </si>
  <si>
    <t>Hyun, Judy.</t>
  </si>
  <si>
    <t>Elizabeth, N.J. : Hollym International Corp., 1988.</t>
  </si>
  <si>
    <t>Illustrated ed.</t>
  </si>
  <si>
    <t>2002-03-18</t>
  </si>
  <si>
    <t>1233987:eng</t>
  </si>
  <si>
    <t>21512108</t>
  </si>
  <si>
    <t>991001698119702656</t>
  </si>
  <si>
    <t>2270327160002656</t>
  </si>
  <si>
    <t>9780930878603</t>
  </si>
  <si>
    <t>32285001769735</t>
  </si>
  <si>
    <t>893328308</t>
  </si>
  <si>
    <t>TX724.5.P6 B44 1974</t>
  </si>
  <si>
    <t>0                      TX 0724500P  6                  B  44          1974</t>
  </si>
  <si>
    <t>The Polynesian cookbook / by Victor Bennett.</t>
  </si>
  <si>
    <t>Bennett, Victor, 1919-</t>
  </si>
  <si>
    <t>New York : Galahad Books, [1974?]</t>
  </si>
  <si>
    <t>1993-11-19</t>
  </si>
  <si>
    <t>1992-11-10</t>
  </si>
  <si>
    <t>199098676:eng</t>
  </si>
  <si>
    <t>1093204</t>
  </si>
  <si>
    <t>991003529669702656</t>
  </si>
  <si>
    <t>2264705720002656</t>
  </si>
  <si>
    <t>9780883650714</t>
  </si>
  <si>
    <t>32285001383792</t>
  </si>
  <si>
    <t>893336583</t>
  </si>
  <si>
    <t>TX725.A1 C66</t>
  </si>
  <si>
    <t>0                      TX 0725000A  1                  C  66</t>
  </si>
  <si>
    <t>Betty Crocker's International cookbook / [director of photography, Barbara Gorder Sims ; ill., Pat Stewart].</t>
  </si>
  <si>
    <t>Crocker, Betty.</t>
  </si>
  <si>
    <t>New York : Random House, c1980.</t>
  </si>
  <si>
    <t>1992-01-10</t>
  </si>
  <si>
    <t>3857692941:eng</t>
  </si>
  <si>
    <t>6250156</t>
  </si>
  <si>
    <t>991004951179702656</t>
  </si>
  <si>
    <t>2264969110002656</t>
  </si>
  <si>
    <t>9780394504537</t>
  </si>
  <si>
    <t>32285000912336</t>
  </si>
  <si>
    <t>893594280</t>
  </si>
  <si>
    <t>TX725.A4 V3</t>
  </si>
  <si>
    <t>0                      TX 0725000A  4                  V  3</t>
  </si>
  <si>
    <t>African cooking / by Laurens van der Post and the editors of Time-Life Books. Photographed by Brian Seed and Richard Jeffery.</t>
  </si>
  <si>
    <t>Van der Post, Laurens.</t>
  </si>
  <si>
    <t>1996-10-22</t>
  </si>
  <si>
    <t>447735:eng</t>
  </si>
  <si>
    <t>115824</t>
  </si>
  <si>
    <t>991000656759702656</t>
  </si>
  <si>
    <t>2260334650002656</t>
  </si>
  <si>
    <t>32285000971795</t>
  </si>
  <si>
    <t>893231301</t>
  </si>
  <si>
    <t>TX725.D65 .N56 1999</t>
  </si>
  <si>
    <t>0                      TX 0725000D  65                 N  56          1999</t>
  </si>
  <si>
    <t>El origen de la cocina dominicana / Juan B. Nina.</t>
  </si>
  <si>
    <t>Nina, Juan B. (Juan Bautista), 1959-</t>
  </si>
  <si>
    <t>Santo Domingo, República Dominicana : [S.n.], 1999</t>
  </si>
  <si>
    <t>1a ed.</t>
  </si>
  <si>
    <t>1999-11-10</t>
  </si>
  <si>
    <t>376447571:spa</t>
  </si>
  <si>
    <t>42421187</t>
  </si>
  <si>
    <t>991003044539702656</t>
  </si>
  <si>
    <t>2269391670002656</t>
  </si>
  <si>
    <t>32285003620720</t>
  </si>
  <si>
    <t>893774339</t>
  </si>
  <si>
    <t>TX725.D65 L57 1998</t>
  </si>
  <si>
    <t>0                      TX 0725000D  65                 L  57          1998</t>
  </si>
  <si>
    <t>Cocina facil / Esperanza de Lithgow.</t>
  </si>
  <si>
    <t>Lithgow, Esperanza de.</t>
  </si>
  <si>
    <t>[Santo Domingo, República Dominicana] : Editora Taller, 1998.</t>
  </si>
  <si>
    <t>3. ed.</t>
  </si>
  <si>
    <t>Biblioteca Taller. Culinaria</t>
  </si>
  <si>
    <t>2000-11-28</t>
  </si>
  <si>
    <t>14070882:spa</t>
  </si>
  <si>
    <t>45030721</t>
  </si>
  <si>
    <t>991003356739702656</t>
  </si>
  <si>
    <t>2259011300002656</t>
  </si>
  <si>
    <t>9788484002765</t>
  </si>
  <si>
    <t>32285004266929</t>
  </si>
  <si>
    <t>893717581</t>
  </si>
  <si>
    <t>TX725.M628 A28 2005</t>
  </si>
  <si>
    <t>0                      TX 0725000M  628                A  28          2005</t>
  </si>
  <si>
    <t>The language of Baklava / Diana Abu-Jaber.</t>
  </si>
  <si>
    <t>Abu-Jaber, Diana.</t>
  </si>
  <si>
    <t>New York : Pantheon Books c2005.</t>
  </si>
  <si>
    <t>2005</t>
  </si>
  <si>
    <t>2006-08-07</t>
  </si>
  <si>
    <t>1964631:eng</t>
  </si>
  <si>
    <t>56011467</t>
  </si>
  <si>
    <t>991004732729702656</t>
  </si>
  <si>
    <t>2255053900002656</t>
  </si>
  <si>
    <t>9780375423048</t>
  </si>
  <si>
    <t>32285005187934</t>
  </si>
  <si>
    <t>893600171</t>
  </si>
  <si>
    <t>TX728 .C69</t>
  </si>
  <si>
    <t>0                      TX 0728000C  69</t>
  </si>
  <si>
    <t>Mr. and Mrs. Charles Dickens entertain at home. With Dickens on food, selected by Stuart McHugh.</t>
  </si>
  <si>
    <t>Cox, Helen.</t>
  </si>
  <si>
    <t>Oxford] Pergamon General Books [1970]</t>
  </si>
  <si>
    <t>2006-11-18</t>
  </si>
  <si>
    <t>3770913851:eng</t>
  </si>
  <si>
    <t>718189</t>
  </si>
  <si>
    <t>991003193169702656</t>
  </si>
  <si>
    <t>2256337990002656</t>
  </si>
  <si>
    <t>32285003120853</t>
  </si>
  <si>
    <t>893686274</t>
  </si>
  <si>
    <t>TX733 .C68 1989</t>
  </si>
  <si>
    <t>0                      TX 0733000C  68          1989</t>
  </si>
  <si>
    <t>Country living country mornings cookbook / edited by Lucy Wing.</t>
  </si>
  <si>
    <t>New York : Hearst Books, c1989.</t>
  </si>
  <si>
    <t>1997-02-23</t>
  </si>
  <si>
    <t>1991-08-28</t>
  </si>
  <si>
    <t>18264335:eng</t>
  </si>
  <si>
    <t>19688022</t>
  </si>
  <si>
    <t>991001489119702656</t>
  </si>
  <si>
    <t>2265075920002656</t>
  </si>
  <si>
    <t>9780688066390</t>
  </si>
  <si>
    <t>32285000731405</t>
  </si>
  <si>
    <t>893250274</t>
  </si>
  <si>
    <t>TX739.2.C45 C68 1990</t>
  </si>
  <si>
    <t>0                      TX 0739200C  45                 C  68          1990</t>
  </si>
  <si>
    <t>Country Christmas / Bo Niles ; with quotations from Jo Northrop.</t>
  </si>
  <si>
    <t>New York : Hearst Books, c1990.</t>
  </si>
  <si>
    <t>1994-11-12</t>
  </si>
  <si>
    <t>1990-11-14</t>
  </si>
  <si>
    <t>3943560143:eng</t>
  </si>
  <si>
    <t>22708894</t>
  </si>
  <si>
    <t>991001774539702656</t>
  </si>
  <si>
    <t>2269152220002656</t>
  </si>
  <si>
    <t>9780688097387</t>
  </si>
  <si>
    <t>32285000355197</t>
  </si>
  <si>
    <t>893244405</t>
  </si>
  <si>
    <t>TX740 .S83</t>
  </si>
  <si>
    <t>0                      TX 0740000S  83</t>
  </si>
  <si>
    <t>The Sunset cook book : food with a gourmet touch / by the Sunset editorial staff. Illustrated by Earl Thollander. --</t>
  </si>
  <si>
    <t>Sunset Editorial Staff.</t>
  </si>
  <si>
    <t>Menlo Park, Calif. : Lane Book Co., [1960]</t>
  </si>
  <si>
    <t>1993-01-14</t>
  </si>
  <si>
    <t>22062557:eng</t>
  </si>
  <si>
    <t>1434167</t>
  </si>
  <si>
    <t>991003754669702656</t>
  </si>
  <si>
    <t>2269183510002656</t>
  </si>
  <si>
    <t>32285001056679</t>
  </si>
  <si>
    <t>893416747</t>
  </si>
  <si>
    <t>TX750 .P67 1979</t>
  </si>
  <si>
    <t>0                      TX 0750000P  67          1979</t>
  </si>
  <si>
    <t>Poultry / by the editors of Time-Life Books.</t>
  </si>
  <si>
    <t>Alexandria, Va. : Time-Life Books, c1979.</t>
  </si>
  <si>
    <t>The Good cook, techniques &amp; recipes</t>
  </si>
  <si>
    <t>54237031:eng</t>
  </si>
  <si>
    <t>4135999</t>
  </si>
  <si>
    <t>991004593979702656</t>
  </si>
  <si>
    <t>2254840960002656</t>
  </si>
  <si>
    <t>9780809428557</t>
  </si>
  <si>
    <t>32285000912328</t>
  </si>
  <si>
    <t>893532571</t>
  </si>
  <si>
    <t>TX757 .T37 1972</t>
  </si>
  <si>
    <t>0                      TX 0757000T  37          1972</t>
  </si>
  <si>
    <t>The New York times bread and soup cookbook / Yvonne Young Tarr.</t>
  </si>
  <si>
    <t>Tarr, Yvonne Young.</t>
  </si>
  <si>
    <t>New York : Quadrangle/Times Books, [1972]</t>
  </si>
  <si>
    <t>2000-12-19</t>
  </si>
  <si>
    <t>1990-02-06</t>
  </si>
  <si>
    <t>1553287:eng</t>
  </si>
  <si>
    <t>533747</t>
  </si>
  <si>
    <t>991002937289702656</t>
  </si>
  <si>
    <t>2264276820002656</t>
  </si>
  <si>
    <t>9780812902914</t>
  </si>
  <si>
    <t>32285000006832</t>
  </si>
  <si>
    <t>893434480</t>
  </si>
  <si>
    <t>TX763 .N33 1990</t>
  </si>
  <si>
    <t>0                      TX 0763000N  33          1990</t>
  </si>
  <si>
    <t>Biscuits, spoonbread, and sweet potato pie / by Bill Neal.</t>
  </si>
  <si>
    <t>Neal, Bill.</t>
  </si>
  <si>
    <t>New York : Knopf, 1990.</t>
  </si>
  <si>
    <t>Knopf cooks American series ; 2</t>
  </si>
  <si>
    <t>1997-08-04</t>
  </si>
  <si>
    <t>1990-08-08</t>
  </si>
  <si>
    <t>8364372:eng</t>
  </si>
  <si>
    <t>19722160</t>
  </si>
  <si>
    <t>991001490049702656</t>
  </si>
  <si>
    <t>2258528840002656</t>
  </si>
  <si>
    <t>9780394559414</t>
  </si>
  <si>
    <t>32285000242882</t>
  </si>
  <si>
    <t>893621422</t>
  </si>
  <si>
    <t>TX771 .B458 1988</t>
  </si>
  <si>
    <t>0                      TX 0771000B  458         1988</t>
  </si>
  <si>
    <t>The cake bible / Rose Levy Beranbaum ; edited by Maria D. Guarnaschelli ; photographs by Vincent Lee ; book design by Richard Oriolo ; food styling by Rose Levy Beranbaum ; line drawings by Dean Bornstein ; foreword by Maida Heatter.</t>
  </si>
  <si>
    <t>Beranbaum, Rose Levy.</t>
  </si>
  <si>
    <t>New York : W. Morrow, 1988.</t>
  </si>
  <si>
    <t>16040524:eng</t>
  </si>
  <si>
    <t>17439640</t>
  </si>
  <si>
    <t>991001217479702656</t>
  </si>
  <si>
    <t>2265813360002656</t>
  </si>
  <si>
    <t>9780688044022</t>
  </si>
  <si>
    <t>32285000829738</t>
  </si>
  <si>
    <t>893596293</t>
  </si>
  <si>
    <t>TX820 .R5 1939</t>
  </si>
  <si>
    <t>0                      TX 0820000R  5           1939</t>
  </si>
  <si>
    <t>Quantity cookery; menu planning and cookery for large numbers, by Nola treat and Lenore Richards...</t>
  </si>
  <si>
    <t>Richards, Lenore.</t>
  </si>
  <si>
    <t>Boston Little, Brown and company 1939</t>
  </si>
  <si>
    <t>1939</t>
  </si>
  <si>
    <t>Completely rev. ed.</t>
  </si>
  <si>
    <t>1791241310:eng</t>
  </si>
  <si>
    <t>1467643</t>
  </si>
  <si>
    <t>991003769539702656</t>
  </si>
  <si>
    <t>2261444410002656</t>
  </si>
  <si>
    <t>32285003120861</t>
  </si>
  <si>
    <t>893228437</t>
  </si>
  <si>
    <t>TX837 .L18 1972</t>
  </si>
  <si>
    <t>0                      TX 0837000L  18          1972</t>
  </si>
  <si>
    <t>The George Bernard Shaw vegetarian cook book in six acts : based on George Bernard Shaw's favorite recipes / book by Alice Laden. Edited and adapted by R. J. Minney.</t>
  </si>
  <si>
    <t>Laden, Alice.</t>
  </si>
  <si>
    <t>New York : Taplinger Pub. Co., [1972, c1971]</t>
  </si>
  <si>
    <t>2007-09-26</t>
  </si>
  <si>
    <t>4417420700:eng</t>
  </si>
  <si>
    <t>262281</t>
  </si>
  <si>
    <t>991002056609702656</t>
  </si>
  <si>
    <t>2266791590002656</t>
  </si>
  <si>
    <t>9780800831950</t>
  </si>
  <si>
    <t>32285001749380</t>
  </si>
  <si>
    <t>893262060</t>
  </si>
  <si>
    <t>TX840.C5 L3 1976</t>
  </si>
  <si>
    <t>0                      TX 0840000C  5                  L  3           1976</t>
  </si>
  <si>
    <t>Feed me! I'm yours : a recipe book for mothers : delicious, nutritious &amp; fun things to cook up for your kids / [by Vicki Lansky] ; ill. by Pat Seitz.</t>
  </si>
  <si>
    <t>Lansky, Vicki.</t>
  </si>
  <si>
    <t>Wayzata, Minn. : Meadowbrook Press, 1976, c1974.</t>
  </si>
  <si>
    <t>1995-11-28</t>
  </si>
  <si>
    <t>4903910:eng</t>
  </si>
  <si>
    <t>2880186</t>
  </si>
  <si>
    <t>991004271919702656</t>
  </si>
  <si>
    <t>2271972200002656</t>
  </si>
  <si>
    <t>9780915658015</t>
  </si>
  <si>
    <t>32285002120094</t>
  </si>
  <si>
    <t>893894777</t>
  </si>
  <si>
    <t>TX907.2 .R44 2000</t>
  </si>
  <si>
    <t>0                      TX 0907200R  44          2000</t>
  </si>
  <si>
    <t>A guide to monastic guest houses / Robert J. Regalbuto.</t>
  </si>
  <si>
    <t>Regalbuto, Robert J.</t>
  </si>
  <si>
    <t>Harrisburg, Pa. : Morehouse Pub., c2000.</t>
  </si>
  <si>
    <t>2009-06-21</t>
  </si>
  <si>
    <t>2001-01-17</t>
  </si>
  <si>
    <t>51618:eng</t>
  </si>
  <si>
    <t>44592668</t>
  </si>
  <si>
    <t>991003350409702656</t>
  </si>
  <si>
    <t>2268945460002656</t>
  </si>
  <si>
    <t>9780819218483</t>
  </si>
  <si>
    <t>32285004284799</t>
  </si>
  <si>
    <t>893604709</t>
  </si>
  <si>
    <t>TX909 .S53 1976</t>
  </si>
  <si>
    <t>0                      TX 0909000S  53          1976</t>
  </si>
  <si>
    <t>The city at the end of the rainbow : San Francisco and its grand hotels / by David Siefkin.</t>
  </si>
  <si>
    <t>Siefkin, David.</t>
  </si>
  <si>
    <t>New York : Putnam, c1976.</t>
  </si>
  <si>
    <t>2009-09-22</t>
  </si>
  <si>
    <t>2753184:eng</t>
  </si>
  <si>
    <t>1976898</t>
  </si>
  <si>
    <t>991003963999702656</t>
  </si>
  <si>
    <t>2268641900002656</t>
  </si>
  <si>
    <t>9780399117428</t>
  </si>
  <si>
    <t>32285001749406</t>
  </si>
  <si>
    <t>893705841</t>
  </si>
  <si>
    <t>TX910.5.E65 D3</t>
  </si>
  <si>
    <t>0                      TX 0910500E  65                 D  3</t>
  </si>
  <si>
    <t>Eugene C. Eppley: his life and legacy.</t>
  </si>
  <si>
    <t>Dalstrom, Harl A. (Harl Adams), 1936-</t>
  </si>
  <si>
    <t>Lincoln, Neb., Johnsen Pub. Co. [1969]</t>
  </si>
  <si>
    <t>Nebraska heritage series</t>
  </si>
  <si>
    <t>1999-06-26</t>
  </si>
  <si>
    <t>1223681:eng</t>
  </si>
  <si>
    <t>61769</t>
  </si>
  <si>
    <t>991001668419702656</t>
  </si>
  <si>
    <t>2255148370002656</t>
  </si>
  <si>
    <t>32285003120903</t>
  </si>
  <si>
    <t>893891713</t>
  </si>
  <si>
    <t>TX910.5.K76 A34 1977</t>
  </si>
  <si>
    <t>0                      TX 0910500K  76                 A  34          1977</t>
  </si>
  <si>
    <t>Grinding it out : the making of McDonald's / Ray Kroc, with Robert Anderson.</t>
  </si>
  <si>
    <t>Kroc, Ray, 1902-1984.</t>
  </si>
  <si>
    <t>Chicago : H. Regnery, c1977.</t>
  </si>
  <si>
    <t>2010-09-02</t>
  </si>
  <si>
    <t>1990-04-17</t>
  </si>
  <si>
    <t>285051704:eng</t>
  </si>
  <si>
    <t>2646393</t>
  </si>
  <si>
    <t>991004198989702656</t>
  </si>
  <si>
    <t>2255197510002656</t>
  </si>
  <si>
    <t>9780809282593</t>
  </si>
  <si>
    <t>32285000122720</t>
  </si>
  <si>
    <t>893712269</t>
  </si>
  <si>
    <t>TX910.F8 C45</t>
  </si>
  <si>
    <t>0                      TX 0910000F  8                  C  45</t>
  </si>
  <si>
    <t>Bouquet de France, an epicurean tour of the French provinces. Recipes translated from the French and adapted by Narcissa Chamberlain. Illustrated and designed by the author.</t>
  </si>
  <si>
    <t>[New York] Gourmet [1952]</t>
  </si>
  <si>
    <t>1952</t>
  </si>
  <si>
    <t>2007-11-25</t>
  </si>
  <si>
    <t>196207983:eng</t>
  </si>
  <si>
    <t>1463436</t>
  </si>
  <si>
    <t>991003768339702656</t>
  </si>
  <si>
    <t>2259103910002656</t>
  </si>
  <si>
    <t>32285001749414</t>
  </si>
  <si>
    <t>893416772</t>
  </si>
  <si>
    <t>TX911.3.M27 S53 1980</t>
  </si>
  <si>
    <t>0                      TX 0911300M  27                 S  53          1980</t>
  </si>
  <si>
    <t>How to run a successful restaurant / William L. Siegel.</t>
  </si>
  <si>
    <t>Siegel, William L. (William Laird), 1949-</t>
  </si>
  <si>
    <t>New York : Wiley, [1980] c1977.</t>
  </si>
  <si>
    <t>The Small business series</t>
  </si>
  <si>
    <t>2004-02-08</t>
  </si>
  <si>
    <t>489077:eng</t>
  </si>
  <si>
    <t>5777115</t>
  </si>
  <si>
    <t>991004873869702656</t>
  </si>
  <si>
    <t>2256286340002656</t>
  </si>
  <si>
    <t>9780471079101</t>
  </si>
  <si>
    <t>32285001026615</t>
  </si>
  <si>
    <t>893424288</t>
  </si>
  <si>
    <t>TX911.3.M27 Y82 1999</t>
  </si>
  <si>
    <t>0                      TX 0911300M  27                 Y  82          1999</t>
  </si>
  <si>
    <t>The international hospitality business : management and operations / Larry Yu.</t>
  </si>
  <si>
    <t>Yu, Lawrence.</t>
  </si>
  <si>
    <t>New York : Haworth Press, c1999.</t>
  </si>
  <si>
    <t>2008-05-08</t>
  </si>
  <si>
    <t>2001-03-05</t>
  </si>
  <si>
    <t>2745320:eng</t>
  </si>
  <si>
    <t>40159131</t>
  </si>
  <si>
    <t>991003476679702656</t>
  </si>
  <si>
    <t>2261441850002656</t>
  </si>
  <si>
    <t>9780789005595</t>
  </si>
  <si>
    <t>32285004299219</t>
  </si>
  <si>
    <t>893611080</t>
  </si>
  <si>
    <t>TX943 .E82 1979</t>
  </si>
  <si>
    <t>0                      TX 0943000E  82          1979</t>
  </si>
  <si>
    <t>Foodservice management / Charles E. Eshbach.</t>
  </si>
  <si>
    <t>Eshbach, Charles E., 1914-</t>
  </si>
  <si>
    <t>3d ed.</t>
  </si>
  <si>
    <t>2004-03-16</t>
  </si>
  <si>
    <t>5247103:eng</t>
  </si>
  <si>
    <t>5353412</t>
  </si>
  <si>
    <t>991004825689702656</t>
  </si>
  <si>
    <t>2257592780002656</t>
  </si>
  <si>
    <t>9780843621761</t>
  </si>
  <si>
    <t>32285001749422</t>
  </si>
  <si>
    <t>893446411</t>
  </si>
  <si>
    <t>TX945 .G4</t>
  </si>
  <si>
    <t>0                      TX 0945000G  4</t>
  </si>
  <si>
    <t>School food centers; a guide to operating the school lunch program.</t>
  </si>
  <si>
    <t>George, Norvil Lester, 1902-</t>
  </si>
  <si>
    <t>New York, Ronald Press Co. [1960]</t>
  </si>
  <si>
    <t>1658721:eng</t>
  </si>
  <si>
    <t>567626</t>
  </si>
  <si>
    <t>991002999499702656</t>
  </si>
  <si>
    <t>2257616500002656</t>
  </si>
  <si>
    <t>32285003120929</t>
  </si>
  <si>
    <t>893692275</t>
  </si>
  <si>
    <t>TX945 .J35 1999</t>
  </si>
  <si>
    <t>0                      TX 0945000J  35          1999</t>
  </si>
  <si>
    <t>Fast food : roadside restaurants in the automobile age / John A. Jakle &amp; Keith A. Sculle.</t>
  </si>
  <si>
    <t>Jakle, John A.</t>
  </si>
  <si>
    <t>The road and American culture</t>
  </si>
  <si>
    <t>2006-10-07</t>
  </si>
  <si>
    <t>2000-07-25</t>
  </si>
  <si>
    <t>837014082:eng</t>
  </si>
  <si>
    <t>40269942</t>
  </si>
  <si>
    <t>991003218229702656</t>
  </si>
  <si>
    <t>2259231730002656</t>
  </si>
  <si>
    <t>9780801861093</t>
  </si>
  <si>
    <t>32285003686960</t>
  </si>
  <si>
    <t>893348445</t>
  </si>
  <si>
    <t>TX945.5.B63 E93 1988</t>
  </si>
  <si>
    <t>0                      TX 0945500B  63                 E  93          1988</t>
  </si>
  <si>
    <t>Bob Evans Farms, Inc. : fine family restaurants and farm fresh sausage / Daniel E. Evans.</t>
  </si>
  <si>
    <t>Evans, Daniel E.</t>
  </si>
  <si>
    <t>New York : Newcomen Society of the United States, 1988, c1989.</t>
  </si>
  <si>
    <t>Newcomen publication ; no. 1314</t>
  </si>
  <si>
    <t>21694195:eng</t>
  </si>
  <si>
    <t>20084114</t>
  </si>
  <si>
    <t>991001536219702656</t>
  </si>
  <si>
    <t>2270072670002656</t>
  </si>
  <si>
    <t>32285001749448</t>
  </si>
  <si>
    <t>893778852</t>
  </si>
  <si>
    <t>TX945.5.C54 C36 1998</t>
  </si>
  <si>
    <t>0                      TX 0945500C  54                 C  36          1998</t>
  </si>
  <si>
    <t>Chick-fil-A, Inc. : a history maker in foodservice / S. Truett Cathy.</t>
  </si>
  <si>
    <t>Cathy, S. Truett.</t>
  </si>
  <si>
    <t>New York, N.Y. : The Newcomen Society of America, 1998.</t>
  </si>
  <si>
    <t>Newcomen publication ; no. 1511</t>
  </si>
  <si>
    <t>1999-01-18</t>
  </si>
  <si>
    <t>24117066:eng</t>
  </si>
  <si>
    <t>40471101</t>
  </si>
  <si>
    <t>991002994899702656</t>
  </si>
  <si>
    <t>2263116980002656</t>
  </si>
  <si>
    <t>32285003513289</t>
  </si>
  <si>
    <t>893904200</t>
  </si>
  <si>
    <t>TX945.5.H54 S76 2005</t>
  </si>
  <si>
    <t>0                      TX 0945500H  54                 S  76          2005</t>
  </si>
  <si>
    <t>Highlands Bar and Grill : on the southside of Birmingham / Frank Stitt.</t>
  </si>
  <si>
    <t>Stitt, Frank, 1954-</t>
  </si>
  <si>
    <t>Exton, Penn. : Newcomen Society of the United States, 2005.</t>
  </si>
  <si>
    <t>alu</t>
  </si>
  <si>
    <t>Newcomen publication ; no. 1606</t>
  </si>
  <si>
    <t>2006-03-16</t>
  </si>
  <si>
    <t>4662331154:eng</t>
  </si>
  <si>
    <t>64584137</t>
  </si>
  <si>
    <t>991004768509702656</t>
  </si>
  <si>
    <t>2270822230002656</t>
  </si>
  <si>
    <t>32285005165344</t>
  </si>
  <si>
    <t>893417997</t>
  </si>
  <si>
    <t>TX945.5.M33 K57 2002</t>
  </si>
  <si>
    <t>0                      TX 0945500M  33                 K  57          2002</t>
  </si>
  <si>
    <t>The sign of the burger : McDonald's and the culture of power / Joe L. Kincheloe.</t>
  </si>
  <si>
    <t>Kincheloe, Joe L.</t>
  </si>
  <si>
    <t>Philadelphia : Temple University Press, 2002.</t>
  </si>
  <si>
    <t>Labor in crisis</t>
  </si>
  <si>
    <t>2006-11-12</t>
  </si>
  <si>
    <t>2003-02-26</t>
  </si>
  <si>
    <t>20645839:eng</t>
  </si>
  <si>
    <t>47140812</t>
  </si>
  <si>
    <t>991003990669702656</t>
  </si>
  <si>
    <t>2262975930002656</t>
  </si>
  <si>
    <t>9781566399319</t>
  </si>
  <si>
    <t>32285004681051</t>
  </si>
  <si>
    <t>893318671</t>
  </si>
  <si>
    <t>TX950.59.G7 G57 1984</t>
  </si>
  <si>
    <t>0                      TX 0950590G  7                  G  57          1984</t>
  </si>
  <si>
    <t>Victorian pubs / Mark Girouard.</t>
  </si>
  <si>
    <t>Girouard, Mark, 1931-</t>
  </si>
  <si>
    <t>New Haven : Yale University Press, 1984.</t>
  </si>
  <si>
    <t>2001-09-23</t>
  </si>
  <si>
    <t>1992-07-14</t>
  </si>
  <si>
    <t>3307458:eng</t>
  </si>
  <si>
    <t>10274942</t>
  </si>
  <si>
    <t>991000342629702656</t>
  </si>
  <si>
    <t>2270299230002656</t>
  </si>
  <si>
    <t>9780300032017</t>
  </si>
  <si>
    <t>32285001152155</t>
  </si>
  <si>
    <t>893896798</t>
  </si>
  <si>
    <t>TX950.7 .R5</t>
  </si>
  <si>
    <t>0                      TX 0950700R  5</t>
  </si>
  <si>
    <t>City of London pubs; a practical and historical guide [by] Timothy M. Richards and James Stevens Curl.</t>
  </si>
  <si>
    <t>Richards, Timothy M.</t>
  </si>
  <si>
    <t>New York, Drake Publishers [1973]</t>
  </si>
  <si>
    <t>1706635:eng</t>
  </si>
  <si>
    <t>671920</t>
  </si>
  <si>
    <t>991003128219702656</t>
  </si>
  <si>
    <t>2268356950002656</t>
  </si>
  <si>
    <t>9780877493587</t>
  </si>
  <si>
    <t>32285003120937</t>
  </si>
  <si>
    <t>893434674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</si>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</sst>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6722-9574-40CE-9044-91DCE86049D1}">
  <dimension ref="A1:BD270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41.25" customHeight="1" x14ac:dyDescent="0.25"/>
  <cols>
    <col min="1" max="1" width="14.5703125" customWidth="1"/>
    <col min="2" max="2" width="17.140625" customWidth="1"/>
    <col min="3" max="3" width="0" hidden="1" customWidth="1"/>
    <col min="4" max="4" width="51.28515625" customWidth="1"/>
    <col min="6" max="10" width="0" hidden="1" customWidth="1"/>
    <col min="11" max="12" width="20.425781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6.7109375" customWidth="1"/>
    <col min="32" max="41" width="0" hidden="1" customWidth="1"/>
    <col min="42" max="44" width="11" customWidth="1"/>
    <col min="47" max="56" width="0" hidden="1" customWidth="1"/>
  </cols>
  <sheetData>
    <row r="1" spans="1:56" ht="45" customHeight="1" x14ac:dyDescent="0.25">
      <c r="A1" s="8" t="s">
        <v>3683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1.2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Q2" s="2" t="s">
        <v>66</v>
      </c>
      <c r="R2" s="3" t="s">
        <v>67</v>
      </c>
      <c r="S2" s="4">
        <v>1</v>
      </c>
      <c r="T2" s="4">
        <v>1</v>
      </c>
      <c r="U2" s="5" t="s">
        <v>68</v>
      </c>
      <c r="V2" s="5" t="s">
        <v>68</v>
      </c>
      <c r="W2" s="5" t="s">
        <v>68</v>
      </c>
      <c r="X2" s="5" t="s">
        <v>68</v>
      </c>
      <c r="Y2" s="4">
        <v>266</v>
      </c>
      <c r="Z2" s="4">
        <v>237</v>
      </c>
      <c r="AA2" s="4">
        <v>1053</v>
      </c>
      <c r="AB2" s="4">
        <v>2</v>
      </c>
      <c r="AC2" s="4">
        <v>6</v>
      </c>
      <c r="AD2" s="4">
        <v>8</v>
      </c>
      <c r="AE2" s="4">
        <v>41</v>
      </c>
      <c r="AF2" s="4">
        <v>3</v>
      </c>
      <c r="AG2" s="4">
        <v>16</v>
      </c>
      <c r="AH2" s="4">
        <v>1</v>
      </c>
      <c r="AI2" s="4">
        <v>11</v>
      </c>
      <c r="AJ2" s="4">
        <v>6</v>
      </c>
      <c r="AK2" s="4">
        <v>21</v>
      </c>
      <c r="AL2" s="4">
        <v>0</v>
      </c>
      <c r="AM2" s="4">
        <v>4</v>
      </c>
      <c r="AN2" s="4">
        <v>0</v>
      </c>
      <c r="AO2" s="4">
        <v>0</v>
      </c>
      <c r="AP2" s="3" t="s">
        <v>58</v>
      </c>
      <c r="AQ2" s="3" t="s">
        <v>58</v>
      </c>
      <c r="AS2" s="6" t="str">
        <f>HYPERLINK("https://creighton-primo.hosted.exlibrisgroup.com/primo-explore/search?tab=default_tab&amp;search_scope=EVERYTHING&amp;vid=01CRU&amp;lang=en_US&amp;offset=0&amp;query=any,contains,991005131109702656","Catalog Record")</f>
        <v>Catalog Record</v>
      </c>
      <c r="AT2" s="6" t="str">
        <f>HYPERLINK("http://www.worldcat.org/oclc/2356796","WorldCat Record")</f>
        <v>WorldCat Record</v>
      </c>
      <c r="AU2" s="3" t="s">
        <v>69</v>
      </c>
      <c r="AV2" s="3" t="s">
        <v>70</v>
      </c>
      <c r="AW2" s="3" t="s">
        <v>71</v>
      </c>
      <c r="AX2" s="3" t="s">
        <v>71</v>
      </c>
      <c r="AY2" s="3" t="s">
        <v>72</v>
      </c>
      <c r="AZ2" s="3" t="s">
        <v>73</v>
      </c>
      <c r="BB2" s="3" t="s">
        <v>74</v>
      </c>
      <c r="BC2" s="3" t="s">
        <v>75</v>
      </c>
      <c r="BD2" s="3" t="s">
        <v>76</v>
      </c>
    </row>
    <row r="3" spans="1:56" ht="41.25" customHeight="1" x14ac:dyDescent="0.25">
      <c r="A3" s="7" t="s">
        <v>58</v>
      </c>
      <c r="B3" s="2" t="s">
        <v>77</v>
      </c>
      <c r="C3" s="2" t="s">
        <v>78</v>
      </c>
      <c r="D3" s="2" t="s">
        <v>79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L3" s="2" t="s">
        <v>80</v>
      </c>
      <c r="M3" s="3" t="s">
        <v>81</v>
      </c>
      <c r="O3" s="3" t="s">
        <v>64</v>
      </c>
      <c r="P3" s="3" t="s">
        <v>65</v>
      </c>
      <c r="Q3" s="2" t="s">
        <v>82</v>
      </c>
      <c r="R3" s="3" t="s">
        <v>67</v>
      </c>
      <c r="S3" s="4">
        <v>1</v>
      </c>
      <c r="T3" s="4">
        <v>1</v>
      </c>
      <c r="U3" s="5" t="s">
        <v>83</v>
      </c>
      <c r="V3" s="5" t="s">
        <v>83</v>
      </c>
      <c r="W3" s="5" t="s">
        <v>84</v>
      </c>
      <c r="X3" s="5" t="s">
        <v>84</v>
      </c>
      <c r="Y3" s="4">
        <v>275</v>
      </c>
      <c r="Z3" s="4">
        <v>222</v>
      </c>
      <c r="AA3" s="4">
        <v>223</v>
      </c>
      <c r="AB3" s="4">
        <v>2</v>
      </c>
      <c r="AC3" s="4">
        <v>2</v>
      </c>
      <c r="AD3" s="4">
        <v>8</v>
      </c>
      <c r="AE3" s="4">
        <v>8</v>
      </c>
      <c r="AF3" s="4">
        <v>1</v>
      </c>
      <c r="AG3" s="4">
        <v>1</v>
      </c>
      <c r="AH3" s="4">
        <v>2</v>
      </c>
      <c r="AI3" s="4">
        <v>2</v>
      </c>
      <c r="AJ3" s="4">
        <v>6</v>
      </c>
      <c r="AK3" s="4">
        <v>6</v>
      </c>
      <c r="AL3" s="4">
        <v>1</v>
      </c>
      <c r="AM3" s="4">
        <v>1</v>
      </c>
      <c r="AN3" s="4">
        <v>0</v>
      </c>
      <c r="AO3" s="4">
        <v>0</v>
      </c>
      <c r="AP3" s="3" t="s">
        <v>58</v>
      </c>
      <c r="AQ3" s="3" t="s">
        <v>85</v>
      </c>
      <c r="AR3" s="6" t="str">
        <f>HYPERLINK("http://catalog.hathitrust.org/Record/000690853","HathiTrust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HYPERLINK("https://creighton-primo.hosted.exlibrisgroup.com/primo-explore/search?tab=default_tab&amp;search_scope=EVERYTHING&amp;vid=01CRU&amp;lang=en_US&amp;offset=0&amp;query=any,contains,991004051249702656","Catalog Record")</f>
        <v>Catalog Record</v>
      </c>
      <c r="AT3" s="6" t="str">
        <f>HYPERLINK("http://www.worldcat.org/oclc/2213101","WorldCat Record")</f>
        <v>WorldCat Record</v>
      </c>
      <c r="AU3" s="3" t="s">
        <v>86</v>
      </c>
      <c r="AV3" s="3" t="s">
        <v>87</v>
      </c>
      <c r="AW3" s="3" t="s">
        <v>88</v>
      </c>
      <c r="AX3" s="3" t="s">
        <v>88</v>
      </c>
      <c r="AY3" s="3" t="s">
        <v>89</v>
      </c>
      <c r="AZ3" s="3" t="s">
        <v>73</v>
      </c>
      <c r="BB3" s="3" t="s">
        <v>90</v>
      </c>
      <c r="BC3" s="3" t="s">
        <v>91</v>
      </c>
      <c r="BD3" s="3" t="s">
        <v>92</v>
      </c>
    </row>
    <row r="4" spans="1:56" ht="41.25" customHeight="1" x14ac:dyDescent="0.25">
      <c r="A4" s="7" t="s">
        <v>58</v>
      </c>
      <c r="B4" s="2" t="s">
        <v>93</v>
      </c>
      <c r="C4" s="2" t="s">
        <v>94</v>
      </c>
      <c r="D4" s="2" t="s">
        <v>95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96</v>
      </c>
      <c r="L4" s="2" t="s">
        <v>97</v>
      </c>
      <c r="M4" s="3" t="s">
        <v>98</v>
      </c>
      <c r="O4" s="3" t="s">
        <v>64</v>
      </c>
      <c r="P4" s="3" t="s">
        <v>65</v>
      </c>
      <c r="R4" s="3" t="s">
        <v>67</v>
      </c>
      <c r="S4" s="4">
        <v>1</v>
      </c>
      <c r="T4" s="4">
        <v>1</v>
      </c>
      <c r="U4" s="5" t="s">
        <v>99</v>
      </c>
      <c r="V4" s="5" t="s">
        <v>99</v>
      </c>
      <c r="W4" s="5" t="s">
        <v>100</v>
      </c>
      <c r="X4" s="5" t="s">
        <v>100</v>
      </c>
      <c r="Y4" s="4">
        <v>667</v>
      </c>
      <c r="Z4" s="4">
        <v>587</v>
      </c>
      <c r="AA4" s="4">
        <v>705</v>
      </c>
      <c r="AB4" s="4">
        <v>4</v>
      </c>
      <c r="AC4" s="4">
        <v>6</v>
      </c>
      <c r="AD4" s="4">
        <v>24</v>
      </c>
      <c r="AE4" s="4">
        <v>26</v>
      </c>
      <c r="AF4" s="4">
        <v>10</v>
      </c>
      <c r="AG4" s="4">
        <v>10</v>
      </c>
      <c r="AH4" s="4">
        <v>6</v>
      </c>
      <c r="AI4" s="4">
        <v>8</v>
      </c>
      <c r="AJ4" s="4">
        <v>13</v>
      </c>
      <c r="AK4" s="4">
        <v>13</v>
      </c>
      <c r="AL4" s="4">
        <v>2</v>
      </c>
      <c r="AM4" s="4">
        <v>2</v>
      </c>
      <c r="AN4" s="4">
        <v>0</v>
      </c>
      <c r="AO4" s="4">
        <v>0</v>
      </c>
      <c r="AP4" s="3" t="s">
        <v>58</v>
      </c>
      <c r="AQ4" s="3" t="s">
        <v>85</v>
      </c>
      <c r="AR4" s="6" t="str">
        <f>HYPERLINK("http://catalog.hathitrust.org/Record/004432587","HathiTrust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HYPERLINK("https://creighton-primo.hosted.exlibrisgroup.com/primo-explore/search?tab=default_tab&amp;search_scope=EVERYTHING&amp;vid=01CRU&amp;lang=en_US&amp;offset=0&amp;query=any,contains,991001420149702656","Catalog Record")</f>
        <v>Catalog Record</v>
      </c>
      <c r="AT4" s="6" t="str">
        <f>HYPERLINK("http://www.worldcat.org/oclc/18963281","WorldCat Record")</f>
        <v>WorldCat Record</v>
      </c>
      <c r="AU4" s="3" t="s">
        <v>101</v>
      </c>
      <c r="AV4" s="3" t="s">
        <v>102</v>
      </c>
      <c r="AW4" s="3" t="s">
        <v>103</v>
      </c>
      <c r="AX4" s="3" t="s">
        <v>103</v>
      </c>
      <c r="AY4" s="3" t="s">
        <v>104</v>
      </c>
      <c r="AZ4" s="3" t="s">
        <v>73</v>
      </c>
      <c r="BB4" s="3" t="s">
        <v>105</v>
      </c>
      <c r="BC4" s="3" t="s">
        <v>106</v>
      </c>
      <c r="BD4" s="3" t="s">
        <v>107</v>
      </c>
    </row>
    <row r="5" spans="1:56" ht="41.25" customHeight="1" x14ac:dyDescent="0.25">
      <c r="A5" s="7" t="s">
        <v>58</v>
      </c>
      <c r="B5" s="2" t="s">
        <v>108</v>
      </c>
      <c r="C5" s="2" t="s">
        <v>109</v>
      </c>
      <c r="D5" s="2" t="s">
        <v>110</v>
      </c>
      <c r="E5" s="3" t="s">
        <v>111</v>
      </c>
      <c r="F5" s="3" t="s">
        <v>85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112</v>
      </c>
      <c r="L5" s="2" t="s">
        <v>113</v>
      </c>
      <c r="M5" s="3" t="s">
        <v>114</v>
      </c>
      <c r="O5" s="3" t="s">
        <v>64</v>
      </c>
      <c r="P5" s="3" t="s">
        <v>65</v>
      </c>
      <c r="Q5" s="2" t="s">
        <v>115</v>
      </c>
      <c r="R5" s="3" t="s">
        <v>67</v>
      </c>
      <c r="S5" s="4">
        <v>0</v>
      </c>
      <c r="T5" s="4">
        <v>0</v>
      </c>
      <c r="V5" s="5" t="s">
        <v>116</v>
      </c>
      <c r="W5" s="5" t="s">
        <v>84</v>
      </c>
      <c r="X5" s="5" t="s">
        <v>84</v>
      </c>
      <c r="Y5" s="4">
        <v>338</v>
      </c>
      <c r="Z5" s="4">
        <v>258</v>
      </c>
      <c r="AA5" s="4">
        <v>267</v>
      </c>
      <c r="AB5" s="4">
        <v>2</v>
      </c>
      <c r="AC5" s="4">
        <v>2</v>
      </c>
      <c r="AD5" s="4">
        <v>13</v>
      </c>
      <c r="AE5" s="4">
        <v>13</v>
      </c>
      <c r="AF5" s="4">
        <v>5</v>
      </c>
      <c r="AG5" s="4">
        <v>5</v>
      </c>
      <c r="AH5" s="4">
        <v>4</v>
      </c>
      <c r="AI5" s="4">
        <v>4</v>
      </c>
      <c r="AJ5" s="4">
        <v>8</v>
      </c>
      <c r="AK5" s="4">
        <v>8</v>
      </c>
      <c r="AL5" s="4">
        <v>1</v>
      </c>
      <c r="AM5" s="4">
        <v>1</v>
      </c>
      <c r="AN5" s="4">
        <v>0</v>
      </c>
      <c r="AO5" s="4">
        <v>0</v>
      </c>
      <c r="AP5" s="3" t="s">
        <v>58</v>
      </c>
      <c r="AQ5" s="3" t="s">
        <v>85</v>
      </c>
      <c r="AR5" s="6" t="str">
        <f>HYPERLINK("http://catalog.hathitrust.org/Record/000150019","HathiTrust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HYPERLINK("https://creighton-primo.hosted.exlibrisgroup.com/primo-explore/search?tab=default_tab&amp;search_scope=EVERYTHING&amp;vid=01CRU&amp;lang=en_US&amp;offset=0&amp;query=any,contains,991005163579702656","Catalog Record")</f>
        <v>Catalog Record</v>
      </c>
      <c r="AT5" s="6" t="str">
        <f>HYPERLINK("http://www.worldcat.org/oclc/7811659","WorldCat Record")</f>
        <v>WorldCat Record</v>
      </c>
      <c r="AU5" s="3" t="s">
        <v>117</v>
      </c>
      <c r="AV5" s="3" t="s">
        <v>118</v>
      </c>
      <c r="AW5" s="3" t="s">
        <v>119</v>
      </c>
      <c r="AX5" s="3" t="s">
        <v>119</v>
      </c>
      <c r="AY5" s="3" t="s">
        <v>120</v>
      </c>
      <c r="AZ5" s="3" t="s">
        <v>73</v>
      </c>
      <c r="BB5" s="3" t="s">
        <v>121</v>
      </c>
      <c r="BC5" s="3" t="s">
        <v>122</v>
      </c>
      <c r="BD5" s="3" t="s">
        <v>123</v>
      </c>
    </row>
    <row r="6" spans="1:56" ht="41.25" customHeight="1" x14ac:dyDescent="0.25">
      <c r="A6" s="7" t="s">
        <v>58</v>
      </c>
      <c r="B6" s="2" t="s">
        <v>108</v>
      </c>
      <c r="C6" s="2" t="s">
        <v>109</v>
      </c>
      <c r="D6" s="2" t="s">
        <v>110</v>
      </c>
      <c r="E6" s="3" t="s">
        <v>124</v>
      </c>
      <c r="F6" s="3" t="s">
        <v>85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112</v>
      </c>
      <c r="L6" s="2" t="s">
        <v>113</v>
      </c>
      <c r="M6" s="3" t="s">
        <v>114</v>
      </c>
      <c r="O6" s="3" t="s">
        <v>64</v>
      </c>
      <c r="P6" s="3" t="s">
        <v>65</v>
      </c>
      <c r="Q6" s="2" t="s">
        <v>115</v>
      </c>
      <c r="R6" s="3" t="s">
        <v>67</v>
      </c>
      <c r="S6" s="4">
        <v>0</v>
      </c>
      <c r="T6" s="4">
        <v>0</v>
      </c>
      <c r="U6" s="5" t="s">
        <v>116</v>
      </c>
      <c r="V6" s="5" t="s">
        <v>116</v>
      </c>
      <c r="W6" s="5" t="s">
        <v>84</v>
      </c>
      <c r="X6" s="5" t="s">
        <v>84</v>
      </c>
      <c r="Y6" s="4">
        <v>338</v>
      </c>
      <c r="Z6" s="4">
        <v>258</v>
      </c>
      <c r="AA6" s="4">
        <v>267</v>
      </c>
      <c r="AB6" s="4">
        <v>2</v>
      </c>
      <c r="AC6" s="4">
        <v>2</v>
      </c>
      <c r="AD6" s="4">
        <v>13</v>
      </c>
      <c r="AE6" s="4">
        <v>13</v>
      </c>
      <c r="AF6" s="4">
        <v>5</v>
      </c>
      <c r="AG6" s="4">
        <v>5</v>
      </c>
      <c r="AH6" s="4">
        <v>4</v>
      </c>
      <c r="AI6" s="4">
        <v>4</v>
      </c>
      <c r="AJ6" s="4">
        <v>8</v>
      </c>
      <c r="AK6" s="4">
        <v>8</v>
      </c>
      <c r="AL6" s="4">
        <v>1</v>
      </c>
      <c r="AM6" s="4">
        <v>1</v>
      </c>
      <c r="AN6" s="4">
        <v>0</v>
      </c>
      <c r="AO6" s="4">
        <v>0</v>
      </c>
      <c r="AP6" s="3" t="s">
        <v>58</v>
      </c>
      <c r="AQ6" s="3" t="s">
        <v>85</v>
      </c>
      <c r="AR6" s="6" t="str">
        <f>HYPERLINK("http://catalog.hathitrust.org/Record/000150019","HathiTrust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HYPERLINK("https://creighton-primo.hosted.exlibrisgroup.com/primo-explore/search?tab=default_tab&amp;search_scope=EVERYTHING&amp;vid=01CRU&amp;lang=en_US&amp;offset=0&amp;query=any,contains,991005163579702656","Catalog Record")</f>
        <v>Catalog Record</v>
      </c>
      <c r="AT6" s="6" t="str">
        <f>HYPERLINK("http://www.worldcat.org/oclc/7811659","WorldCat Record")</f>
        <v>WorldCat Record</v>
      </c>
      <c r="AU6" s="3" t="s">
        <v>117</v>
      </c>
      <c r="AV6" s="3" t="s">
        <v>118</v>
      </c>
      <c r="AW6" s="3" t="s">
        <v>119</v>
      </c>
      <c r="AX6" s="3" t="s">
        <v>119</v>
      </c>
      <c r="AY6" s="3" t="s">
        <v>120</v>
      </c>
      <c r="AZ6" s="3" t="s">
        <v>73</v>
      </c>
      <c r="BB6" s="3" t="s">
        <v>121</v>
      </c>
      <c r="BC6" s="3" t="s">
        <v>125</v>
      </c>
      <c r="BD6" s="3" t="s">
        <v>126</v>
      </c>
    </row>
    <row r="7" spans="1:56" ht="41.25" customHeight="1" x14ac:dyDescent="0.25">
      <c r="A7" s="7" t="s">
        <v>58</v>
      </c>
      <c r="B7" s="2" t="s">
        <v>127</v>
      </c>
      <c r="C7" s="2" t="s">
        <v>128</v>
      </c>
      <c r="D7" s="2" t="s">
        <v>129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130</v>
      </c>
      <c r="L7" s="2" t="s">
        <v>131</v>
      </c>
      <c r="M7" s="3" t="s">
        <v>132</v>
      </c>
      <c r="O7" s="3" t="s">
        <v>64</v>
      </c>
      <c r="P7" s="3" t="s">
        <v>65</v>
      </c>
      <c r="R7" s="3" t="s">
        <v>67</v>
      </c>
      <c r="S7" s="4">
        <v>1</v>
      </c>
      <c r="T7" s="4">
        <v>1</v>
      </c>
      <c r="U7" s="5" t="s">
        <v>133</v>
      </c>
      <c r="V7" s="5" t="s">
        <v>133</v>
      </c>
      <c r="W7" s="5" t="s">
        <v>134</v>
      </c>
      <c r="X7" s="5" t="s">
        <v>134</v>
      </c>
      <c r="Y7" s="4">
        <v>234</v>
      </c>
      <c r="Z7" s="4">
        <v>183</v>
      </c>
      <c r="AA7" s="4">
        <v>186</v>
      </c>
      <c r="AB7" s="4">
        <v>1</v>
      </c>
      <c r="AC7" s="4">
        <v>1</v>
      </c>
      <c r="AD7" s="4">
        <v>4</v>
      </c>
      <c r="AE7" s="4">
        <v>4</v>
      </c>
      <c r="AF7" s="4">
        <v>3</v>
      </c>
      <c r="AG7" s="4">
        <v>3</v>
      </c>
      <c r="AH7" s="4">
        <v>0</v>
      </c>
      <c r="AI7" s="4">
        <v>0</v>
      </c>
      <c r="AJ7" s="4">
        <v>2</v>
      </c>
      <c r="AK7" s="4">
        <v>2</v>
      </c>
      <c r="AL7" s="4">
        <v>0</v>
      </c>
      <c r="AM7" s="4">
        <v>0</v>
      </c>
      <c r="AN7" s="4">
        <v>1</v>
      </c>
      <c r="AO7" s="4">
        <v>1</v>
      </c>
      <c r="AP7" s="3" t="s">
        <v>58</v>
      </c>
      <c r="AQ7" s="3" t="s">
        <v>85</v>
      </c>
      <c r="AR7" s="6" t="str">
        <f>HYPERLINK("http://catalog.hathitrust.org/Record/001510532","HathiTrust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HYPERLINK("https://creighton-primo.hosted.exlibrisgroup.com/primo-explore/search?tab=default_tab&amp;search_scope=EVERYTHING&amp;vid=01CRU&amp;lang=en_US&amp;offset=0&amp;query=any,contains,991000725979702656","Catalog Record")</f>
        <v>Catalog Record</v>
      </c>
      <c r="AT7" s="6" t="str">
        <f>HYPERLINK("http://www.worldcat.org/oclc/127813","WorldCat Record")</f>
        <v>WorldCat Record</v>
      </c>
      <c r="AU7" s="3" t="s">
        <v>135</v>
      </c>
      <c r="AV7" s="3" t="s">
        <v>136</v>
      </c>
      <c r="AW7" s="3" t="s">
        <v>137</v>
      </c>
      <c r="AX7" s="3" t="s">
        <v>137</v>
      </c>
      <c r="AY7" s="3" t="s">
        <v>138</v>
      </c>
      <c r="AZ7" s="3" t="s">
        <v>73</v>
      </c>
      <c r="BC7" s="3" t="s">
        <v>139</v>
      </c>
      <c r="BD7" s="3" t="s">
        <v>140</v>
      </c>
    </row>
    <row r="8" spans="1:56" ht="41.25" customHeight="1" x14ac:dyDescent="0.25">
      <c r="A8" s="7" t="s">
        <v>58</v>
      </c>
      <c r="B8" s="2" t="s">
        <v>141</v>
      </c>
      <c r="C8" s="2" t="s">
        <v>142</v>
      </c>
      <c r="D8" s="2" t="s">
        <v>143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144</v>
      </c>
      <c r="L8" s="2" t="s">
        <v>145</v>
      </c>
      <c r="M8" s="3" t="s">
        <v>146</v>
      </c>
      <c r="O8" s="3" t="s">
        <v>64</v>
      </c>
      <c r="P8" s="3" t="s">
        <v>65</v>
      </c>
      <c r="Q8" s="2" t="s">
        <v>147</v>
      </c>
      <c r="R8" s="3" t="s">
        <v>67</v>
      </c>
      <c r="S8" s="4">
        <v>1</v>
      </c>
      <c r="T8" s="4">
        <v>1</v>
      </c>
      <c r="U8" s="5" t="s">
        <v>148</v>
      </c>
      <c r="V8" s="5" t="s">
        <v>148</v>
      </c>
      <c r="W8" s="5" t="s">
        <v>149</v>
      </c>
      <c r="X8" s="5" t="s">
        <v>149</v>
      </c>
      <c r="Y8" s="4">
        <v>664</v>
      </c>
      <c r="Z8" s="4">
        <v>452</v>
      </c>
      <c r="AA8" s="4">
        <v>459</v>
      </c>
      <c r="AB8" s="4">
        <v>2</v>
      </c>
      <c r="AC8" s="4">
        <v>2</v>
      </c>
      <c r="AD8" s="4">
        <v>16</v>
      </c>
      <c r="AE8" s="4">
        <v>16</v>
      </c>
      <c r="AF8" s="4">
        <v>8</v>
      </c>
      <c r="AG8" s="4">
        <v>8</v>
      </c>
      <c r="AH8" s="4">
        <v>4</v>
      </c>
      <c r="AI8" s="4">
        <v>4</v>
      </c>
      <c r="AJ8" s="4">
        <v>8</v>
      </c>
      <c r="AK8" s="4">
        <v>8</v>
      </c>
      <c r="AL8" s="4">
        <v>1</v>
      </c>
      <c r="AM8" s="4">
        <v>1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HYPERLINK("https://creighton-primo.hosted.exlibrisgroup.com/primo-explore/search?tab=default_tab&amp;search_scope=EVERYTHING&amp;vid=01CRU&amp;lang=en_US&amp;offset=0&amp;query=any,contains,991000123429702656","Catalog Record")</f>
        <v>Catalog Record</v>
      </c>
      <c r="AT8" s="6" t="str">
        <f>HYPERLINK("http://www.worldcat.org/oclc/9081664","WorldCat Record")</f>
        <v>WorldCat Record</v>
      </c>
      <c r="AU8" s="3" t="s">
        <v>150</v>
      </c>
      <c r="AV8" s="3" t="s">
        <v>151</v>
      </c>
      <c r="AW8" s="3" t="s">
        <v>152</v>
      </c>
      <c r="AX8" s="3" t="s">
        <v>152</v>
      </c>
      <c r="AY8" s="3" t="s">
        <v>153</v>
      </c>
      <c r="AZ8" s="3" t="s">
        <v>73</v>
      </c>
      <c r="BB8" s="3" t="s">
        <v>154</v>
      </c>
      <c r="BC8" s="3" t="s">
        <v>155</v>
      </c>
      <c r="BD8" s="3" t="s">
        <v>156</v>
      </c>
    </row>
    <row r="9" spans="1:56" ht="41.25" customHeight="1" x14ac:dyDescent="0.25">
      <c r="A9" s="7" t="s">
        <v>58</v>
      </c>
      <c r="B9" s="2" t="s">
        <v>157</v>
      </c>
      <c r="C9" s="2" t="s">
        <v>158</v>
      </c>
      <c r="D9" s="2" t="s">
        <v>159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160</v>
      </c>
      <c r="L9" s="2" t="s">
        <v>161</v>
      </c>
      <c r="M9" s="3" t="s">
        <v>162</v>
      </c>
      <c r="O9" s="3" t="s">
        <v>64</v>
      </c>
      <c r="P9" s="3" t="s">
        <v>65</v>
      </c>
      <c r="R9" s="3" t="s">
        <v>67</v>
      </c>
      <c r="S9" s="4">
        <v>1</v>
      </c>
      <c r="T9" s="4">
        <v>1</v>
      </c>
      <c r="U9" s="5" t="s">
        <v>163</v>
      </c>
      <c r="V9" s="5" t="s">
        <v>163</v>
      </c>
      <c r="W9" s="5" t="s">
        <v>164</v>
      </c>
      <c r="X9" s="5" t="s">
        <v>164</v>
      </c>
      <c r="Y9" s="4">
        <v>11</v>
      </c>
      <c r="Z9" s="4">
        <v>7</v>
      </c>
      <c r="AA9" s="4">
        <v>374</v>
      </c>
      <c r="AB9" s="4">
        <v>1</v>
      </c>
      <c r="AC9" s="4">
        <v>2</v>
      </c>
      <c r="AD9" s="4">
        <v>0</v>
      </c>
      <c r="AE9" s="4">
        <v>13</v>
      </c>
      <c r="AF9" s="4">
        <v>0</v>
      </c>
      <c r="AG9" s="4">
        <v>5</v>
      </c>
      <c r="AH9" s="4">
        <v>0</v>
      </c>
      <c r="AI9" s="4">
        <v>1</v>
      </c>
      <c r="AJ9" s="4">
        <v>0</v>
      </c>
      <c r="AK9" s="4">
        <v>8</v>
      </c>
      <c r="AL9" s="4">
        <v>0</v>
      </c>
      <c r="AM9" s="4">
        <v>1</v>
      </c>
      <c r="AN9" s="4">
        <v>0</v>
      </c>
      <c r="AO9" s="4">
        <v>0</v>
      </c>
      <c r="AP9" s="3" t="s">
        <v>85</v>
      </c>
      <c r="AQ9" s="3" t="s">
        <v>58</v>
      </c>
      <c r="AR9" s="6" t="str">
        <f>HYPERLINK("http://catalog.hathitrust.org/Record/009537747","HathiTrust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HYPERLINK("https://creighton-primo.hosted.exlibrisgroup.com/primo-explore/search?tab=default_tab&amp;search_scope=EVERYTHING&amp;vid=01CRU&amp;lang=en_US&amp;offset=0&amp;query=any,contains,991001133689702656","Catalog Record")</f>
        <v>Catalog Record</v>
      </c>
      <c r="AT9" s="6" t="str">
        <f>HYPERLINK("http://www.worldcat.org/oclc/16688134","WorldCat Record")</f>
        <v>WorldCat Record</v>
      </c>
      <c r="AU9" s="3" t="s">
        <v>165</v>
      </c>
      <c r="AV9" s="3" t="s">
        <v>166</v>
      </c>
      <c r="AW9" s="3" t="s">
        <v>167</v>
      </c>
      <c r="AX9" s="3" t="s">
        <v>167</v>
      </c>
      <c r="AY9" s="3" t="s">
        <v>168</v>
      </c>
      <c r="AZ9" s="3" t="s">
        <v>73</v>
      </c>
      <c r="BC9" s="3" t="s">
        <v>169</v>
      </c>
      <c r="BD9" s="3" t="s">
        <v>170</v>
      </c>
    </row>
    <row r="10" spans="1:56" ht="41.25" customHeight="1" x14ac:dyDescent="0.25">
      <c r="A10" s="7" t="s">
        <v>58</v>
      </c>
      <c r="B10" s="2" t="s">
        <v>171</v>
      </c>
      <c r="C10" s="2" t="s">
        <v>172</v>
      </c>
      <c r="D10" s="2" t="s">
        <v>173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174</v>
      </c>
      <c r="L10" s="2" t="s">
        <v>175</v>
      </c>
      <c r="M10" s="3" t="s">
        <v>176</v>
      </c>
      <c r="O10" s="3" t="s">
        <v>64</v>
      </c>
      <c r="P10" s="3" t="s">
        <v>65</v>
      </c>
      <c r="R10" s="3" t="s">
        <v>67</v>
      </c>
      <c r="S10" s="4">
        <v>1</v>
      </c>
      <c r="T10" s="4">
        <v>1</v>
      </c>
      <c r="U10" s="5" t="s">
        <v>177</v>
      </c>
      <c r="V10" s="5" t="s">
        <v>177</v>
      </c>
      <c r="W10" s="5" t="s">
        <v>178</v>
      </c>
      <c r="X10" s="5" t="s">
        <v>178</v>
      </c>
      <c r="Y10" s="4">
        <v>362</v>
      </c>
      <c r="Z10" s="4">
        <v>301</v>
      </c>
      <c r="AA10" s="4">
        <v>307</v>
      </c>
      <c r="AB10" s="4">
        <v>4</v>
      </c>
      <c r="AC10" s="4">
        <v>4</v>
      </c>
      <c r="AD10" s="4">
        <v>13</v>
      </c>
      <c r="AE10" s="4">
        <v>13</v>
      </c>
      <c r="AF10" s="4">
        <v>5</v>
      </c>
      <c r="AG10" s="4">
        <v>5</v>
      </c>
      <c r="AH10" s="4">
        <v>0</v>
      </c>
      <c r="AI10" s="4">
        <v>0</v>
      </c>
      <c r="AJ10" s="4">
        <v>7</v>
      </c>
      <c r="AK10" s="4">
        <v>7</v>
      </c>
      <c r="AL10" s="4">
        <v>3</v>
      </c>
      <c r="AM10" s="4">
        <v>3</v>
      </c>
      <c r="AN10" s="4">
        <v>0</v>
      </c>
      <c r="AO10" s="4">
        <v>0</v>
      </c>
      <c r="AP10" s="3" t="s">
        <v>58</v>
      </c>
      <c r="AQ10" s="3" t="s">
        <v>85</v>
      </c>
      <c r="AR10" s="6" t="str">
        <f>HYPERLINK("http://catalog.hathitrust.org/Record/000033455","HathiTrust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HYPERLINK("https://creighton-primo.hosted.exlibrisgroup.com/primo-explore/search?tab=default_tab&amp;search_scope=EVERYTHING&amp;vid=01CRU&amp;lang=en_US&amp;offset=0&amp;query=any,contains,991000610549702656","Catalog Record")</f>
        <v>Catalog Record</v>
      </c>
      <c r="AT10" s="6" t="str">
        <f>HYPERLINK("http://www.worldcat.org/oclc/100408","WorldCat Record")</f>
        <v>WorldCat Record</v>
      </c>
      <c r="AU10" s="3" t="s">
        <v>179</v>
      </c>
      <c r="AV10" s="3" t="s">
        <v>180</v>
      </c>
      <c r="AW10" s="3" t="s">
        <v>181</v>
      </c>
      <c r="AX10" s="3" t="s">
        <v>181</v>
      </c>
      <c r="AY10" s="3" t="s">
        <v>182</v>
      </c>
      <c r="AZ10" s="3" t="s">
        <v>73</v>
      </c>
      <c r="BB10" s="3" t="s">
        <v>183</v>
      </c>
      <c r="BC10" s="3" t="s">
        <v>184</v>
      </c>
      <c r="BD10" s="3" t="s">
        <v>185</v>
      </c>
    </row>
    <row r="11" spans="1:56" ht="41.25" customHeight="1" x14ac:dyDescent="0.25">
      <c r="A11" s="7" t="s">
        <v>58</v>
      </c>
      <c r="B11" s="2" t="s">
        <v>186</v>
      </c>
      <c r="C11" s="2" t="s">
        <v>187</v>
      </c>
      <c r="D11" s="2" t="s">
        <v>188</v>
      </c>
      <c r="E11" s="3" t="s">
        <v>124</v>
      </c>
      <c r="F11" s="3" t="s">
        <v>85</v>
      </c>
      <c r="G11" s="3" t="s">
        <v>59</v>
      </c>
      <c r="H11" s="3" t="s">
        <v>58</v>
      </c>
      <c r="I11" s="3" t="s">
        <v>58</v>
      </c>
      <c r="J11" s="3" t="s">
        <v>60</v>
      </c>
      <c r="L11" s="2" t="s">
        <v>189</v>
      </c>
      <c r="M11" s="3" t="s">
        <v>132</v>
      </c>
      <c r="O11" s="3" t="s">
        <v>64</v>
      </c>
      <c r="P11" s="3" t="s">
        <v>65</v>
      </c>
      <c r="R11" s="3" t="s">
        <v>190</v>
      </c>
      <c r="S11" s="4">
        <v>1</v>
      </c>
      <c r="T11" s="4">
        <v>11</v>
      </c>
      <c r="V11" s="5" t="s">
        <v>191</v>
      </c>
      <c r="W11" s="5" t="s">
        <v>192</v>
      </c>
      <c r="X11" s="5" t="s">
        <v>192</v>
      </c>
      <c r="Y11" s="4">
        <v>377</v>
      </c>
      <c r="Z11" s="4">
        <v>296</v>
      </c>
      <c r="AA11" s="4">
        <v>312</v>
      </c>
      <c r="AB11" s="4">
        <v>2</v>
      </c>
      <c r="AC11" s="4">
        <v>2</v>
      </c>
      <c r="AD11" s="4">
        <v>11</v>
      </c>
      <c r="AE11" s="4">
        <v>11</v>
      </c>
      <c r="AF11" s="4">
        <v>4</v>
      </c>
      <c r="AG11" s="4">
        <v>4</v>
      </c>
      <c r="AH11" s="4">
        <v>3</v>
      </c>
      <c r="AI11" s="4">
        <v>3</v>
      </c>
      <c r="AJ11" s="4">
        <v>5</v>
      </c>
      <c r="AK11" s="4">
        <v>5</v>
      </c>
      <c r="AL11" s="4">
        <v>1</v>
      </c>
      <c r="AM11" s="4">
        <v>1</v>
      </c>
      <c r="AN11" s="4">
        <v>0</v>
      </c>
      <c r="AO11" s="4">
        <v>0</v>
      </c>
      <c r="AP11" s="3" t="s">
        <v>58</v>
      </c>
      <c r="AQ11" s="3" t="s">
        <v>85</v>
      </c>
      <c r="AR11" s="6" t="str">
        <f>HYPERLINK("http://catalog.hathitrust.org/Record/007470408","HathiTrust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HYPERLINK("https://creighton-primo.hosted.exlibrisgroup.com/primo-explore/search?tab=default_tab&amp;search_scope=EVERYTHING&amp;vid=01CRU&amp;lang=en_US&amp;offset=0&amp;query=any,contains,991001218449702656","Catalog Record")</f>
        <v>Catalog Record</v>
      </c>
      <c r="AT11" s="6" t="str">
        <f>HYPERLINK("http://www.worldcat.org/oclc/938787405","WorldCat Record")</f>
        <v>WorldCat Record</v>
      </c>
      <c r="AU11" s="3" t="s">
        <v>193</v>
      </c>
      <c r="AV11" s="3" t="s">
        <v>194</v>
      </c>
      <c r="AW11" s="3" t="s">
        <v>195</v>
      </c>
      <c r="AX11" s="3" t="s">
        <v>195</v>
      </c>
      <c r="AY11" s="3" t="s">
        <v>196</v>
      </c>
      <c r="AZ11" s="3" t="s">
        <v>73</v>
      </c>
      <c r="BB11" s="3" t="s">
        <v>197</v>
      </c>
      <c r="BC11" s="3" t="s">
        <v>198</v>
      </c>
      <c r="BD11" s="3" t="s">
        <v>199</v>
      </c>
    </row>
    <row r="12" spans="1:56" ht="41.25" customHeight="1" x14ac:dyDescent="0.25">
      <c r="A12" s="7" t="s">
        <v>58</v>
      </c>
      <c r="B12" s="2" t="s">
        <v>200</v>
      </c>
      <c r="C12" s="2" t="s">
        <v>201</v>
      </c>
      <c r="D12" s="2" t="s">
        <v>202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L12" s="2" t="s">
        <v>203</v>
      </c>
      <c r="M12" s="3" t="s">
        <v>114</v>
      </c>
      <c r="O12" s="3" t="s">
        <v>64</v>
      </c>
      <c r="P12" s="3" t="s">
        <v>65</v>
      </c>
      <c r="R12" s="3" t="s">
        <v>190</v>
      </c>
      <c r="S12" s="4">
        <v>1</v>
      </c>
      <c r="T12" s="4">
        <v>1</v>
      </c>
      <c r="U12" s="5" t="s">
        <v>204</v>
      </c>
      <c r="V12" s="5" t="s">
        <v>204</v>
      </c>
      <c r="W12" s="5" t="s">
        <v>192</v>
      </c>
      <c r="X12" s="5" t="s">
        <v>192</v>
      </c>
      <c r="Y12" s="4">
        <v>223</v>
      </c>
      <c r="Z12" s="4">
        <v>157</v>
      </c>
      <c r="AA12" s="4">
        <v>204</v>
      </c>
      <c r="AB12" s="4">
        <v>2</v>
      </c>
      <c r="AC12" s="4">
        <v>2</v>
      </c>
      <c r="AD12" s="4">
        <v>3</v>
      </c>
      <c r="AE12" s="4">
        <v>5</v>
      </c>
      <c r="AF12" s="4">
        <v>0</v>
      </c>
      <c r="AG12" s="4">
        <v>1</v>
      </c>
      <c r="AH12" s="4">
        <v>1</v>
      </c>
      <c r="AI12" s="4">
        <v>2</v>
      </c>
      <c r="AJ12" s="4">
        <v>1</v>
      </c>
      <c r="AK12" s="4">
        <v>1</v>
      </c>
      <c r="AL12" s="4">
        <v>1</v>
      </c>
      <c r="AM12" s="4">
        <v>1</v>
      </c>
      <c r="AN12" s="4">
        <v>0</v>
      </c>
      <c r="AO12" s="4">
        <v>0</v>
      </c>
      <c r="AP12" s="3" t="s">
        <v>58</v>
      </c>
      <c r="AQ12" s="3" t="s">
        <v>85</v>
      </c>
      <c r="AR12" s="6" t="str">
        <f>HYPERLINK("http://catalog.hathitrust.org/Record/000273617","HathiTrust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HYPERLINK("https://creighton-primo.hosted.exlibrisgroup.com/primo-explore/search?tab=default_tab&amp;search_scope=EVERYTHING&amp;vid=01CRU&amp;lang=en_US&amp;offset=0&amp;query=any,contains,991005249499702656","Catalog Record")</f>
        <v>Catalog Record</v>
      </c>
      <c r="AT12" s="6" t="str">
        <f>HYPERLINK("http://www.worldcat.org/oclc/8476544","WorldCat Record")</f>
        <v>WorldCat Record</v>
      </c>
      <c r="AU12" s="3" t="s">
        <v>205</v>
      </c>
      <c r="AV12" s="3" t="s">
        <v>206</v>
      </c>
      <c r="AW12" s="3" t="s">
        <v>207</v>
      </c>
      <c r="AX12" s="3" t="s">
        <v>207</v>
      </c>
      <c r="AY12" s="3" t="s">
        <v>208</v>
      </c>
      <c r="AZ12" s="3" t="s">
        <v>73</v>
      </c>
      <c r="BB12" s="3" t="s">
        <v>209</v>
      </c>
      <c r="BC12" s="3" t="s">
        <v>210</v>
      </c>
      <c r="BD12" s="3" t="s">
        <v>211</v>
      </c>
    </row>
    <row r="13" spans="1:56" ht="41.25" customHeight="1" x14ac:dyDescent="0.25">
      <c r="A13" s="7" t="s">
        <v>58</v>
      </c>
      <c r="B13" s="2" t="s">
        <v>212</v>
      </c>
      <c r="C13" s="2" t="s">
        <v>213</v>
      </c>
      <c r="D13" s="2" t="s">
        <v>214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L13" s="2" t="s">
        <v>215</v>
      </c>
      <c r="M13" s="3" t="s">
        <v>146</v>
      </c>
      <c r="O13" s="3" t="s">
        <v>64</v>
      </c>
      <c r="P13" s="3" t="s">
        <v>65</v>
      </c>
      <c r="Q13" s="2" t="s">
        <v>216</v>
      </c>
      <c r="R13" s="3" t="s">
        <v>190</v>
      </c>
      <c r="S13" s="4">
        <v>1</v>
      </c>
      <c r="T13" s="4">
        <v>1</v>
      </c>
      <c r="U13" s="5" t="s">
        <v>217</v>
      </c>
      <c r="V13" s="5" t="s">
        <v>217</v>
      </c>
      <c r="W13" s="5" t="s">
        <v>192</v>
      </c>
      <c r="X13" s="5" t="s">
        <v>192</v>
      </c>
      <c r="Y13" s="4">
        <v>226</v>
      </c>
      <c r="Z13" s="4">
        <v>171</v>
      </c>
      <c r="AA13" s="4">
        <v>195</v>
      </c>
      <c r="AB13" s="4">
        <v>1</v>
      </c>
      <c r="AC13" s="4">
        <v>1</v>
      </c>
      <c r="AD13" s="4">
        <v>3</v>
      </c>
      <c r="AE13" s="4">
        <v>3</v>
      </c>
      <c r="AF13" s="4">
        <v>0</v>
      </c>
      <c r="AG13" s="4">
        <v>0</v>
      </c>
      <c r="AH13" s="4">
        <v>3</v>
      </c>
      <c r="AI13" s="4">
        <v>3</v>
      </c>
      <c r="AJ13" s="4">
        <v>1</v>
      </c>
      <c r="AK13" s="4">
        <v>1</v>
      </c>
      <c r="AL13" s="4">
        <v>0</v>
      </c>
      <c r="AM13" s="4">
        <v>0</v>
      </c>
      <c r="AN13" s="4">
        <v>0</v>
      </c>
      <c r="AO13" s="4">
        <v>0</v>
      </c>
      <c r="AP13" s="3" t="s">
        <v>58</v>
      </c>
      <c r="AQ13" s="3" t="s">
        <v>85</v>
      </c>
      <c r="AR13" s="6" t="str">
        <f>HYPERLINK("http://catalog.hathitrust.org/Record/000113680","HathiTrust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HYPERLINK("https://creighton-primo.hosted.exlibrisgroup.com/primo-explore/search?tab=default_tab&amp;search_scope=EVERYTHING&amp;vid=01CRU&amp;lang=en_US&amp;offset=0&amp;query=any,contains,991000249999702656","Catalog Record")</f>
        <v>Catalog Record</v>
      </c>
      <c r="AT13" s="6" t="str">
        <f>HYPERLINK("http://www.worldcat.org/oclc/10431103","WorldCat Record")</f>
        <v>WorldCat Record</v>
      </c>
      <c r="AU13" s="3" t="s">
        <v>218</v>
      </c>
      <c r="AV13" s="3" t="s">
        <v>219</v>
      </c>
      <c r="AW13" s="3" t="s">
        <v>220</v>
      </c>
      <c r="AX13" s="3" t="s">
        <v>220</v>
      </c>
      <c r="AY13" s="3" t="s">
        <v>221</v>
      </c>
      <c r="AZ13" s="3" t="s">
        <v>73</v>
      </c>
      <c r="BB13" s="3" t="s">
        <v>222</v>
      </c>
      <c r="BC13" s="3" t="s">
        <v>223</v>
      </c>
      <c r="BD13" s="3" t="s">
        <v>224</v>
      </c>
    </row>
    <row r="14" spans="1:56" ht="41.25" customHeight="1" x14ac:dyDescent="0.25">
      <c r="A14" s="7" t="s">
        <v>58</v>
      </c>
      <c r="B14" s="2" t="s">
        <v>225</v>
      </c>
      <c r="C14" s="2" t="s">
        <v>226</v>
      </c>
      <c r="D14" s="2" t="s">
        <v>227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228</v>
      </c>
      <c r="L14" s="2" t="s">
        <v>229</v>
      </c>
      <c r="M14" s="3" t="s">
        <v>230</v>
      </c>
      <c r="O14" s="3" t="s">
        <v>64</v>
      </c>
      <c r="P14" s="3" t="s">
        <v>231</v>
      </c>
      <c r="Q14" s="2" t="s">
        <v>232</v>
      </c>
      <c r="R14" s="3" t="s">
        <v>190</v>
      </c>
      <c r="S14" s="4">
        <v>1</v>
      </c>
      <c r="T14" s="4">
        <v>1</v>
      </c>
      <c r="U14" s="5" t="s">
        <v>233</v>
      </c>
      <c r="V14" s="5" t="s">
        <v>233</v>
      </c>
      <c r="W14" s="5" t="s">
        <v>234</v>
      </c>
      <c r="X14" s="5" t="s">
        <v>234</v>
      </c>
      <c r="Y14" s="4">
        <v>385</v>
      </c>
      <c r="Z14" s="4">
        <v>226</v>
      </c>
      <c r="AA14" s="4">
        <v>229</v>
      </c>
      <c r="AB14" s="4">
        <v>1</v>
      </c>
      <c r="AC14" s="4">
        <v>1</v>
      </c>
      <c r="AD14" s="4">
        <v>7</v>
      </c>
      <c r="AE14" s="4">
        <v>7</v>
      </c>
      <c r="AF14" s="4">
        <v>1</v>
      </c>
      <c r="AG14" s="4">
        <v>1</v>
      </c>
      <c r="AH14" s="4">
        <v>2</v>
      </c>
      <c r="AI14" s="4">
        <v>2</v>
      </c>
      <c r="AJ14" s="4">
        <v>6</v>
      </c>
      <c r="AK14" s="4">
        <v>6</v>
      </c>
      <c r="AL14" s="4">
        <v>0</v>
      </c>
      <c r="AM14" s="4">
        <v>0</v>
      </c>
      <c r="AN14" s="4">
        <v>0</v>
      </c>
      <c r="AO14" s="4">
        <v>0</v>
      </c>
      <c r="AP14" s="3" t="s">
        <v>58</v>
      </c>
      <c r="AQ14" s="3" t="s">
        <v>58</v>
      </c>
      <c r="AS14" s="6" t="str">
        <f>HYPERLINK("https://creighton-primo.hosted.exlibrisgroup.com/primo-explore/search?tab=default_tab&amp;search_scope=EVERYTHING&amp;vid=01CRU&amp;lang=en_US&amp;offset=0&amp;query=any,contains,991004407019702656","Catalog Record")</f>
        <v>Catalog Record</v>
      </c>
      <c r="AT14" s="6" t="str">
        <f>HYPERLINK("http://www.worldcat.org/oclc/3326832","WorldCat Record")</f>
        <v>WorldCat Record</v>
      </c>
      <c r="AU14" s="3" t="s">
        <v>235</v>
      </c>
      <c r="AV14" s="3" t="s">
        <v>236</v>
      </c>
      <c r="AW14" s="3" t="s">
        <v>237</v>
      </c>
      <c r="AX14" s="3" t="s">
        <v>237</v>
      </c>
      <c r="AY14" s="3" t="s">
        <v>238</v>
      </c>
      <c r="AZ14" s="3" t="s">
        <v>73</v>
      </c>
      <c r="BB14" s="3" t="s">
        <v>239</v>
      </c>
      <c r="BC14" s="3" t="s">
        <v>240</v>
      </c>
      <c r="BD14" s="3" t="s">
        <v>241</v>
      </c>
    </row>
    <row r="15" spans="1:56" ht="41.25" customHeight="1" x14ac:dyDescent="0.25">
      <c r="A15" s="7" t="s">
        <v>58</v>
      </c>
      <c r="B15" s="2" t="s">
        <v>242</v>
      </c>
      <c r="C15" s="2" t="s">
        <v>243</v>
      </c>
      <c r="D15" s="2" t="s">
        <v>244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K15" s="2" t="s">
        <v>245</v>
      </c>
      <c r="L15" s="2" t="s">
        <v>246</v>
      </c>
      <c r="M15" s="3" t="s">
        <v>146</v>
      </c>
      <c r="O15" s="3" t="s">
        <v>64</v>
      </c>
      <c r="P15" s="3" t="s">
        <v>65</v>
      </c>
      <c r="Q15" s="2" t="s">
        <v>247</v>
      </c>
      <c r="R15" s="3" t="s">
        <v>190</v>
      </c>
      <c r="S15" s="4">
        <v>0</v>
      </c>
      <c r="T15" s="4">
        <v>0</v>
      </c>
      <c r="U15" s="5" t="s">
        <v>248</v>
      </c>
      <c r="V15" s="5" t="s">
        <v>248</v>
      </c>
      <c r="W15" s="5" t="s">
        <v>249</v>
      </c>
      <c r="X15" s="5" t="s">
        <v>249</v>
      </c>
      <c r="Y15" s="4">
        <v>247</v>
      </c>
      <c r="Z15" s="4">
        <v>172</v>
      </c>
      <c r="AA15" s="4">
        <v>174</v>
      </c>
      <c r="AB15" s="4">
        <v>3</v>
      </c>
      <c r="AC15" s="4">
        <v>3</v>
      </c>
      <c r="AD15" s="4">
        <v>4</v>
      </c>
      <c r="AE15" s="4">
        <v>4</v>
      </c>
      <c r="AF15" s="4">
        <v>0</v>
      </c>
      <c r="AG15" s="4">
        <v>0</v>
      </c>
      <c r="AH15" s="4">
        <v>0</v>
      </c>
      <c r="AI15" s="4">
        <v>0</v>
      </c>
      <c r="AJ15" s="4">
        <v>2</v>
      </c>
      <c r="AK15" s="4">
        <v>2</v>
      </c>
      <c r="AL15" s="4">
        <v>2</v>
      </c>
      <c r="AM15" s="4">
        <v>2</v>
      </c>
      <c r="AN15" s="4">
        <v>0</v>
      </c>
      <c r="AO15" s="4">
        <v>0</v>
      </c>
      <c r="AP15" s="3" t="s">
        <v>58</v>
      </c>
      <c r="AQ15" s="3" t="s">
        <v>85</v>
      </c>
      <c r="AR15" s="6" t="str">
        <f>HYPERLINK("http://catalog.hathitrust.org/Record/000274978","HathiTrust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HYPERLINK("https://creighton-primo.hosted.exlibrisgroup.com/primo-explore/search?tab=default_tab&amp;search_scope=EVERYTHING&amp;vid=01CRU&amp;lang=en_US&amp;offset=0&amp;query=any,contains,991000065999702656","Catalog Record")</f>
        <v>Catalog Record</v>
      </c>
      <c r="AT15" s="6" t="str">
        <f>HYPERLINK("http://www.worldcat.org/oclc/8763706","WorldCat Record")</f>
        <v>WorldCat Record</v>
      </c>
      <c r="AU15" s="3" t="s">
        <v>250</v>
      </c>
      <c r="AV15" s="3" t="s">
        <v>251</v>
      </c>
      <c r="AW15" s="3" t="s">
        <v>252</v>
      </c>
      <c r="AX15" s="3" t="s">
        <v>252</v>
      </c>
      <c r="AY15" s="3" t="s">
        <v>253</v>
      </c>
      <c r="AZ15" s="3" t="s">
        <v>73</v>
      </c>
      <c r="BB15" s="3" t="s">
        <v>254</v>
      </c>
      <c r="BC15" s="3" t="s">
        <v>255</v>
      </c>
      <c r="BD15" s="3" t="s">
        <v>256</v>
      </c>
    </row>
    <row r="16" spans="1:56" ht="41.25" customHeight="1" x14ac:dyDescent="0.25">
      <c r="A16" s="7" t="s">
        <v>58</v>
      </c>
      <c r="B16" s="2" t="s">
        <v>257</v>
      </c>
      <c r="C16" s="2" t="s">
        <v>258</v>
      </c>
      <c r="D16" s="2" t="s">
        <v>259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260</v>
      </c>
      <c r="L16" s="2" t="s">
        <v>261</v>
      </c>
      <c r="M16" s="3" t="s">
        <v>262</v>
      </c>
      <c r="O16" s="3" t="s">
        <v>64</v>
      </c>
      <c r="P16" s="3" t="s">
        <v>65</v>
      </c>
      <c r="R16" s="3" t="s">
        <v>190</v>
      </c>
      <c r="S16" s="4">
        <v>1</v>
      </c>
      <c r="T16" s="4">
        <v>1</v>
      </c>
      <c r="U16" s="5" t="s">
        <v>263</v>
      </c>
      <c r="V16" s="5" t="s">
        <v>263</v>
      </c>
      <c r="W16" s="5" t="s">
        <v>249</v>
      </c>
      <c r="X16" s="5" t="s">
        <v>249</v>
      </c>
      <c r="Y16" s="4">
        <v>341</v>
      </c>
      <c r="Z16" s="4">
        <v>258</v>
      </c>
      <c r="AA16" s="4">
        <v>367</v>
      </c>
      <c r="AB16" s="4">
        <v>3</v>
      </c>
      <c r="AC16" s="4">
        <v>3</v>
      </c>
      <c r="AD16" s="4">
        <v>6</v>
      </c>
      <c r="AE16" s="4">
        <v>7</v>
      </c>
      <c r="AF16" s="4">
        <v>1</v>
      </c>
      <c r="AG16" s="4">
        <v>2</v>
      </c>
      <c r="AH16" s="4">
        <v>1</v>
      </c>
      <c r="AI16" s="4">
        <v>1</v>
      </c>
      <c r="AJ16" s="4">
        <v>2</v>
      </c>
      <c r="AK16" s="4">
        <v>2</v>
      </c>
      <c r="AL16" s="4">
        <v>2</v>
      </c>
      <c r="AM16" s="4">
        <v>2</v>
      </c>
      <c r="AN16" s="4">
        <v>0</v>
      </c>
      <c r="AO16" s="4">
        <v>0</v>
      </c>
      <c r="AP16" s="3" t="s">
        <v>58</v>
      </c>
      <c r="AQ16" s="3" t="s">
        <v>85</v>
      </c>
      <c r="AR16" s="6" t="str">
        <f>HYPERLINK("http://catalog.hathitrust.org/Record/000045020","HathiTrust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HYPERLINK("https://creighton-primo.hosted.exlibrisgroup.com/primo-explore/search?tab=default_tab&amp;search_scope=EVERYTHING&amp;vid=01CRU&amp;lang=en_US&amp;offset=0&amp;query=any,contains,991003802539702656","Catalog Record")</f>
        <v>Catalog Record</v>
      </c>
      <c r="AT16" s="6" t="str">
        <f>HYPERLINK("http://www.worldcat.org/oclc/1528438","WorldCat Record")</f>
        <v>WorldCat Record</v>
      </c>
      <c r="AU16" s="3" t="s">
        <v>264</v>
      </c>
      <c r="AV16" s="3" t="s">
        <v>265</v>
      </c>
      <c r="AW16" s="3" t="s">
        <v>266</v>
      </c>
      <c r="AX16" s="3" t="s">
        <v>266</v>
      </c>
      <c r="AY16" s="3" t="s">
        <v>267</v>
      </c>
      <c r="AZ16" s="3" t="s">
        <v>73</v>
      </c>
      <c r="BB16" s="3" t="s">
        <v>268</v>
      </c>
      <c r="BC16" s="3" t="s">
        <v>269</v>
      </c>
      <c r="BD16" s="3" t="s">
        <v>270</v>
      </c>
    </row>
    <row r="17" spans="1:56" ht="41.25" customHeight="1" x14ac:dyDescent="0.25">
      <c r="A17" s="7" t="s">
        <v>58</v>
      </c>
      <c r="B17" s="2" t="s">
        <v>271</v>
      </c>
      <c r="C17" s="2" t="s">
        <v>272</v>
      </c>
      <c r="D17" s="2" t="s">
        <v>273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274</v>
      </c>
      <c r="L17" s="2" t="s">
        <v>275</v>
      </c>
      <c r="M17" s="3" t="s">
        <v>276</v>
      </c>
      <c r="O17" s="3" t="s">
        <v>64</v>
      </c>
      <c r="P17" s="3" t="s">
        <v>231</v>
      </c>
      <c r="R17" s="3" t="s">
        <v>190</v>
      </c>
      <c r="S17" s="4">
        <v>1</v>
      </c>
      <c r="T17" s="4">
        <v>1</v>
      </c>
      <c r="U17" s="5" t="s">
        <v>277</v>
      </c>
      <c r="V17" s="5" t="s">
        <v>277</v>
      </c>
      <c r="W17" s="5" t="s">
        <v>277</v>
      </c>
      <c r="X17" s="5" t="s">
        <v>277</v>
      </c>
      <c r="Y17" s="4">
        <v>343</v>
      </c>
      <c r="Z17" s="4">
        <v>248</v>
      </c>
      <c r="AA17" s="4">
        <v>393</v>
      </c>
      <c r="AB17" s="4">
        <v>4</v>
      </c>
      <c r="AC17" s="4">
        <v>4</v>
      </c>
      <c r="AD17" s="4">
        <v>12</v>
      </c>
      <c r="AE17" s="4">
        <v>17</v>
      </c>
      <c r="AF17" s="4">
        <v>6</v>
      </c>
      <c r="AG17" s="4">
        <v>9</v>
      </c>
      <c r="AH17" s="4">
        <v>1</v>
      </c>
      <c r="AI17" s="4">
        <v>3</v>
      </c>
      <c r="AJ17" s="4">
        <v>5</v>
      </c>
      <c r="AK17" s="4">
        <v>6</v>
      </c>
      <c r="AL17" s="4">
        <v>3</v>
      </c>
      <c r="AM17" s="4">
        <v>3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>HYPERLINK("https://creighton-primo.hosted.exlibrisgroup.com/primo-explore/search?tab=default_tab&amp;search_scope=EVERYTHING&amp;vid=01CRU&amp;lang=en_US&amp;offset=0&amp;query=any,contains,991004854779702656","Catalog Record")</f>
        <v>Catalog Record</v>
      </c>
      <c r="AT17" s="6" t="str">
        <f>HYPERLINK("http://www.worldcat.org/oclc/53937829","WorldCat Record")</f>
        <v>WorldCat Record</v>
      </c>
      <c r="AU17" s="3" t="s">
        <v>278</v>
      </c>
      <c r="AV17" s="3" t="s">
        <v>279</v>
      </c>
      <c r="AW17" s="3" t="s">
        <v>280</v>
      </c>
      <c r="AX17" s="3" t="s">
        <v>280</v>
      </c>
      <c r="AY17" s="3" t="s">
        <v>281</v>
      </c>
      <c r="AZ17" s="3" t="s">
        <v>73</v>
      </c>
      <c r="BB17" s="3" t="s">
        <v>282</v>
      </c>
      <c r="BC17" s="3" t="s">
        <v>283</v>
      </c>
      <c r="BD17" s="3" t="s">
        <v>284</v>
      </c>
    </row>
    <row r="18" spans="1:56" ht="41.25" customHeight="1" x14ac:dyDescent="0.25">
      <c r="A18" s="7" t="s">
        <v>58</v>
      </c>
      <c r="B18" s="2" t="s">
        <v>285</v>
      </c>
      <c r="C18" s="2" t="s">
        <v>286</v>
      </c>
      <c r="D18" s="2" t="s">
        <v>287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K18" s="2" t="s">
        <v>288</v>
      </c>
      <c r="L18" s="2" t="s">
        <v>289</v>
      </c>
      <c r="M18" s="3" t="s">
        <v>290</v>
      </c>
      <c r="O18" s="3" t="s">
        <v>64</v>
      </c>
      <c r="P18" s="3" t="s">
        <v>65</v>
      </c>
      <c r="R18" s="3" t="s">
        <v>291</v>
      </c>
      <c r="S18" s="4">
        <v>1</v>
      </c>
      <c r="T18" s="4">
        <v>1</v>
      </c>
      <c r="U18" s="5" t="s">
        <v>292</v>
      </c>
      <c r="V18" s="5" t="s">
        <v>292</v>
      </c>
      <c r="W18" s="5" t="s">
        <v>293</v>
      </c>
      <c r="X18" s="5" t="s">
        <v>293</v>
      </c>
      <c r="Y18" s="4">
        <v>398</v>
      </c>
      <c r="Z18" s="4">
        <v>357</v>
      </c>
      <c r="AA18" s="4">
        <v>429</v>
      </c>
      <c r="AB18" s="4">
        <v>4</v>
      </c>
      <c r="AC18" s="4">
        <v>4</v>
      </c>
      <c r="AD18" s="4">
        <v>17</v>
      </c>
      <c r="AE18" s="4">
        <v>19</v>
      </c>
      <c r="AF18" s="4">
        <v>6</v>
      </c>
      <c r="AG18" s="4">
        <v>6</v>
      </c>
      <c r="AH18" s="4">
        <v>4</v>
      </c>
      <c r="AI18" s="4">
        <v>6</v>
      </c>
      <c r="AJ18" s="4">
        <v>7</v>
      </c>
      <c r="AK18" s="4">
        <v>8</v>
      </c>
      <c r="AL18" s="4">
        <v>3</v>
      </c>
      <c r="AM18" s="4">
        <v>3</v>
      </c>
      <c r="AN18" s="4">
        <v>1</v>
      </c>
      <c r="AO18" s="4">
        <v>1</v>
      </c>
      <c r="AP18" s="3" t="s">
        <v>85</v>
      </c>
      <c r="AQ18" s="3" t="s">
        <v>58</v>
      </c>
      <c r="AR18" s="6" t="str">
        <f>HYPERLINK("http://catalog.hathitrust.org/Record/001515081","HathiTrust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HYPERLINK("https://creighton-primo.hosted.exlibrisgroup.com/primo-explore/search?tab=default_tab&amp;search_scope=EVERYTHING&amp;vid=01CRU&amp;lang=en_US&amp;offset=0&amp;query=any,contains,991002995319702656","Catalog Record")</f>
        <v>Catalog Record</v>
      </c>
      <c r="AT18" s="6" t="str">
        <f>HYPERLINK("http://www.worldcat.org/oclc/563386","WorldCat Record")</f>
        <v>WorldCat Record</v>
      </c>
      <c r="AU18" s="3" t="s">
        <v>294</v>
      </c>
      <c r="AV18" s="3" t="s">
        <v>295</v>
      </c>
      <c r="AW18" s="3" t="s">
        <v>296</v>
      </c>
      <c r="AX18" s="3" t="s">
        <v>296</v>
      </c>
      <c r="AY18" s="3" t="s">
        <v>297</v>
      </c>
      <c r="AZ18" s="3" t="s">
        <v>73</v>
      </c>
      <c r="BC18" s="3" t="s">
        <v>298</v>
      </c>
      <c r="BD18" s="3" t="s">
        <v>299</v>
      </c>
    </row>
    <row r="19" spans="1:56" ht="41.25" customHeight="1" x14ac:dyDescent="0.25">
      <c r="A19" s="7" t="s">
        <v>58</v>
      </c>
      <c r="B19" s="2" t="s">
        <v>300</v>
      </c>
      <c r="C19" s="2" t="s">
        <v>301</v>
      </c>
      <c r="D19" s="2" t="s">
        <v>302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303</v>
      </c>
      <c r="L19" s="2" t="s">
        <v>304</v>
      </c>
      <c r="M19" s="3" t="s">
        <v>305</v>
      </c>
      <c r="O19" s="3" t="s">
        <v>64</v>
      </c>
      <c r="P19" s="3" t="s">
        <v>65</v>
      </c>
      <c r="R19" s="3" t="s">
        <v>291</v>
      </c>
      <c r="S19" s="4">
        <v>1</v>
      </c>
      <c r="T19" s="4">
        <v>1</v>
      </c>
      <c r="U19" s="5" t="s">
        <v>306</v>
      </c>
      <c r="V19" s="5" t="s">
        <v>306</v>
      </c>
      <c r="W19" s="5" t="s">
        <v>307</v>
      </c>
      <c r="X19" s="5" t="s">
        <v>307</v>
      </c>
      <c r="Y19" s="4">
        <v>266</v>
      </c>
      <c r="Z19" s="4">
        <v>234</v>
      </c>
      <c r="AA19" s="4">
        <v>451</v>
      </c>
      <c r="AB19" s="4">
        <v>3</v>
      </c>
      <c r="AC19" s="4">
        <v>6</v>
      </c>
      <c r="AD19" s="4">
        <v>4</v>
      </c>
      <c r="AE19" s="4">
        <v>18</v>
      </c>
      <c r="AF19" s="4">
        <v>0</v>
      </c>
      <c r="AG19" s="4">
        <v>4</v>
      </c>
      <c r="AH19" s="4">
        <v>1</v>
      </c>
      <c r="AI19" s="4">
        <v>5</v>
      </c>
      <c r="AJ19" s="4">
        <v>2</v>
      </c>
      <c r="AK19" s="4">
        <v>4</v>
      </c>
      <c r="AL19" s="4">
        <v>2</v>
      </c>
      <c r="AM19" s="4">
        <v>4</v>
      </c>
      <c r="AN19" s="4">
        <v>0</v>
      </c>
      <c r="AO19" s="4">
        <v>3</v>
      </c>
      <c r="AP19" s="3" t="s">
        <v>85</v>
      </c>
      <c r="AQ19" s="3" t="s">
        <v>58</v>
      </c>
      <c r="AR19" s="6" t="str">
        <f>HYPERLINK("http://catalog.hathitrust.org/Record/001152955","HathiTrust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HYPERLINK("https://creighton-primo.hosted.exlibrisgroup.com/primo-explore/search?tab=default_tab&amp;search_scope=EVERYTHING&amp;vid=01CRU&amp;lang=en_US&amp;offset=0&amp;query=any,contains,991004044839702656","Catalog Record")</f>
        <v>Catalog Record</v>
      </c>
      <c r="AT19" s="6" t="str">
        <f>HYPERLINK("http://www.worldcat.org/oclc/2197964","WorldCat Record")</f>
        <v>WorldCat Record</v>
      </c>
      <c r="AU19" s="3" t="s">
        <v>308</v>
      </c>
      <c r="AV19" s="3" t="s">
        <v>309</v>
      </c>
      <c r="AW19" s="3" t="s">
        <v>310</v>
      </c>
      <c r="AX19" s="3" t="s">
        <v>310</v>
      </c>
      <c r="AY19" s="3" t="s">
        <v>311</v>
      </c>
      <c r="AZ19" s="3" t="s">
        <v>73</v>
      </c>
      <c r="BC19" s="3" t="s">
        <v>312</v>
      </c>
      <c r="BD19" s="3" t="s">
        <v>313</v>
      </c>
    </row>
    <row r="20" spans="1:56" ht="41.25" customHeight="1" x14ac:dyDescent="0.25">
      <c r="A20" s="7" t="s">
        <v>58</v>
      </c>
      <c r="B20" s="2" t="s">
        <v>314</v>
      </c>
      <c r="C20" s="2" t="s">
        <v>315</v>
      </c>
      <c r="D20" s="2" t="s">
        <v>316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L20" s="2" t="s">
        <v>317</v>
      </c>
      <c r="M20" s="3" t="s">
        <v>318</v>
      </c>
      <c r="O20" s="3" t="s">
        <v>64</v>
      </c>
      <c r="P20" s="3" t="s">
        <v>65</v>
      </c>
      <c r="R20" s="3" t="s">
        <v>319</v>
      </c>
      <c r="S20" s="4">
        <v>1</v>
      </c>
      <c r="T20" s="4">
        <v>1</v>
      </c>
      <c r="U20" s="5" t="s">
        <v>320</v>
      </c>
      <c r="V20" s="5" t="s">
        <v>320</v>
      </c>
      <c r="W20" s="5" t="s">
        <v>320</v>
      </c>
      <c r="X20" s="5" t="s">
        <v>320</v>
      </c>
      <c r="Y20" s="4">
        <v>464</v>
      </c>
      <c r="Z20" s="4">
        <v>431</v>
      </c>
      <c r="AA20" s="4">
        <v>433</v>
      </c>
      <c r="AB20" s="4">
        <v>2</v>
      </c>
      <c r="AC20" s="4">
        <v>2</v>
      </c>
      <c r="AD20" s="4">
        <v>15</v>
      </c>
      <c r="AE20" s="4">
        <v>15</v>
      </c>
      <c r="AF20" s="4">
        <v>10</v>
      </c>
      <c r="AG20" s="4">
        <v>10</v>
      </c>
      <c r="AH20" s="4">
        <v>1</v>
      </c>
      <c r="AI20" s="4">
        <v>1</v>
      </c>
      <c r="AJ20" s="4">
        <v>7</v>
      </c>
      <c r="AK20" s="4">
        <v>7</v>
      </c>
      <c r="AL20" s="4">
        <v>1</v>
      </c>
      <c r="AM20" s="4">
        <v>1</v>
      </c>
      <c r="AN20" s="4">
        <v>1</v>
      </c>
      <c r="AO20" s="4">
        <v>1</v>
      </c>
      <c r="AP20" s="3" t="s">
        <v>58</v>
      </c>
      <c r="AQ20" s="3" t="s">
        <v>85</v>
      </c>
      <c r="AR20" s="6" t="str">
        <f>HYPERLINK("http://catalog.hathitrust.org/Record/005631899","HathiTrust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HYPERLINK("https://creighton-primo.hosted.exlibrisgroup.com/primo-explore/search?tab=default_tab&amp;search_scope=EVERYTHING&amp;vid=01CRU&amp;lang=en_US&amp;offset=0&amp;query=any,contains,991005270769702656","Catalog Record")</f>
        <v>Catalog Record</v>
      </c>
      <c r="AT20" s="6" t="str">
        <f>HYPERLINK("http://www.worldcat.org/oclc/137325183","WorldCat Record")</f>
        <v>WorldCat Record</v>
      </c>
      <c r="AU20" s="3" t="s">
        <v>321</v>
      </c>
      <c r="AV20" s="3" t="s">
        <v>322</v>
      </c>
      <c r="AW20" s="3" t="s">
        <v>323</v>
      </c>
      <c r="AX20" s="3" t="s">
        <v>323</v>
      </c>
      <c r="AY20" s="3" t="s">
        <v>324</v>
      </c>
      <c r="AZ20" s="3" t="s">
        <v>73</v>
      </c>
      <c r="BB20" s="3" t="s">
        <v>325</v>
      </c>
      <c r="BC20" s="3" t="s">
        <v>326</v>
      </c>
      <c r="BD20" s="3" t="s">
        <v>327</v>
      </c>
    </row>
    <row r="21" spans="1:56" ht="41.25" customHeight="1" x14ac:dyDescent="0.25">
      <c r="A21" s="7" t="s">
        <v>58</v>
      </c>
      <c r="B21" s="2" t="s">
        <v>328</v>
      </c>
      <c r="C21" s="2" t="s">
        <v>329</v>
      </c>
      <c r="D21" s="2" t="s">
        <v>330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331</v>
      </c>
      <c r="L21" s="2" t="s">
        <v>332</v>
      </c>
      <c r="M21" s="3" t="s">
        <v>333</v>
      </c>
      <c r="O21" s="3" t="s">
        <v>64</v>
      </c>
      <c r="P21" s="3" t="s">
        <v>334</v>
      </c>
      <c r="R21" s="3" t="s">
        <v>319</v>
      </c>
      <c r="S21" s="4">
        <v>1</v>
      </c>
      <c r="T21" s="4">
        <v>1</v>
      </c>
      <c r="U21" s="5" t="s">
        <v>335</v>
      </c>
      <c r="V21" s="5" t="s">
        <v>335</v>
      </c>
      <c r="W21" s="5" t="s">
        <v>336</v>
      </c>
      <c r="X21" s="5" t="s">
        <v>336</v>
      </c>
      <c r="Y21" s="4">
        <v>341</v>
      </c>
      <c r="Z21" s="4">
        <v>318</v>
      </c>
      <c r="AA21" s="4">
        <v>318</v>
      </c>
      <c r="AB21" s="4">
        <v>3</v>
      </c>
      <c r="AC21" s="4">
        <v>3</v>
      </c>
      <c r="AD21" s="4">
        <v>16</v>
      </c>
      <c r="AE21" s="4">
        <v>16</v>
      </c>
      <c r="AF21" s="4">
        <v>7</v>
      </c>
      <c r="AG21" s="4">
        <v>7</v>
      </c>
      <c r="AH21" s="4">
        <v>3</v>
      </c>
      <c r="AI21" s="4">
        <v>3</v>
      </c>
      <c r="AJ21" s="4">
        <v>8</v>
      </c>
      <c r="AK21" s="4">
        <v>8</v>
      </c>
      <c r="AL21" s="4">
        <v>2</v>
      </c>
      <c r="AM21" s="4">
        <v>2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HYPERLINK("https://creighton-primo.hosted.exlibrisgroup.com/primo-explore/search?tab=default_tab&amp;search_scope=EVERYTHING&amp;vid=01CRU&amp;lang=en_US&amp;offset=0&amp;query=any,contains,991003021089702656","Catalog Record")</f>
        <v>Catalog Record</v>
      </c>
      <c r="AT21" s="6" t="str">
        <f>HYPERLINK("http://www.worldcat.org/oclc/41159152","WorldCat Record")</f>
        <v>WorldCat Record</v>
      </c>
      <c r="AU21" s="3" t="s">
        <v>337</v>
      </c>
      <c r="AV21" s="3" t="s">
        <v>338</v>
      </c>
      <c r="AW21" s="3" t="s">
        <v>339</v>
      </c>
      <c r="AX21" s="3" t="s">
        <v>339</v>
      </c>
      <c r="AY21" s="3" t="s">
        <v>340</v>
      </c>
      <c r="AZ21" s="3" t="s">
        <v>73</v>
      </c>
      <c r="BB21" s="3" t="s">
        <v>341</v>
      </c>
      <c r="BC21" s="3" t="s">
        <v>342</v>
      </c>
      <c r="BD21" s="3" t="s">
        <v>343</v>
      </c>
    </row>
    <row r="22" spans="1:56" ht="41.25" customHeight="1" x14ac:dyDescent="0.25">
      <c r="A22" s="7" t="s">
        <v>58</v>
      </c>
      <c r="B22" s="2" t="s">
        <v>344</v>
      </c>
      <c r="C22" s="2" t="s">
        <v>345</v>
      </c>
      <c r="D22" s="2" t="s">
        <v>346</v>
      </c>
      <c r="E22" s="3" t="s">
        <v>347</v>
      </c>
      <c r="F22" s="3" t="s">
        <v>85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348</v>
      </c>
      <c r="L22" s="2" t="s">
        <v>349</v>
      </c>
      <c r="M22" s="3" t="s">
        <v>81</v>
      </c>
      <c r="N22" s="2" t="s">
        <v>350</v>
      </c>
      <c r="O22" s="3" t="s">
        <v>64</v>
      </c>
      <c r="P22" s="3" t="s">
        <v>65</v>
      </c>
      <c r="Q22" s="2" t="s">
        <v>351</v>
      </c>
      <c r="R22" s="3" t="s">
        <v>319</v>
      </c>
      <c r="S22" s="4">
        <v>0</v>
      </c>
      <c r="T22" s="4">
        <v>7</v>
      </c>
      <c r="V22" s="5" t="s">
        <v>352</v>
      </c>
      <c r="W22" s="5" t="s">
        <v>353</v>
      </c>
      <c r="X22" s="5" t="s">
        <v>353</v>
      </c>
      <c r="Y22" s="4">
        <v>480</v>
      </c>
      <c r="Z22" s="4">
        <v>387</v>
      </c>
      <c r="AA22" s="4">
        <v>389</v>
      </c>
      <c r="AB22" s="4">
        <v>2</v>
      </c>
      <c r="AC22" s="4">
        <v>2</v>
      </c>
      <c r="AD22" s="4">
        <v>14</v>
      </c>
      <c r="AE22" s="4">
        <v>14</v>
      </c>
      <c r="AF22" s="4">
        <v>3</v>
      </c>
      <c r="AG22" s="4">
        <v>3</v>
      </c>
      <c r="AH22" s="4">
        <v>4</v>
      </c>
      <c r="AI22" s="4">
        <v>4</v>
      </c>
      <c r="AJ22" s="4">
        <v>7</v>
      </c>
      <c r="AK22" s="4">
        <v>7</v>
      </c>
      <c r="AL22" s="4">
        <v>1</v>
      </c>
      <c r="AM22" s="4">
        <v>1</v>
      </c>
      <c r="AN22" s="4">
        <v>3</v>
      </c>
      <c r="AO22" s="4">
        <v>3</v>
      </c>
      <c r="AP22" s="3" t="s">
        <v>58</v>
      </c>
      <c r="AQ22" s="3" t="s">
        <v>85</v>
      </c>
      <c r="AR22" s="6" t="str">
        <f>HYPERLINK("http://catalog.hathitrust.org/Record/000768690","HathiTrust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HYPERLINK("https://creighton-primo.hosted.exlibrisgroup.com/primo-explore/search?tab=default_tab&amp;search_scope=EVERYTHING&amp;vid=01CRU&amp;lang=en_US&amp;offset=0&amp;query=any,contains,991004320889702656","Catalog Record")</f>
        <v>Catalog Record</v>
      </c>
      <c r="AT22" s="6" t="str">
        <f>HYPERLINK("http://www.worldcat.org/oclc/3017782","WorldCat Record")</f>
        <v>WorldCat Record</v>
      </c>
      <c r="AU22" s="3" t="s">
        <v>354</v>
      </c>
      <c r="AV22" s="3" t="s">
        <v>355</v>
      </c>
      <c r="AW22" s="3" t="s">
        <v>356</v>
      </c>
      <c r="AX22" s="3" t="s">
        <v>356</v>
      </c>
      <c r="AY22" s="3" t="s">
        <v>357</v>
      </c>
      <c r="AZ22" s="3" t="s">
        <v>73</v>
      </c>
      <c r="BB22" s="3" t="s">
        <v>358</v>
      </c>
      <c r="BC22" s="3" t="s">
        <v>359</v>
      </c>
      <c r="BD22" s="3" t="s">
        <v>360</v>
      </c>
    </row>
    <row r="23" spans="1:56" ht="41.25" customHeight="1" x14ac:dyDescent="0.25">
      <c r="A23" s="7" t="s">
        <v>58</v>
      </c>
      <c r="B23" s="2" t="s">
        <v>344</v>
      </c>
      <c r="C23" s="2" t="s">
        <v>345</v>
      </c>
      <c r="D23" s="2" t="s">
        <v>346</v>
      </c>
      <c r="E23" s="3" t="s">
        <v>361</v>
      </c>
      <c r="F23" s="3" t="s">
        <v>85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348</v>
      </c>
      <c r="L23" s="2" t="s">
        <v>349</v>
      </c>
      <c r="M23" s="3" t="s">
        <v>81</v>
      </c>
      <c r="N23" s="2" t="s">
        <v>350</v>
      </c>
      <c r="O23" s="3" t="s">
        <v>64</v>
      </c>
      <c r="P23" s="3" t="s">
        <v>65</v>
      </c>
      <c r="Q23" s="2" t="s">
        <v>351</v>
      </c>
      <c r="R23" s="3" t="s">
        <v>319</v>
      </c>
      <c r="S23" s="4">
        <v>1</v>
      </c>
      <c r="T23" s="4">
        <v>7</v>
      </c>
      <c r="U23" s="5" t="s">
        <v>362</v>
      </c>
      <c r="V23" s="5" t="s">
        <v>352</v>
      </c>
      <c r="W23" s="5" t="s">
        <v>353</v>
      </c>
      <c r="X23" s="5" t="s">
        <v>353</v>
      </c>
      <c r="Y23" s="4">
        <v>480</v>
      </c>
      <c r="Z23" s="4">
        <v>387</v>
      </c>
      <c r="AA23" s="4">
        <v>389</v>
      </c>
      <c r="AB23" s="4">
        <v>2</v>
      </c>
      <c r="AC23" s="4">
        <v>2</v>
      </c>
      <c r="AD23" s="4">
        <v>14</v>
      </c>
      <c r="AE23" s="4">
        <v>14</v>
      </c>
      <c r="AF23" s="4">
        <v>3</v>
      </c>
      <c r="AG23" s="4">
        <v>3</v>
      </c>
      <c r="AH23" s="4">
        <v>4</v>
      </c>
      <c r="AI23" s="4">
        <v>4</v>
      </c>
      <c r="AJ23" s="4">
        <v>7</v>
      </c>
      <c r="AK23" s="4">
        <v>7</v>
      </c>
      <c r="AL23" s="4">
        <v>1</v>
      </c>
      <c r="AM23" s="4">
        <v>1</v>
      </c>
      <c r="AN23" s="4">
        <v>3</v>
      </c>
      <c r="AO23" s="4">
        <v>3</v>
      </c>
      <c r="AP23" s="3" t="s">
        <v>58</v>
      </c>
      <c r="AQ23" s="3" t="s">
        <v>85</v>
      </c>
      <c r="AR23" s="6" t="str">
        <f>HYPERLINK("http://catalog.hathitrust.org/Record/000768690","HathiTrust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HYPERLINK("https://creighton-primo.hosted.exlibrisgroup.com/primo-explore/search?tab=default_tab&amp;search_scope=EVERYTHING&amp;vid=01CRU&amp;lang=en_US&amp;offset=0&amp;query=any,contains,991004320889702656","Catalog Record")</f>
        <v>Catalog Record</v>
      </c>
      <c r="AT23" s="6" t="str">
        <f>HYPERLINK("http://www.worldcat.org/oclc/3017782","WorldCat Record")</f>
        <v>WorldCat Record</v>
      </c>
      <c r="AU23" s="3" t="s">
        <v>354</v>
      </c>
      <c r="AV23" s="3" t="s">
        <v>355</v>
      </c>
      <c r="AW23" s="3" t="s">
        <v>356</v>
      </c>
      <c r="AX23" s="3" t="s">
        <v>356</v>
      </c>
      <c r="AY23" s="3" t="s">
        <v>357</v>
      </c>
      <c r="AZ23" s="3" t="s">
        <v>73</v>
      </c>
      <c r="BB23" s="3" t="s">
        <v>358</v>
      </c>
      <c r="BC23" s="3" t="s">
        <v>363</v>
      </c>
      <c r="BD23" s="3" t="s">
        <v>364</v>
      </c>
    </row>
    <row r="24" spans="1:56" ht="41.25" customHeight="1" x14ac:dyDescent="0.25">
      <c r="A24" s="7" t="s">
        <v>58</v>
      </c>
      <c r="B24" s="2" t="s">
        <v>344</v>
      </c>
      <c r="C24" s="2" t="s">
        <v>345</v>
      </c>
      <c r="D24" s="2" t="s">
        <v>346</v>
      </c>
      <c r="E24" s="3" t="s">
        <v>365</v>
      </c>
      <c r="F24" s="3" t="s">
        <v>85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348</v>
      </c>
      <c r="L24" s="2" t="s">
        <v>349</v>
      </c>
      <c r="M24" s="3" t="s">
        <v>81</v>
      </c>
      <c r="N24" s="2" t="s">
        <v>350</v>
      </c>
      <c r="O24" s="3" t="s">
        <v>64</v>
      </c>
      <c r="P24" s="3" t="s">
        <v>65</v>
      </c>
      <c r="Q24" s="2" t="s">
        <v>351</v>
      </c>
      <c r="R24" s="3" t="s">
        <v>319</v>
      </c>
      <c r="S24" s="4">
        <v>1</v>
      </c>
      <c r="T24" s="4">
        <v>7</v>
      </c>
      <c r="U24" s="5" t="s">
        <v>352</v>
      </c>
      <c r="V24" s="5" t="s">
        <v>352</v>
      </c>
      <c r="W24" s="5" t="s">
        <v>100</v>
      </c>
      <c r="X24" s="5" t="s">
        <v>353</v>
      </c>
      <c r="Y24" s="4">
        <v>480</v>
      </c>
      <c r="Z24" s="4">
        <v>387</v>
      </c>
      <c r="AA24" s="4">
        <v>389</v>
      </c>
      <c r="AB24" s="4">
        <v>2</v>
      </c>
      <c r="AC24" s="4">
        <v>2</v>
      </c>
      <c r="AD24" s="4">
        <v>14</v>
      </c>
      <c r="AE24" s="4">
        <v>14</v>
      </c>
      <c r="AF24" s="4">
        <v>3</v>
      </c>
      <c r="AG24" s="4">
        <v>3</v>
      </c>
      <c r="AH24" s="4">
        <v>4</v>
      </c>
      <c r="AI24" s="4">
        <v>4</v>
      </c>
      <c r="AJ24" s="4">
        <v>7</v>
      </c>
      <c r="AK24" s="4">
        <v>7</v>
      </c>
      <c r="AL24" s="4">
        <v>1</v>
      </c>
      <c r="AM24" s="4">
        <v>1</v>
      </c>
      <c r="AN24" s="4">
        <v>3</v>
      </c>
      <c r="AO24" s="4">
        <v>3</v>
      </c>
      <c r="AP24" s="3" t="s">
        <v>58</v>
      </c>
      <c r="AQ24" s="3" t="s">
        <v>85</v>
      </c>
      <c r="AR24" s="6" t="str">
        <f>HYPERLINK("http://catalog.hathitrust.org/Record/000768690","HathiTrust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HYPERLINK("https://creighton-primo.hosted.exlibrisgroup.com/primo-explore/search?tab=default_tab&amp;search_scope=EVERYTHING&amp;vid=01CRU&amp;lang=en_US&amp;offset=0&amp;query=any,contains,991004320889702656","Catalog Record")</f>
        <v>Catalog Record</v>
      </c>
      <c r="AT24" s="6" t="str">
        <f>HYPERLINK("http://www.worldcat.org/oclc/3017782","WorldCat Record")</f>
        <v>WorldCat Record</v>
      </c>
      <c r="AU24" s="3" t="s">
        <v>354</v>
      </c>
      <c r="AV24" s="3" t="s">
        <v>355</v>
      </c>
      <c r="AW24" s="3" t="s">
        <v>356</v>
      </c>
      <c r="AX24" s="3" t="s">
        <v>356</v>
      </c>
      <c r="AY24" s="3" t="s">
        <v>357</v>
      </c>
      <c r="AZ24" s="3" t="s">
        <v>73</v>
      </c>
      <c r="BB24" s="3" t="s">
        <v>358</v>
      </c>
      <c r="BC24" s="3" t="s">
        <v>366</v>
      </c>
      <c r="BD24" s="3" t="s">
        <v>367</v>
      </c>
    </row>
    <row r="25" spans="1:56" ht="41.25" customHeight="1" x14ac:dyDescent="0.25">
      <c r="A25" s="7" t="s">
        <v>58</v>
      </c>
      <c r="B25" s="2" t="s">
        <v>368</v>
      </c>
      <c r="C25" s="2" t="s">
        <v>369</v>
      </c>
      <c r="D25" s="2" t="s">
        <v>370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L25" s="2" t="s">
        <v>371</v>
      </c>
      <c r="M25" s="3" t="s">
        <v>372</v>
      </c>
      <c r="O25" s="3" t="s">
        <v>64</v>
      </c>
      <c r="P25" s="3" t="s">
        <v>373</v>
      </c>
      <c r="R25" s="3" t="s">
        <v>319</v>
      </c>
      <c r="S25" s="4">
        <v>1</v>
      </c>
      <c r="T25" s="4">
        <v>1</v>
      </c>
      <c r="U25" s="5" t="s">
        <v>374</v>
      </c>
      <c r="V25" s="5" t="s">
        <v>374</v>
      </c>
      <c r="W25" s="5" t="s">
        <v>374</v>
      </c>
      <c r="X25" s="5" t="s">
        <v>374</v>
      </c>
      <c r="Y25" s="4">
        <v>73</v>
      </c>
      <c r="Z25" s="4">
        <v>56</v>
      </c>
      <c r="AA25" s="4">
        <v>57</v>
      </c>
      <c r="AB25" s="4">
        <v>1</v>
      </c>
      <c r="AC25" s="4">
        <v>1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3" t="s">
        <v>58</v>
      </c>
      <c r="AQ25" s="3" t="s">
        <v>85</v>
      </c>
      <c r="AR25" s="6" t="str">
        <f>HYPERLINK("http://catalog.hathitrust.org/Record/008342242","HathiTrust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HYPERLINK("https://creighton-primo.hosted.exlibrisgroup.com/primo-explore/search?tab=default_tab&amp;search_scope=EVERYTHING&amp;vid=01CRU&amp;lang=en_US&amp;offset=0&amp;query=any,contains,991004522139702656","Catalog Record")</f>
        <v>Catalog Record</v>
      </c>
      <c r="AT25" s="6" t="str">
        <f>HYPERLINK("http://www.worldcat.org/oclc/22173388","WorldCat Record")</f>
        <v>WorldCat Record</v>
      </c>
      <c r="AU25" s="3" t="s">
        <v>375</v>
      </c>
      <c r="AV25" s="3" t="s">
        <v>376</v>
      </c>
      <c r="AW25" s="3" t="s">
        <v>377</v>
      </c>
      <c r="AX25" s="3" t="s">
        <v>377</v>
      </c>
      <c r="AY25" s="3" t="s">
        <v>378</v>
      </c>
      <c r="AZ25" s="3" t="s">
        <v>73</v>
      </c>
      <c r="BB25" s="3" t="s">
        <v>379</v>
      </c>
      <c r="BC25" s="3" t="s">
        <v>380</v>
      </c>
      <c r="BD25" s="3" t="s">
        <v>381</v>
      </c>
    </row>
    <row r="26" spans="1:56" ht="41.25" customHeight="1" x14ac:dyDescent="0.25">
      <c r="A26" s="7" t="s">
        <v>58</v>
      </c>
      <c r="B26" s="2" t="s">
        <v>382</v>
      </c>
      <c r="C26" s="2" t="s">
        <v>383</v>
      </c>
      <c r="D26" s="2" t="s">
        <v>384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385</v>
      </c>
      <c r="L26" s="2" t="s">
        <v>386</v>
      </c>
      <c r="M26" s="3" t="s">
        <v>387</v>
      </c>
      <c r="O26" s="3" t="s">
        <v>64</v>
      </c>
      <c r="P26" s="3" t="s">
        <v>388</v>
      </c>
      <c r="Q26" s="2" t="s">
        <v>389</v>
      </c>
      <c r="R26" s="3" t="s">
        <v>390</v>
      </c>
      <c r="S26" s="4">
        <v>0</v>
      </c>
      <c r="T26" s="4">
        <v>0</v>
      </c>
      <c r="U26" s="5" t="s">
        <v>391</v>
      </c>
      <c r="V26" s="5" t="s">
        <v>391</v>
      </c>
      <c r="W26" s="5" t="s">
        <v>234</v>
      </c>
      <c r="X26" s="5" t="s">
        <v>234</v>
      </c>
      <c r="Y26" s="4">
        <v>180</v>
      </c>
      <c r="Z26" s="4">
        <v>176</v>
      </c>
      <c r="AA26" s="4">
        <v>325</v>
      </c>
      <c r="AB26" s="4">
        <v>19</v>
      </c>
      <c r="AC26" s="4">
        <v>23</v>
      </c>
      <c r="AD26" s="4">
        <v>11</v>
      </c>
      <c r="AE26" s="4">
        <v>17</v>
      </c>
      <c r="AF26" s="4">
        <v>0</v>
      </c>
      <c r="AG26" s="4">
        <v>2</v>
      </c>
      <c r="AH26" s="4">
        <v>1</v>
      </c>
      <c r="AI26" s="4">
        <v>2</v>
      </c>
      <c r="AJ26" s="4">
        <v>3</v>
      </c>
      <c r="AK26" s="4">
        <v>6</v>
      </c>
      <c r="AL26" s="4">
        <v>7</v>
      </c>
      <c r="AM26" s="4">
        <v>9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HYPERLINK("https://creighton-primo.hosted.exlibrisgroup.com/primo-explore/search?tab=default_tab&amp;search_scope=EVERYTHING&amp;vid=01CRU&amp;lang=en_US&amp;offset=0&amp;query=any,contains,991003683769702656","Catalog Record")</f>
        <v>Catalog Record</v>
      </c>
      <c r="AT26" s="6" t="str">
        <f>HYPERLINK("http://www.worldcat.org/oclc/1311186","WorldCat Record")</f>
        <v>WorldCat Record</v>
      </c>
      <c r="AU26" s="3" t="s">
        <v>392</v>
      </c>
      <c r="AV26" s="3" t="s">
        <v>393</v>
      </c>
      <c r="AW26" s="3" t="s">
        <v>394</v>
      </c>
      <c r="AX26" s="3" t="s">
        <v>394</v>
      </c>
      <c r="AY26" s="3" t="s">
        <v>395</v>
      </c>
      <c r="AZ26" s="3" t="s">
        <v>73</v>
      </c>
      <c r="BC26" s="3" t="s">
        <v>396</v>
      </c>
      <c r="BD26" s="3" t="s">
        <v>397</v>
      </c>
    </row>
    <row r="27" spans="1:56" ht="41.25" customHeight="1" x14ac:dyDescent="0.25">
      <c r="A27" s="7" t="s">
        <v>58</v>
      </c>
      <c r="B27" s="2" t="s">
        <v>398</v>
      </c>
      <c r="C27" s="2" t="s">
        <v>399</v>
      </c>
      <c r="D27" s="2" t="s">
        <v>400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401</v>
      </c>
      <c r="L27" s="2" t="s">
        <v>402</v>
      </c>
      <c r="M27" s="3" t="s">
        <v>403</v>
      </c>
      <c r="N27" s="2" t="s">
        <v>404</v>
      </c>
      <c r="O27" s="3" t="s">
        <v>64</v>
      </c>
      <c r="P27" s="3" t="s">
        <v>405</v>
      </c>
      <c r="Q27" s="2" t="s">
        <v>406</v>
      </c>
      <c r="R27" s="3" t="s">
        <v>407</v>
      </c>
      <c r="S27" s="4">
        <v>3</v>
      </c>
      <c r="T27" s="4">
        <v>3</v>
      </c>
      <c r="U27" s="5" t="s">
        <v>408</v>
      </c>
      <c r="V27" s="5" t="s">
        <v>408</v>
      </c>
      <c r="W27" s="5" t="s">
        <v>353</v>
      </c>
      <c r="X27" s="5" t="s">
        <v>353</v>
      </c>
      <c r="Y27" s="4">
        <v>436</v>
      </c>
      <c r="Z27" s="4">
        <v>377</v>
      </c>
      <c r="AA27" s="4">
        <v>802</v>
      </c>
      <c r="AB27" s="4">
        <v>2</v>
      </c>
      <c r="AC27" s="4">
        <v>4</v>
      </c>
      <c r="AD27" s="4">
        <v>19</v>
      </c>
      <c r="AE27" s="4">
        <v>36</v>
      </c>
      <c r="AF27" s="4">
        <v>8</v>
      </c>
      <c r="AG27" s="4">
        <v>15</v>
      </c>
      <c r="AH27" s="4">
        <v>5</v>
      </c>
      <c r="AI27" s="4">
        <v>8</v>
      </c>
      <c r="AJ27" s="4">
        <v>9</v>
      </c>
      <c r="AK27" s="4">
        <v>18</v>
      </c>
      <c r="AL27" s="4">
        <v>1</v>
      </c>
      <c r="AM27" s="4">
        <v>3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HYPERLINK("https://creighton-primo.hosted.exlibrisgroup.com/primo-explore/search?tab=default_tab&amp;search_scope=EVERYTHING&amp;vid=01CRU&amp;lang=en_US&amp;offset=0&amp;query=any,contains,991004685849702656","Catalog Record")</f>
        <v>Catalog Record</v>
      </c>
      <c r="AT27" s="6" t="str">
        <f>HYPERLINK("http://www.worldcat.org/oclc/4592772","WorldCat Record")</f>
        <v>WorldCat Record</v>
      </c>
      <c r="AU27" s="3" t="s">
        <v>409</v>
      </c>
      <c r="AV27" s="3" t="s">
        <v>410</v>
      </c>
      <c r="AW27" s="3" t="s">
        <v>411</v>
      </c>
      <c r="AX27" s="3" t="s">
        <v>411</v>
      </c>
      <c r="AY27" s="3" t="s">
        <v>412</v>
      </c>
      <c r="AZ27" s="3" t="s">
        <v>73</v>
      </c>
      <c r="BB27" s="3" t="s">
        <v>413</v>
      </c>
      <c r="BC27" s="3" t="s">
        <v>414</v>
      </c>
      <c r="BD27" s="3" t="s">
        <v>415</v>
      </c>
    </row>
    <row r="28" spans="1:56" ht="41.25" customHeight="1" x14ac:dyDescent="0.25">
      <c r="A28" s="7" t="s">
        <v>58</v>
      </c>
      <c r="B28" s="2" t="s">
        <v>416</v>
      </c>
      <c r="C28" s="2" t="s">
        <v>417</v>
      </c>
      <c r="D28" s="2" t="s">
        <v>418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K28" s="2" t="s">
        <v>419</v>
      </c>
      <c r="L28" s="2" t="s">
        <v>420</v>
      </c>
      <c r="M28" s="3" t="s">
        <v>403</v>
      </c>
      <c r="N28" s="2" t="s">
        <v>421</v>
      </c>
      <c r="O28" s="3" t="s">
        <v>64</v>
      </c>
      <c r="P28" s="3" t="s">
        <v>334</v>
      </c>
      <c r="R28" s="3" t="s">
        <v>422</v>
      </c>
      <c r="S28" s="4">
        <v>2</v>
      </c>
      <c r="T28" s="4">
        <v>2</v>
      </c>
      <c r="U28" s="5" t="s">
        <v>423</v>
      </c>
      <c r="V28" s="5" t="s">
        <v>423</v>
      </c>
      <c r="W28" s="5" t="s">
        <v>424</v>
      </c>
      <c r="X28" s="5" t="s">
        <v>424</v>
      </c>
      <c r="Y28" s="4">
        <v>697</v>
      </c>
      <c r="Z28" s="4">
        <v>538</v>
      </c>
      <c r="AA28" s="4">
        <v>624</v>
      </c>
      <c r="AB28" s="4">
        <v>3</v>
      </c>
      <c r="AC28" s="4">
        <v>4</v>
      </c>
      <c r="AD28" s="4">
        <v>16</v>
      </c>
      <c r="AE28" s="4">
        <v>16</v>
      </c>
      <c r="AF28" s="4">
        <v>4</v>
      </c>
      <c r="AG28" s="4">
        <v>4</v>
      </c>
      <c r="AH28" s="4">
        <v>1</v>
      </c>
      <c r="AI28" s="4">
        <v>1</v>
      </c>
      <c r="AJ28" s="4">
        <v>5</v>
      </c>
      <c r="AK28" s="4">
        <v>5</v>
      </c>
      <c r="AL28" s="4">
        <v>2</v>
      </c>
      <c r="AM28" s="4">
        <v>2</v>
      </c>
      <c r="AN28" s="4">
        <v>6</v>
      </c>
      <c r="AO28" s="4">
        <v>6</v>
      </c>
      <c r="AP28" s="3" t="s">
        <v>58</v>
      </c>
      <c r="AQ28" s="3" t="s">
        <v>85</v>
      </c>
      <c r="AR28" s="6" t="str">
        <f>HYPERLINK("http://catalog.hathitrust.org/Record/000105632","HathiTrust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HYPERLINK("https://creighton-primo.hosted.exlibrisgroup.com/primo-explore/search?tab=default_tab&amp;search_scope=EVERYTHING&amp;vid=01CRU&amp;lang=en_US&amp;offset=0&amp;query=any,contains,991004666889702656","Catalog Record")</f>
        <v>Catalog Record</v>
      </c>
      <c r="AT28" s="6" t="str">
        <f>HYPERLINK("http://www.worldcat.org/oclc/4504506","WorldCat Record")</f>
        <v>WorldCat Record</v>
      </c>
      <c r="AU28" s="3" t="s">
        <v>425</v>
      </c>
      <c r="AV28" s="3" t="s">
        <v>426</v>
      </c>
      <c r="AW28" s="3" t="s">
        <v>427</v>
      </c>
      <c r="AX28" s="3" t="s">
        <v>427</v>
      </c>
      <c r="AY28" s="3" t="s">
        <v>428</v>
      </c>
      <c r="AZ28" s="3" t="s">
        <v>73</v>
      </c>
      <c r="BB28" s="3" t="s">
        <v>429</v>
      </c>
      <c r="BC28" s="3" t="s">
        <v>430</v>
      </c>
      <c r="BD28" s="3" t="s">
        <v>431</v>
      </c>
    </row>
    <row r="29" spans="1:56" ht="41.25" customHeight="1" x14ac:dyDescent="0.25">
      <c r="A29" s="7" t="s">
        <v>58</v>
      </c>
      <c r="B29" s="2" t="s">
        <v>432</v>
      </c>
      <c r="C29" s="2" t="s">
        <v>433</v>
      </c>
      <c r="D29" s="2" t="s">
        <v>434</v>
      </c>
      <c r="E29" s="3" t="s">
        <v>111</v>
      </c>
      <c r="F29" s="3" t="s">
        <v>85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435</v>
      </c>
      <c r="L29" s="2" t="s">
        <v>436</v>
      </c>
      <c r="M29" s="3" t="s">
        <v>437</v>
      </c>
      <c r="O29" s="3" t="s">
        <v>64</v>
      </c>
      <c r="P29" s="3" t="s">
        <v>373</v>
      </c>
      <c r="R29" s="3" t="s">
        <v>438</v>
      </c>
      <c r="S29" s="4">
        <v>0</v>
      </c>
      <c r="T29" s="4">
        <v>2</v>
      </c>
      <c r="V29" s="5" t="s">
        <v>439</v>
      </c>
      <c r="W29" s="5" t="s">
        <v>424</v>
      </c>
      <c r="X29" s="5" t="s">
        <v>424</v>
      </c>
      <c r="Y29" s="4">
        <v>718</v>
      </c>
      <c r="Z29" s="4">
        <v>619</v>
      </c>
      <c r="AA29" s="4">
        <v>625</v>
      </c>
      <c r="AB29" s="4">
        <v>4</v>
      </c>
      <c r="AC29" s="4">
        <v>4</v>
      </c>
      <c r="AD29" s="4">
        <v>24</v>
      </c>
      <c r="AE29" s="4">
        <v>24</v>
      </c>
      <c r="AF29" s="4">
        <v>9</v>
      </c>
      <c r="AG29" s="4">
        <v>9</v>
      </c>
      <c r="AH29" s="4">
        <v>6</v>
      </c>
      <c r="AI29" s="4">
        <v>6</v>
      </c>
      <c r="AJ29" s="4">
        <v>11</v>
      </c>
      <c r="AK29" s="4">
        <v>11</v>
      </c>
      <c r="AL29" s="4">
        <v>3</v>
      </c>
      <c r="AM29" s="4">
        <v>3</v>
      </c>
      <c r="AN29" s="4">
        <v>1</v>
      </c>
      <c r="AO29" s="4">
        <v>1</v>
      </c>
      <c r="AP29" s="3" t="s">
        <v>58</v>
      </c>
      <c r="AQ29" s="3" t="s">
        <v>85</v>
      </c>
      <c r="AR29" s="6" t="str">
        <f>HYPERLINK("http://catalog.hathitrust.org/Record/000098153","HathiTrust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HYPERLINK("https://creighton-primo.hosted.exlibrisgroup.com/primo-explore/search?tab=default_tab&amp;search_scope=EVERYTHING&amp;vid=01CRU&amp;lang=en_US&amp;offset=0&amp;query=any,contains,991005012409702656","Catalog Record")</f>
        <v>Catalog Record</v>
      </c>
      <c r="AT29" s="6" t="str">
        <f>HYPERLINK("http://www.worldcat.org/oclc/6603774","WorldCat Record")</f>
        <v>WorldCat Record</v>
      </c>
      <c r="AU29" s="3" t="s">
        <v>440</v>
      </c>
      <c r="AV29" s="3" t="s">
        <v>441</v>
      </c>
      <c r="AW29" s="3" t="s">
        <v>442</v>
      </c>
      <c r="AX29" s="3" t="s">
        <v>442</v>
      </c>
      <c r="AY29" s="3" t="s">
        <v>443</v>
      </c>
      <c r="AZ29" s="3" t="s">
        <v>73</v>
      </c>
      <c r="BB29" s="3" t="s">
        <v>444</v>
      </c>
      <c r="BC29" s="3" t="s">
        <v>445</v>
      </c>
      <c r="BD29" s="3" t="s">
        <v>446</v>
      </c>
    </row>
    <row r="30" spans="1:56" ht="41.25" customHeight="1" x14ac:dyDescent="0.25">
      <c r="A30" s="7" t="s">
        <v>58</v>
      </c>
      <c r="B30" s="2" t="s">
        <v>447</v>
      </c>
      <c r="C30" s="2" t="s">
        <v>448</v>
      </c>
      <c r="D30" s="2" t="s">
        <v>449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450</v>
      </c>
      <c r="L30" s="2" t="s">
        <v>451</v>
      </c>
      <c r="M30" s="3" t="s">
        <v>452</v>
      </c>
      <c r="O30" s="3" t="s">
        <v>64</v>
      </c>
      <c r="P30" s="3" t="s">
        <v>65</v>
      </c>
      <c r="R30" s="3" t="s">
        <v>438</v>
      </c>
      <c r="S30" s="4">
        <v>0</v>
      </c>
      <c r="T30" s="4">
        <v>0</v>
      </c>
      <c r="U30" s="5" t="s">
        <v>453</v>
      </c>
      <c r="V30" s="5" t="s">
        <v>453</v>
      </c>
      <c r="W30" s="5" t="s">
        <v>424</v>
      </c>
      <c r="X30" s="5" t="s">
        <v>424</v>
      </c>
      <c r="Y30" s="4">
        <v>329</v>
      </c>
      <c r="Z30" s="4">
        <v>311</v>
      </c>
      <c r="AA30" s="4">
        <v>318</v>
      </c>
      <c r="AB30" s="4">
        <v>2</v>
      </c>
      <c r="AC30" s="4">
        <v>2</v>
      </c>
      <c r="AD30" s="4">
        <v>8</v>
      </c>
      <c r="AE30" s="4">
        <v>8</v>
      </c>
      <c r="AF30" s="4">
        <v>1</v>
      </c>
      <c r="AG30" s="4">
        <v>1</v>
      </c>
      <c r="AH30" s="4">
        <v>3</v>
      </c>
      <c r="AI30" s="4">
        <v>3</v>
      </c>
      <c r="AJ30" s="4">
        <v>6</v>
      </c>
      <c r="AK30" s="4">
        <v>6</v>
      </c>
      <c r="AL30" s="4">
        <v>1</v>
      </c>
      <c r="AM30" s="4">
        <v>1</v>
      </c>
      <c r="AN30" s="4">
        <v>0</v>
      </c>
      <c r="AO30" s="4">
        <v>0</v>
      </c>
      <c r="AP30" s="3" t="s">
        <v>58</v>
      </c>
      <c r="AQ30" s="3" t="s">
        <v>85</v>
      </c>
      <c r="AR30" s="6" t="str">
        <f>HYPERLINK("http://catalog.hathitrust.org/Record/007412185","HathiTrust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HYPERLINK("https://creighton-primo.hosted.exlibrisgroup.com/primo-explore/search?tab=default_tab&amp;search_scope=EVERYTHING&amp;vid=01CRU&amp;lang=en_US&amp;offset=0&amp;query=any,contains,991003408899702656","Catalog Record")</f>
        <v>Catalog Record</v>
      </c>
      <c r="AT30" s="6" t="str">
        <f>HYPERLINK("http://www.worldcat.org/oclc/947902","WorldCat Record")</f>
        <v>WorldCat Record</v>
      </c>
      <c r="AU30" s="3" t="s">
        <v>454</v>
      </c>
      <c r="AV30" s="3" t="s">
        <v>455</v>
      </c>
      <c r="AW30" s="3" t="s">
        <v>456</v>
      </c>
      <c r="AX30" s="3" t="s">
        <v>456</v>
      </c>
      <c r="AY30" s="3" t="s">
        <v>457</v>
      </c>
      <c r="AZ30" s="3" t="s">
        <v>73</v>
      </c>
      <c r="BB30" s="3" t="s">
        <v>458</v>
      </c>
      <c r="BC30" s="3" t="s">
        <v>459</v>
      </c>
      <c r="BD30" s="3" t="s">
        <v>460</v>
      </c>
    </row>
    <row r="31" spans="1:56" ht="41.25" customHeight="1" x14ac:dyDescent="0.25">
      <c r="A31" s="7" t="s">
        <v>58</v>
      </c>
      <c r="B31" s="2" t="s">
        <v>461</v>
      </c>
      <c r="C31" s="2" t="s">
        <v>462</v>
      </c>
      <c r="D31" s="2" t="s">
        <v>463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464</v>
      </c>
      <c r="L31" s="2" t="s">
        <v>465</v>
      </c>
      <c r="M31" s="3" t="s">
        <v>466</v>
      </c>
      <c r="O31" s="3" t="s">
        <v>64</v>
      </c>
      <c r="P31" s="3" t="s">
        <v>373</v>
      </c>
      <c r="R31" s="3" t="s">
        <v>467</v>
      </c>
      <c r="S31" s="4">
        <v>0</v>
      </c>
      <c r="T31" s="4">
        <v>0</v>
      </c>
      <c r="U31" s="5" t="s">
        <v>468</v>
      </c>
      <c r="V31" s="5" t="s">
        <v>468</v>
      </c>
      <c r="W31" s="5" t="s">
        <v>469</v>
      </c>
      <c r="X31" s="5" t="s">
        <v>469</v>
      </c>
      <c r="Y31" s="4">
        <v>847</v>
      </c>
      <c r="Z31" s="4">
        <v>724</v>
      </c>
      <c r="AA31" s="4">
        <v>792</v>
      </c>
      <c r="AB31" s="4">
        <v>5</v>
      </c>
      <c r="AC31" s="4">
        <v>5</v>
      </c>
      <c r="AD31" s="4">
        <v>19</v>
      </c>
      <c r="AE31" s="4">
        <v>20</v>
      </c>
      <c r="AF31" s="4">
        <v>7</v>
      </c>
      <c r="AG31" s="4">
        <v>8</v>
      </c>
      <c r="AH31" s="4">
        <v>3</v>
      </c>
      <c r="AI31" s="4">
        <v>3</v>
      </c>
      <c r="AJ31" s="4">
        <v>11</v>
      </c>
      <c r="AK31" s="4">
        <v>11</v>
      </c>
      <c r="AL31" s="4">
        <v>2</v>
      </c>
      <c r="AM31" s="4">
        <v>2</v>
      </c>
      <c r="AN31" s="4">
        <v>0</v>
      </c>
      <c r="AO31" s="4">
        <v>0</v>
      </c>
      <c r="AP31" s="3" t="s">
        <v>58</v>
      </c>
      <c r="AQ31" s="3" t="s">
        <v>58</v>
      </c>
      <c r="AS31" s="6" t="str">
        <f>HYPERLINK("https://creighton-primo.hosted.exlibrisgroup.com/primo-explore/search?tab=default_tab&amp;search_scope=EVERYTHING&amp;vid=01CRU&amp;lang=en_US&amp;offset=0&amp;query=any,contains,991001047989702656","Catalog Record")</f>
        <v>Catalog Record</v>
      </c>
      <c r="AT31" s="6" t="str">
        <f>HYPERLINK("http://www.worldcat.org/oclc/15630421","WorldCat Record")</f>
        <v>WorldCat Record</v>
      </c>
      <c r="AU31" s="3" t="s">
        <v>470</v>
      </c>
      <c r="AV31" s="3" t="s">
        <v>471</v>
      </c>
      <c r="AW31" s="3" t="s">
        <v>472</v>
      </c>
      <c r="AX31" s="3" t="s">
        <v>472</v>
      </c>
      <c r="AY31" s="3" t="s">
        <v>473</v>
      </c>
      <c r="AZ31" s="3" t="s">
        <v>73</v>
      </c>
      <c r="BB31" s="3" t="s">
        <v>474</v>
      </c>
      <c r="BC31" s="3" t="s">
        <v>475</v>
      </c>
      <c r="BD31" s="3" t="s">
        <v>476</v>
      </c>
    </row>
    <row r="32" spans="1:56" ht="41.25" customHeight="1" x14ac:dyDescent="0.25">
      <c r="A32" s="7" t="s">
        <v>58</v>
      </c>
      <c r="B32" s="2" t="s">
        <v>477</v>
      </c>
      <c r="C32" s="2" t="s">
        <v>478</v>
      </c>
      <c r="D32" s="2" t="s">
        <v>479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480</v>
      </c>
      <c r="L32" s="2" t="s">
        <v>481</v>
      </c>
      <c r="M32" s="3" t="s">
        <v>482</v>
      </c>
      <c r="O32" s="3" t="s">
        <v>64</v>
      </c>
      <c r="P32" s="3" t="s">
        <v>65</v>
      </c>
      <c r="R32" s="3" t="s">
        <v>483</v>
      </c>
      <c r="S32" s="4">
        <v>0</v>
      </c>
      <c r="T32" s="4">
        <v>0</v>
      </c>
      <c r="U32" s="5" t="s">
        <v>484</v>
      </c>
      <c r="V32" s="5" t="s">
        <v>484</v>
      </c>
      <c r="W32" s="5" t="s">
        <v>485</v>
      </c>
      <c r="X32" s="5" t="s">
        <v>485</v>
      </c>
      <c r="Y32" s="4">
        <v>1969</v>
      </c>
      <c r="Z32" s="4">
        <v>1838</v>
      </c>
      <c r="AA32" s="4">
        <v>2056</v>
      </c>
      <c r="AB32" s="4">
        <v>18</v>
      </c>
      <c r="AC32" s="4">
        <v>19</v>
      </c>
      <c r="AD32" s="4">
        <v>46</v>
      </c>
      <c r="AE32" s="4">
        <v>49</v>
      </c>
      <c r="AF32" s="4">
        <v>18</v>
      </c>
      <c r="AG32" s="4">
        <v>19</v>
      </c>
      <c r="AH32" s="4">
        <v>5</v>
      </c>
      <c r="AI32" s="4">
        <v>6</v>
      </c>
      <c r="AJ32" s="4">
        <v>19</v>
      </c>
      <c r="AK32" s="4">
        <v>21</v>
      </c>
      <c r="AL32" s="4">
        <v>10</v>
      </c>
      <c r="AM32" s="4">
        <v>10</v>
      </c>
      <c r="AN32" s="4">
        <v>1</v>
      </c>
      <c r="AO32" s="4">
        <v>1</v>
      </c>
      <c r="AP32" s="3" t="s">
        <v>58</v>
      </c>
      <c r="AQ32" s="3" t="s">
        <v>85</v>
      </c>
      <c r="AR32" s="6" t="str">
        <f>HYPERLINK("http://catalog.hathitrust.org/Record/001115046","HathiTrust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HYPERLINK("https://creighton-primo.hosted.exlibrisgroup.com/primo-explore/search?tab=default_tab&amp;search_scope=EVERYTHING&amp;vid=01CRU&amp;lang=en_US&amp;offset=0&amp;query=any,contains,991002996509702656","Catalog Record")</f>
        <v>Catalog Record</v>
      </c>
      <c r="AT32" s="6" t="str">
        <f>HYPERLINK("http://www.worldcat.org/oclc/564946","WorldCat Record")</f>
        <v>WorldCat Record</v>
      </c>
      <c r="AU32" s="3" t="s">
        <v>486</v>
      </c>
      <c r="AV32" s="3" t="s">
        <v>487</v>
      </c>
      <c r="AW32" s="3" t="s">
        <v>488</v>
      </c>
      <c r="AX32" s="3" t="s">
        <v>488</v>
      </c>
      <c r="AY32" s="3" t="s">
        <v>489</v>
      </c>
      <c r="AZ32" s="3" t="s">
        <v>73</v>
      </c>
      <c r="BC32" s="3" t="s">
        <v>490</v>
      </c>
      <c r="BD32" s="3" t="s">
        <v>491</v>
      </c>
    </row>
    <row r="33" spans="1:56" ht="41.25" customHeight="1" x14ac:dyDescent="0.25">
      <c r="A33" s="7" t="s">
        <v>58</v>
      </c>
      <c r="B33" s="2" t="s">
        <v>492</v>
      </c>
      <c r="C33" s="2" t="s">
        <v>493</v>
      </c>
      <c r="D33" s="2" t="s">
        <v>494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495</v>
      </c>
      <c r="L33" s="2" t="s">
        <v>496</v>
      </c>
      <c r="M33" s="3" t="s">
        <v>132</v>
      </c>
      <c r="N33" s="2" t="s">
        <v>497</v>
      </c>
      <c r="O33" s="3" t="s">
        <v>64</v>
      </c>
      <c r="P33" s="3" t="s">
        <v>65</v>
      </c>
      <c r="R33" s="3" t="s">
        <v>498</v>
      </c>
      <c r="S33" s="4">
        <v>6</v>
      </c>
      <c r="T33" s="4">
        <v>6</v>
      </c>
      <c r="U33" s="5" t="s">
        <v>499</v>
      </c>
      <c r="V33" s="5" t="s">
        <v>499</v>
      </c>
      <c r="W33" s="5" t="s">
        <v>500</v>
      </c>
      <c r="X33" s="5" t="s">
        <v>500</v>
      </c>
      <c r="Y33" s="4">
        <v>1036</v>
      </c>
      <c r="Z33" s="4">
        <v>999</v>
      </c>
      <c r="AA33" s="4">
        <v>1030</v>
      </c>
      <c r="AB33" s="4">
        <v>10</v>
      </c>
      <c r="AC33" s="4">
        <v>10</v>
      </c>
      <c r="AD33" s="4">
        <v>24</v>
      </c>
      <c r="AE33" s="4">
        <v>24</v>
      </c>
      <c r="AF33" s="4">
        <v>6</v>
      </c>
      <c r="AG33" s="4">
        <v>6</v>
      </c>
      <c r="AH33" s="4">
        <v>5</v>
      </c>
      <c r="AI33" s="4">
        <v>5</v>
      </c>
      <c r="AJ33" s="4">
        <v>9</v>
      </c>
      <c r="AK33" s="4">
        <v>9</v>
      </c>
      <c r="AL33" s="4">
        <v>6</v>
      </c>
      <c r="AM33" s="4">
        <v>6</v>
      </c>
      <c r="AN33" s="4">
        <v>3</v>
      </c>
      <c r="AO33" s="4">
        <v>3</v>
      </c>
      <c r="AP33" s="3" t="s">
        <v>58</v>
      </c>
      <c r="AQ33" s="3" t="s">
        <v>85</v>
      </c>
      <c r="AR33" s="6" t="str">
        <f>HYPERLINK("http://catalog.hathitrust.org/Record/001115331","HathiTrust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HYPERLINK("https://creighton-primo.hosted.exlibrisgroup.com/primo-explore/search?tab=default_tab&amp;search_scope=EVERYTHING&amp;vid=01CRU&amp;lang=en_US&amp;offset=0&amp;query=any,contains,991001286049702656","Catalog Record")</f>
        <v>Catalog Record</v>
      </c>
      <c r="AT33" s="6" t="str">
        <f>HYPERLINK("http://www.worldcat.org/oclc/215949","WorldCat Record")</f>
        <v>WorldCat Record</v>
      </c>
      <c r="AU33" s="3" t="s">
        <v>501</v>
      </c>
      <c r="AV33" s="3" t="s">
        <v>502</v>
      </c>
      <c r="AW33" s="3" t="s">
        <v>503</v>
      </c>
      <c r="AX33" s="3" t="s">
        <v>503</v>
      </c>
      <c r="AY33" s="3" t="s">
        <v>504</v>
      </c>
      <c r="AZ33" s="3" t="s">
        <v>73</v>
      </c>
      <c r="BB33" s="3" t="s">
        <v>505</v>
      </c>
      <c r="BC33" s="3" t="s">
        <v>506</v>
      </c>
      <c r="BD33" s="3" t="s">
        <v>507</v>
      </c>
    </row>
    <row r="34" spans="1:56" ht="41.25" customHeight="1" x14ac:dyDescent="0.25">
      <c r="A34" s="7" t="s">
        <v>58</v>
      </c>
      <c r="B34" s="2" t="s">
        <v>508</v>
      </c>
      <c r="C34" s="2" t="s">
        <v>509</v>
      </c>
      <c r="D34" s="2" t="s">
        <v>510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511</v>
      </c>
      <c r="L34" s="2" t="s">
        <v>512</v>
      </c>
      <c r="M34" s="3" t="s">
        <v>482</v>
      </c>
      <c r="O34" s="3" t="s">
        <v>64</v>
      </c>
      <c r="P34" s="3" t="s">
        <v>513</v>
      </c>
      <c r="R34" s="3" t="s">
        <v>498</v>
      </c>
      <c r="S34" s="4">
        <v>3</v>
      </c>
      <c r="T34" s="4">
        <v>3</v>
      </c>
      <c r="U34" s="5" t="s">
        <v>514</v>
      </c>
      <c r="V34" s="5" t="s">
        <v>514</v>
      </c>
      <c r="W34" s="5" t="s">
        <v>515</v>
      </c>
      <c r="X34" s="5" t="s">
        <v>515</v>
      </c>
      <c r="Y34" s="4">
        <v>292</v>
      </c>
      <c r="Z34" s="4">
        <v>283</v>
      </c>
      <c r="AA34" s="4">
        <v>574</v>
      </c>
      <c r="AB34" s="4">
        <v>3</v>
      </c>
      <c r="AC34" s="4">
        <v>6</v>
      </c>
      <c r="AD34" s="4">
        <v>12</v>
      </c>
      <c r="AE34" s="4">
        <v>21</v>
      </c>
      <c r="AF34" s="4">
        <v>2</v>
      </c>
      <c r="AG34" s="4">
        <v>4</v>
      </c>
      <c r="AH34" s="4">
        <v>2</v>
      </c>
      <c r="AI34" s="4">
        <v>4</v>
      </c>
      <c r="AJ34" s="4">
        <v>6</v>
      </c>
      <c r="AK34" s="4">
        <v>9</v>
      </c>
      <c r="AL34" s="4">
        <v>2</v>
      </c>
      <c r="AM34" s="4">
        <v>5</v>
      </c>
      <c r="AN34" s="4">
        <v>1</v>
      </c>
      <c r="AO34" s="4">
        <v>2</v>
      </c>
      <c r="AP34" s="3" t="s">
        <v>58</v>
      </c>
      <c r="AQ34" s="3" t="s">
        <v>58</v>
      </c>
      <c r="AR34" s="6" t="str">
        <f>HYPERLINK("http://catalog.hathitrust.org/Record/001041417","HathiTrust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HYPERLINK("https://creighton-primo.hosted.exlibrisgroup.com/primo-explore/search?tab=default_tab&amp;search_scope=EVERYTHING&amp;vid=01CRU&amp;lang=en_US&amp;offset=0&amp;query=any,contains,991003196039702656","Catalog Record")</f>
        <v>Catalog Record</v>
      </c>
      <c r="AT34" s="6" t="str">
        <f>HYPERLINK("http://www.worldcat.org/oclc/721474","WorldCat Record")</f>
        <v>WorldCat Record</v>
      </c>
      <c r="AU34" s="3" t="s">
        <v>516</v>
      </c>
      <c r="AV34" s="3" t="s">
        <v>517</v>
      </c>
      <c r="AW34" s="3" t="s">
        <v>518</v>
      </c>
      <c r="AX34" s="3" t="s">
        <v>518</v>
      </c>
      <c r="AY34" s="3" t="s">
        <v>519</v>
      </c>
      <c r="AZ34" s="3" t="s">
        <v>73</v>
      </c>
      <c r="BC34" s="3" t="s">
        <v>520</v>
      </c>
      <c r="BD34" s="3" t="s">
        <v>521</v>
      </c>
    </row>
    <row r="35" spans="1:56" ht="41.25" customHeight="1" x14ac:dyDescent="0.25">
      <c r="A35" s="7" t="s">
        <v>58</v>
      </c>
      <c r="B35" s="2" t="s">
        <v>522</v>
      </c>
      <c r="C35" s="2" t="s">
        <v>523</v>
      </c>
      <c r="D35" s="2" t="s">
        <v>524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525</v>
      </c>
      <c r="L35" s="2" t="s">
        <v>526</v>
      </c>
      <c r="M35" s="3" t="s">
        <v>527</v>
      </c>
      <c r="N35" s="2" t="s">
        <v>528</v>
      </c>
      <c r="O35" s="3" t="s">
        <v>64</v>
      </c>
      <c r="P35" s="3" t="s">
        <v>529</v>
      </c>
      <c r="R35" s="3" t="s">
        <v>498</v>
      </c>
      <c r="S35" s="4">
        <v>2</v>
      </c>
      <c r="T35" s="4">
        <v>2</v>
      </c>
      <c r="U35" s="5" t="s">
        <v>530</v>
      </c>
      <c r="V35" s="5" t="s">
        <v>530</v>
      </c>
      <c r="W35" s="5" t="s">
        <v>531</v>
      </c>
      <c r="X35" s="5" t="s">
        <v>531</v>
      </c>
      <c r="Y35" s="4">
        <v>230</v>
      </c>
      <c r="Z35" s="4">
        <v>216</v>
      </c>
      <c r="AA35" s="4">
        <v>255</v>
      </c>
      <c r="AB35" s="4">
        <v>2</v>
      </c>
      <c r="AC35" s="4">
        <v>2</v>
      </c>
      <c r="AD35" s="4">
        <v>15</v>
      </c>
      <c r="AE35" s="4">
        <v>18</v>
      </c>
      <c r="AF35" s="4">
        <v>2</v>
      </c>
      <c r="AG35" s="4">
        <v>2</v>
      </c>
      <c r="AH35" s="4">
        <v>2</v>
      </c>
      <c r="AI35" s="4">
        <v>2</v>
      </c>
      <c r="AJ35" s="4">
        <v>4</v>
      </c>
      <c r="AK35" s="4">
        <v>4</v>
      </c>
      <c r="AL35" s="4">
        <v>0</v>
      </c>
      <c r="AM35" s="4">
        <v>0</v>
      </c>
      <c r="AN35" s="4">
        <v>8</v>
      </c>
      <c r="AO35" s="4">
        <v>11</v>
      </c>
      <c r="AP35" s="3" t="s">
        <v>85</v>
      </c>
      <c r="AQ35" s="3" t="s">
        <v>58</v>
      </c>
      <c r="AR35" s="6" t="str">
        <f>HYPERLINK("http://catalog.hathitrust.org/Record/001042287","HathiTrust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HYPERLINK("https://creighton-primo.hosted.exlibrisgroup.com/primo-explore/search?tab=default_tab&amp;search_scope=EVERYTHING&amp;vid=01CRU&amp;lang=en_US&amp;offset=0&amp;query=any,contains,991002232589702656","Catalog Record")</f>
        <v>Catalog Record</v>
      </c>
      <c r="AT35" s="6" t="str">
        <f>HYPERLINK("http://www.worldcat.org/oclc/28762830","WorldCat Record")</f>
        <v>WorldCat Record</v>
      </c>
      <c r="AU35" s="3" t="s">
        <v>532</v>
      </c>
      <c r="AV35" s="3" t="s">
        <v>533</v>
      </c>
      <c r="AW35" s="3" t="s">
        <v>534</v>
      </c>
      <c r="AX35" s="3" t="s">
        <v>534</v>
      </c>
      <c r="AY35" s="3" t="s">
        <v>535</v>
      </c>
      <c r="AZ35" s="3" t="s">
        <v>73</v>
      </c>
      <c r="BC35" s="3" t="s">
        <v>536</v>
      </c>
      <c r="BD35" s="3" t="s">
        <v>537</v>
      </c>
    </row>
    <row r="36" spans="1:56" ht="41.25" customHeight="1" x14ac:dyDescent="0.25">
      <c r="A36" s="7" t="s">
        <v>58</v>
      </c>
      <c r="B36" s="2" t="s">
        <v>538</v>
      </c>
      <c r="C36" s="2" t="s">
        <v>539</v>
      </c>
      <c r="D36" s="2" t="s">
        <v>540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541</v>
      </c>
      <c r="L36" s="2" t="s">
        <v>542</v>
      </c>
      <c r="M36" s="3" t="s">
        <v>543</v>
      </c>
      <c r="N36" s="2" t="s">
        <v>497</v>
      </c>
      <c r="O36" s="3" t="s">
        <v>64</v>
      </c>
      <c r="P36" s="3" t="s">
        <v>529</v>
      </c>
      <c r="R36" s="3" t="s">
        <v>498</v>
      </c>
      <c r="S36" s="4">
        <v>1</v>
      </c>
      <c r="T36" s="4">
        <v>1</v>
      </c>
      <c r="U36" s="5" t="s">
        <v>544</v>
      </c>
      <c r="V36" s="5" t="s">
        <v>544</v>
      </c>
      <c r="W36" s="5" t="s">
        <v>515</v>
      </c>
      <c r="X36" s="5" t="s">
        <v>515</v>
      </c>
      <c r="Y36" s="4">
        <v>276</v>
      </c>
      <c r="Z36" s="4">
        <v>249</v>
      </c>
      <c r="AA36" s="4">
        <v>252</v>
      </c>
      <c r="AB36" s="4">
        <v>3</v>
      </c>
      <c r="AC36" s="4">
        <v>3</v>
      </c>
      <c r="AD36" s="4">
        <v>10</v>
      </c>
      <c r="AE36" s="4">
        <v>10</v>
      </c>
      <c r="AF36" s="4">
        <v>0</v>
      </c>
      <c r="AG36" s="4">
        <v>0</v>
      </c>
      <c r="AH36" s="4">
        <v>1</v>
      </c>
      <c r="AI36" s="4">
        <v>1</v>
      </c>
      <c r="AJ36" s="4">
        <v>4</v>
      </c>
      <c r="AK36" s="4">
        <v>4</v>
      </c>
      <c r="AL36" s="4">
        <v>2</v>
      </c>
      <c r="AM36" s="4">
        <v>2</v>
      </c>
      <c r="AN36" s="4">
        <v>4</v>
      </c>
      <c r="AO36" s="4">
        <v>4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HYPERLINK("https://creighton-primo.hosted.exlibrisgroup.com/primo-explore/search?tab=default_tab&amp;search_scope=EVERYTHING&amp;vid=01CRU&amp;lang=en_US&amp;offset=0&amp;query=any,contains,991003312639702656","Catalog Record")</f>
        <v>Catalog Record</v>
      </c>
      <c r="AT36" s="6" t="str">
        <f>HYPERLINK("http://www.worldcat.org/oclc/836252","WorldCat Record")</f>
        <v>WorldCat Record</v>
      </c>
      <c r="AU36" s="3" t="s">
        <v>545</v>
      </c>
      <c r="AV36" s="3" t="s">
        <v>546</v>
      </c>
      <c r="AW36" s="3" t="s">
        <v>547</v>
      </c>
      <c r="AX36" s="3" t="s">
        <v>547</v>
      </c>
      <c r="AY36" s="3" t="s">
        <v>548</v>
      </c>
      <c r="AZ36" s="3" t="s">
        <v>73</v>
      </c>
      <c r="BC36" s="3" t="s">
        <v>549</v>
      </c>
      <c r="BD36" s="3" t="s">
        <v>550</v>
      </c>
    </row>
    <row r="37" spans="1:56" ht="41.25" customHeight="1" x14ac:dyDescent="0.25">
      <c r="A37" s="7" t="s">
        <v>58</v>
      </c>
      <c r="B37" s="2" t="s">
        <v>551</v>
      </c>
      <c r="C37" s="2" t="s">
        <v>552</v>
      </c>
      <c r="D37" s="2" t="s">
        <v>553</v>
      </c>
      <c r="E37" s="3" t="s">
        <v>111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L37" s="2" t="s">
        <v>554</v>
      </c>
      <c r="M37" s="3" t="s">
        <v>437</v>
      </c>
      <c r="O37" s="3" t="s">
        <v>64</v>
      </c>
      <c r="P37" s="3" t="s">
        <v>555</v>
      </c>
      <c r="R37" s="3" t="s">
        <v>556</v>
      </c>
      <c r="S37" s="4">
        <v>0</v>
      </c>
      <c r="T37" s="4">
        <v>0</v>
      </c>
      <c r="U37" s="5" t="s">
        <v>557</v>
      </c>
      <c r="V37" s="5" t="s">
        <v>557</v>
      </c>
      <c r="W37" s="5" t="s">
        <v>558</v>
      </c>
      <c r="X37" s="5" t="s">
        <v>558</v>
      </c>
      <c r="Y37" s="4">
        <v>304</v>
      </c>
      <c r="Z37" s="4">
        <v>217</v>
      </c>
      <c r="AA37" s="4">
        <v>234</v>
      </c>
      <c r="AB37" s="4">
        <v>1</v>
      </c>
      <c r="AC37" s="4">
        <v>2</v>
      </c>
      <c r="AD37" s="4">
        <v>7</v>
      </c>
      <c r="AE37" s="4">
        <v>9</v>
      </c>
      <c r="AF37" s="4">
        <v>3</v>
      </c>
      <c r="AG37" s="4">
        <v>4</v>
      </c>
      <c r="AH37" s="4">
        <v>3</v>
      </c>
      <c r="AI37" s="4">
        <v>3</v>
      </c>
      <c r="AJ37" s="4">
        <v>4</v>
      </c>
      <c r="AK37" s="4">
        <v>5</v>
      </c>
      <c r="AL37" s="4">
        <v>0</v>
      </c>
      <c r="AM37" s="4">
        <v>1</v>
      </c>
      <c r="AN37" s="4">
        <v>0</v>
      </c>
      <c r="AO37" s="4">
        <v>0</v>
      </c>
      <c r="AP37" s="3" t="s">
        <v>58</v>
      </c>
      <c r="AQ37" s="3" t="s">
        <v>85</v>
      </c>
      <c r="AR37" s="6" t="str">
        <f>HYPERLINK("http://catalog.hathitrust.org/Record/000267256","HathiTrust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HYPERLINK("https://creighton-primo.hosted.exlibrisgroup.com/primo-explore/search?tab=default_tab&amp;search_scope=EVERYTHING&amp;vid=01CRU&amp;lang=en_US&amp;offset=0&amp;query=any,contains,991005060799702656","Catalog Record")</f>
        <v>Catalog Record</v>
      </c>
      <c r="AT37" s="6" t="str">
        <f>HYPERLINK("http://www.worldcat.org/oclc/6917662","WorldCat Record")</f>
        <v>WorldCat Record</v>
      </c>
      <c r="AU37" s="3" t="s">
        <v>559</v>
      </c>
      <c r="AV37" s="3" t="s">
        <v>560</v>
      </c>
      <c r="AW37" s="3" t="s">
        <v>561</v>
      </c>
      <c r="AX37" s="3" t="s">
        <v>561</v>
      </c>
      <c r="AY37" s="3" t="s">
        <v>562</v>
      </c>
      <c r="AZ37" s="3" t="s">
        <v>73</v>
      </c>
      <c r="BB37" s="3" t="s">
        <v>563</v>
      </c>
      <c r="BC37" s="3" t="s">
        <v>564</v>
      </c>
      <c r="BD37" s="3" t="s">
        <v>565</v>
      </c>
    </row>
    <row r="38" spans="1:56" ht="41.25" customHeight="1" x14ac:dyDescent="0.25">
      <c r="A38" s="7" t="s">
        <v>58</v>
      </c>
      <c r="B38" s="2" t="s">
        <v>566</v>
      </c>
      <c r="C38" s="2" t="s">
        <v>567</v>
      </c>
      <c r="D38" s="2" t="s">
        <v>568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L38" s="2" t="s">
        <v>569</v>
      </c>
      <c r="M38" s="3" t="s">
        <v>230</v>
      </c>
      <c r="O38" s="3" t="s">
        <v>64</v>
      </c>
      <c r="P38" s="3" t="s">
        <v>65</v>
      </c>
      <c r="R38" s="3" t="s">
        <v>556</v>
      </c>
      <c r="S38" s="4">
        <v>6</v>
      </c>
      <c r="T38" s="4">
        <v>6</v>
      </c>
      <c r="U38" s="5" t="s">
        <v>570</v>
      </c>
      <c r="V38" s="5" t="s">
        <v>570</v>
      </c>
      <c r="W38" s="5" t="s">
        <v>558</v>
      </c>
      <c r="X38" s="5" t="s">
        <v>558</v>
      </c>
      <c r="Y38" s="4">
        <v>288</v>
      </c>
      <c r="Z38" s="4">
        <v>178</v>
      </c>
      <c r="AA38" s="4">
        <v>223</v>
      </c>
      <c r="AB38" s="4">
        <v>4</v>
      </c>
      <c r="AC38" s="4">
        <v>4</v>
      </c>
      <c r="AD38" s="4">
        <v>7</v>
      </c>
      <c r="AE38" s="4">
        <v>10</v>
      </c>
      <c r="AF38" s="4">
        <v>1</v>
      </c>
      <c r="AG38" s="4">
        <v>3</v>
      </c>
      <c r="AH38" s="4">
        <v>2</v>
      </c>
      <c r="AI38" s="4">
        <v>4</v>
      </c>
      <c r="AJ38" s="4">
        <v>2</v>
      </c>
      <c r="AK38" s="4">
        <v>2</v>
      </c>
      <c r="AL38" s="4">
        <v>3</v>
      </c>
      <c r="AM38" s="4">
        <v>3</v>
      </c>
      <c r="AN38" s="4">
        <v>0</v>
      </c>
      <c r="AO38" s="4">
        <v>0</v>
      </c>
      <c r="AP38" s="3" t="s">
        <v>58</v>
      </c>
      <c r="AQ38" s="3" t="s">
        <v>85</v>
      </c>
      <c r="AR38" s="6" t="str">
        <f>HYPERLINK("http://catalog.hathitrust.org/Record/006243050","HathiTrust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HYPERLINK("https://creighton-primo.hosted.exlibrisgroup.com/primo-explore/search?tab=default_tab&amp;search_scope=EVERYTHING&amp;vid=01CRU&amp;lang=en_US&amp;offset=0&amp;query=any,contains,991004267819702656","Catalog Record")</f>
        <v>Catalog Record</v>
      </c>
      <c r="AT38" s="6" t="str">
        <f>HYPERLINK("http://www.worldcat.org/oclc/2873401","WorldCat Record")</f>
        <v>WorldCat Record</v>
      </c>
      <c r="AU38" s="3" t="s">
        <v>571</v>
      </c>
      <c r="AV38" s="3" t="s">
        <v>572</v>
      </c>
      <c r="AW38" s="3" t="s">
        <v>573</v>
      </c>
      <c r="AX38" s="3" t="s">
        <v>573</v>
      </c>
      <c r="AY38" s="3" t="s">
        <v>574</v>
      </c>
      <c r="AZ38" s="3" t="s">
        <v>73</v>
      </c>
      <c r="BB38" s="3" t="s">
        <v>575</v>
      </c>
      <c r="BC38" s="3" t="s">
        <v>576</v>
      </c>
      <c r="BD38" s="3" t="s">
        <v>577</v>
      </c>
    </row>
    <row r="39" spans="1:56" ht="41.25" customHeight="1" x14ac:dyDescent="0.25">
      <c r="A39" s="7" t="s">
        <v>58</v>
      </c>
      <c r="B39" s="2" t="s">
        <v>578</v>
      </c>
      <c r="C39" s="2" t="s">
        <v>579</v>
      </c>
      <c r="D39" s="2" t="s">
        <v>580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L39" s="2" t="s">
        <v>581</v>
      </c>
      <c r="M39" s="3" t="s">
        <v>582</v>
      </c>
      <c r="O39" s="3" t="s">
        <v>64</v>
      </c>
      <c r="P39" s="3" t="s">
        <v>583</v>
      </c>
      <c r="Q39" s="2" t="s">
        <v>584</v>
      </c>
      <c r="R39" s="3" t="s">
        <v>556</v>
      </c>
      <c r="S39" s="4">
        <v>5</v>
      </c>
      <c r="T39" s="4">
        <v>5</v>
      </c>
      <c r="U39" s="5" t="s">
        <v>585</v>
      </c>
      <c r="V39" s="5" t="s">
        <v>585</v>
      </c>
      <c r="W39" s="5" t="s">
        <v>586</v>
      </c>
      <c r="X39" s="5" t="s">
        <v>586</v>
      </c>
      <c r="Y39" s="4">
        <v>256</v>
      </c>
      <c r="Z39" s="4">
        <v>220</v>
      </c>
      <c r="AA39" s="4">
        <v>667</v>
      </c>
      <c r="AB39" s="4">
        <v>1</v>
      </c>
      <c r="AC39" s="4">
        <v>2</v>
      </c>
      <c r="AD39" s="4">
        <v>9</v>
      </c>
      <c r="AE39" s="4">
        <v>19</v>
      </c>
      <c r="AF39" s="4">
        <v>3</v>
      </c>
      <c r="AG39" s="4">
        <v>10</v>
      </c>
      <c r="AH39" s="4">
        <v>3</v>
      </c>
      <c r="AI39" s="4">
        <v>4</v>
      </c>
      <c r="AJ39" s="4">
        <v>7</v>
      </c>
      <c r="AK39" s="4">
        <v>11</v>
      </c>
      <c r="AL39" s="4">
        <v>0</v>
      </c>
      <c r="AM39" s="4">
        <v>1</v>
      </c>
      <c r="AN39" s="4">
        <v>0</v>
      </c>
      <c r="AO39" s="4">
        <v>0</v>
      </c>
      <c r="AP39" s="3" t="s">
        <v>58</v>
      </c>
      <c r="AQ39" s="3" t="s">
        <v>85</v>
      </c>
      <c r="AR39" s="6" t="str">
        <f>HYPERLINK("http://catalog.hathitrust.org/Record/003024437","HathiTrust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HYPERLINK("https://creighton-primo.hosted.exlibrisgroup.com/primo-explore/search?tab=default_tab&amp;search_scope=EVERYTHING&amp;vid=01CRU&amp;lang=en_US&amp;offset=0&amp;query=any,contains,991002496489702656","Catalog Record")</f>
        <v>Catalog Record</v>
      </c>
      <c r="AT39" s="6" t="str">
        <f>HYPERLINK("http://www.worldcat.org/oclc/32468780","WorldCat Record")</f>
        <v>WorldCat Record</v>
      </c>
      <c r="AU39" s="3" t="s">
        <v>587</v>
      </c>
      <c r="AV39" s="3" t="s">
        <v>588</v>
      </c>
      <c r="AW39" s="3" t="s">
        <v>589</v>
      </c>
      <c r="AX39" s="3" t="s">
        <v>589</v>
      </c>
      <c r="AY39" s="3" t="s">
        <v>590</v>
      </c>
      <c r="AZ39" s="3" t="s">
        <v>73</v>
      </c>
      <c r="BB39" s="3" t="s">
        <v>591</v>
      </c>
      <c r="BC39" s="3" t="s">
        <v>592</v>
      </c>
      <c r="BD39" s="3" t="s">
        <v>593</v>
      </c>
    </row>
    <row r="40" spans="1:56" ht="41.25" customHeight="1" x14ac:dyDescent="0.25">
      <c r="A40" s="7" t="s">
        <v>58</v>
      </c>
      <c r="B40" s="2" t="s">
        <v>594</v>
      </c>
      <c r="C40" s="2" t="s">
        <v>595</v>
      </c>
      <c r="D40" s="2" t="s">
        <v>596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L40" s="2" t="s">
        <v>597</v>
      </c>
      <c r="M40" s="3" t="s">
        <v>598</v>
      </c>
      <c r="O40" s="3" t="s">
        <v>64</v>
      </c>
      <c r="P40" s="3" t="s">
        <v>65</v>
      </c>
      <c r="R40" s="3" t="s">
        <v>556</v>
      </c>
      <c r="S40" s="4">
        <v>1</v>
      </c>
      <c r="T40" s="4">
        <v>1</v>
      </c>
      <c r="U40" s="5" t="s">
        <v>599</v>
      </c>
      <c r="V40" s="5" t="s">
        <v>599</v>
      </c>
      <c r="W40" s="5" t="s">
        <v>599</v>
      </c>
      <c r="X40" s="5" t="s">
        <v>599</v>
      </c>
      <c r="Y40" s="4">
        <v>63</v>
      </c>
      <c r="Z40" s="4">
        <v>41</v>
      </c>
      <c r="AA40" s="4">
        <v>41</v>
      </c>
      <c r="AB40" s="4">
        <v>1</v>
      </c>
      <c r="AC40" s="4">
        <v>1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HYPERLINK("https://creighton-primo.hosted.exlibrisgroup.com/primo-explore/search?tab=default_tab&amp;search_scope=EVERYTHING&amp;vid=01CRU&amp;lang=en_US&amp;offset=0&amp;query=any,contains,991005338599702656","Catalog Record")</f>
        <v>Catalog Record</v>
      </c>
      <c r="AT40" s="6" t="str">
        <f>HYPERLINK("http://www.worldcat.org/oclc/171614113","WorldCat Record")</f>
        <v>WorldCat Record</v>
      </c>
      <c r="AU40" s="3" t="s">
        <v>600</v>
      </c>
      <c r="AV40" s="3" t="s">
        <v>601</v>
      </c>
      <c r="AW40" s="3" t="s">
        <v>602</v>
      </c>
      <c r="AX40" s="3" t="s">
        <v>602</v>
      </c>
      <c r="AY40" s="3" t="s">
        <v>603</v>
      </c>
      <c r="AZ40" s="3" t="s">
        <v>73</v>
      </c>
      <c r="BB40" s="3" t="s">
        <v>604</v>
      </c>
      <c r="BC40" s="3" t="s">
        <v>605</v>
      </c>
      <c r="BD40" s="3" t="s">
        <v>606</v>
      </c>
    </row>
    <row r="41" spans="1:56" ht="41.25" customHeight="1" x14ac:dyDescent="0.25">
      <c r="A41" s="7" t="s">
        <v>58</v>
      </c>
      <c r="B41" s="2" t="s">
        <v>607</v>
      </c>
      <c r="C41" s="2" t="s">
        <v>608</v>
      </c>
      <c r="D41" s="2" t="s">
        <v>609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610</v>
      </c>
      <c r="L41" s="2" t="s">
        <v>611</v>
      </c>
      <c r="M41" s="3" t="s">
        <v>612</v>
      </c>
      <c r="O41" s="3" t="s">
        <v>64</v>
      </c>
      <c r="P41" s="3" t="s">
        <v>65</v>
      </c>
      <c r="R41" s="3" t="s">
        <v>556</v>
      </c>
      <c r="S41" s="4">
        <v>10</v>
      </c>
      <c r="T41" s="4">
        <v>10</v>
      </c>
      <c r="U41" s="5" t="s">
        <v>613</v>
      </c>
      <c r="V41" s="5" t="s">
        <v>613</v>
      </c>
      <c r="W41" s="5" t="s">
        <v>614</v>
      </c>
      <c r="X41" s="5" t="s">
        <v>614</v>
      </c>
      <c r="Y41" s="4">
        <v>946</v>
      </c>
      <c r="Z41" s="4">
        <v>874</v>
      </c>
      <c r="AA41" s="4">
        <v>915</v>
      </c>
      <c r="AB41" s="4">
        <v>7</v>
      </c>
      <c r="AC41" s="4">
        <v>7</v>
      </c>
      <c r="AD41" s="4">
        <v>16</v>
      </c>
      <c r="AE41" s="4">
        <v>16</v>
      </c>
      <c r="AF41" s="4">
        <v>9</v>
      </c>
      <c r="AG41" s="4">
        <v>9</v>
      </c>
      <c r="AH41" s="4">
        <v>3</v>
      </c>
      <c r="AI41" s="4">
        <v>3</v>
      </c>
      <c r="AJ41" s="4">
        <v>7</v>
      </c>
      <c r="AK41" s="4">
        <v>7</v>
      </c>
      <c r="AL41" s="4">
        <v>2</v>
      </c>
      <c r="AM41" s="4">
        <v>2</v>
      </c>
      <c r="AN41" s="4">
        <v>0</v>
      </c>
      <c r="AO41" s="4">
        <v>0</v>
      </c>
      <c r="AP41" s="3" t="s">
        <v>58</v>
      </c>
      <c r="AQ41" s="3" t="s">
        <v>85</v>
      </c>
      <c r="AR41" s="6" t="str">
        <f>HYPERLINK("http://catalog.hathitrust.org/Record/004112147","HathiTrust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HYPERLINK("https://creighton-primo.hosted.exlibrisgroup.com/primo-explore/search?tab=default_tab&amp;search_scope=EVERYTHING&amp;vid=01CRU&amp;lang=en_US&amp;offset=0&amp;query=any,contains,991003009209702656","Catalog Record")</f>
        <v>Catalog Record</v>
      </c>
      <c r="AT41" s="6" t="str">
        <f>HYPERLINK("http://www.worldcat.org/oclc/40830072","WorldCat Record")</f>
        <v>WorldCat Record</v>
      </c>
      <c r="AU41" s="3" t="s">
        <v>615</v>
      </c>
      <c r="AV41" s="3" t="s">
        <v>616</v>
      </c>
      <c r="AW41" s="3" t="s">
        <v>617</v>
      </c>
      <c r="AX41" s="3" t="s">
        <v>617</v>
      </c>
      <c r="AY41" s="3" t="s">
        <v>618</v>
      </c>
      <c r="AZ41" s="3" t="s">
        <v>73</v>
      </c>
      <c r="BB41" s="3" t="s">
        <v>619</v>
      </c>
      <c r="BC41" s="3" t="s">
        <v>620</v>
      </c>
      <c r="BD41" s="3" t="s">
        <v>621</v>
      </c>
    </row>
    <row r="42" spans="1:56" ht="41.25" customHeight="1" x14ac:dyDescent="0.25">
      <c r="A42" s="7" t="s">
        <v>58</v>
      </c>
      <c r="B42" s="2" t="s">
        <v>622</v>
      </c>
      <c r="C42" s="2" t="s">
        <v>623</v>
      </c>
      <c r="D42" s="2" t="s">
        <v>624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610</v>
      </c>
      <c r="L42" s="2" t="s">
        <v>625</v>
      </c>
      <c r="M42" s="3" t="s">
        <v>626</v>
      </c>
      <c r="O42" s="3" t="s">
        <v>64</v>
      </c>
      <c r="P42" s="3" t="s">
        <v>65</v>
      </c>
      <c r="R42" s="3" t="s">
        <v>556</v>
      </c>
      <c r="S42" s="4">
        <v>18</v>
      </c>
      <c r="T42" s="4">
        <v>18</v>
      </c>
      <c r="U42" s="5" t="s">
        <v>627</v>
      </c>
      <c r="V42" s="5" t="s">
        <v>627</v>
      </c>
      <c r="W42" s="5" t="s">
        <v>628</v>
      </c>
      <c r="X42" s="5" t="s">
        <v>628</v>
      </c>
      <c r="Y42" s="4">
        <v>657</v>
      </c>
      <c r="Z42" s="4">
        <v>597</v>
      </c>
      <c r="AA42" s="4">
        <v>615</v>
      </c>
      <c r="AB42" s="4">
        <v>5</v>
      </c>
      <c r="AC42" s="4">
        <v>5</v>
      </c>
      <c r="AD42" s="4">
        <v>20</v>
      </c>
      <c r="AE42" s="4">
        <v>22</v>
      </c>
      <c r="AF42" s="4">
        <v>8</v>
      </c>
      <c r="AG42" s="4">
        <v>9</v>
      </c>
      <c r="AH42" s="4">
        <v>6</v>
      </c>
      <c r="AI42" s="4">
        <v>7</v>
      </c>
      <c r="AJ42" s="4">
        <v>8</v>
      </c>
      <c r="AK42" s="4">
        <v>8</v>
      </c>
      <c r="AL42" s="4">
        <v>2</v>
      </c>
      <c r="AM42" s="4">
        <v>2</v>
      </c>
      <c r="AN42" s="4">
        <v>2</v>
      </c>
      <c r="AO42" s="4">
        <v>2</v>
      </c>
      <c r="AP42" s="3" t="s">
        <v>58</v>
      </c>
      <c r="AQ42" s="3" t="s">
        <v>85</v>
      </c>
      <c r="AR42" s="6" t="str">
        <f>HYPERLINK("http://catalog.hathitrust.org/Record/002615524","HathiTrust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HYPERLINK("https://creighton-primo.hosted.exlibrisgroup.com/primo-explore/search?tab=default_tab&amp;search_scope=EVERYTHING&amp;vid=01CRU&amp;lang=en_US&amp;offset=0&amp;query=any,contains,991002047379702656","Catalog Record")</f>
        <v>Catalog Record</v>
      </c>
      <c r="AT42" s="6" t="str">
        <f>HYPERLINK("http://www.worldcat.org/oclc/26131704","WorldCat Record")</f>
        <v>WorldCat Record</v>
      </c>
      <c r="AU42" s="3" t="s">
        <v>629</v>
      </c>
      <c r="AV42" s="3" t="s">
        <v>630</v>
      </c>
      <c r="AW42" s="3" t="s">
        <v>631</v>
      </c>
      <c r="AX42" s="3" t="s">
        <v>631</v>
      </c>
      <c r="AY42" s="3" t="s">
        <v>632</v>
      </c>
      <c r="AZ42" s="3" t="s">
        <v>73</v>
      </c>
      <c r="BB42" s="3" t="s">
        <v>633</v>
      </c>
      <c r="BC42" s="3" t="s">
        <v>634</v>
      </c>
      <c r="BD42" s="3" t="s">
        <v>635</v>
      </c>
    </row>
    <row r="43" spans="1:56" ht="41.25" customHeight="1" x14ac:dyDescent="0.25">
      <c r="A43" s="7" t="s">
        <v>58</v>
      </c>
      <c r="B43" s="2" t="s">
        <v>636</v>
      </c>
      <c r="C43" s="2" t="s">
        <v>637</v>
      </c>
      <c r="D43" s="2" t="s">
        <v>638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639</v>
      </c>
      <c r="L43" s="2" t="s">
        <v>640</v>
      </c>
      <c r="M43" s="3" t="s">
        <v>641</v>
      </c>
      <c r="O43" s="3" t="s">
        <v>64</v>
      </c>
      <c r="P43" s="3" t="s">
        <v>373</v>
      </c>
      <c r="R43" s="3" t="s">
        <v>556</v>
      </c>
      <c r="S43" s="4">
        <v>8</v>
      </c>
      <c r="T43" s="4">
        <v>8</v>
      </c>
      <c r="U43" s="5" t="s">
        <v>642</v>
      </c>
      <c r="V43" s="5" t="s">
        <v>642</v>
      </c>
      <c r="W43" s="5" t="s">
        <v>643</v>
      </c>
      <c r="X43" s="5" t="s">
        <v>643</v>
      </c>
      <c r="Y43" s="4">
        <v>1157</v>
      </c>
      <c r="Z43" s="4">
        <v>1045</v>
      </c>
      <c r="AA43" s="4">
        <v>1220</v>
      </c>
      <c r="AB43" s="4">
        <v>9</v>
      </c>
      <c r="AC43" s="4">
        <v>12</v>
      </c>
      <c r="AD43" s="4">
        <v>37</v>
      </c>
      <c r="AE43" s="4">
        <v>44</v>
      </c>
      <c r="AF43" s="4">
        <v>14</v>
      </c>
      <c r="AG43" s="4">
        <v>17</v>
      </c>
      <c r="AH43" s="4">
        <v>8</v>
      </c>
      <c r="AI43" s="4">
        <v>9</v>
      </c>
      <c r="AJ43" s="4">
        <v>14</v>
      </c>
      <c r="AK43" s="4">
        <v>16</v>
      </c>
      <c r="AL43" s="4">
        <v>6</v>
      </c>
      <c r="AM43" s="4">
        <v>8</v>
      </c>
      <c r="AN43" s="4">
        <v>2</v>
      </c>
      <c r="AO43" s="4">
        <v>3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HYPERLINK("https://creighton-primo.hosted.exlibrisgroup.com/primo-explore/search?tab=default_tab&amp;search_scope=EVERYTHING&amp;vid=01CRU&amp;lang=en_US&amp;offset=0&amp;query=any,contains,991003677209702656","Catalog Record")</f>
        <v>Catalog Record</v>
      </c>
      <c r="AT43" s="6" t="str">
        <f>HYPERLINK("http://www.worldcat.org/oclc/48071336","WorldCat Record")</f>
        <v>WorldCat Record</v>
      </c>
      <c r="AU43" s="3" t="s">
        <v>644</v>
      </c>
      <c r="AV43" s="3" t="s">
        <v>645</v>
      </c>
      <c r="AW43" s="3" t="s">
        <v>646</v>
      </c>
      <c r="AX43" s="3" t="s">
        <v>646</v>
      </c>
      <c r="AY43" s="3" t="s">
        <v>647</v>
      </c>
      <c r="AZ43" s="3" t="s">
        <v>73</v>
      </c>
      <c r="BB43" s="3" t="s">
        <v>648</v>
      </c>
      <c r="BC43" s="3" t="s">
        <v>649</v>
      </c>
      <c r="BD43" s="3" t="s">
        <v>650</v>
      </c>
    </row>
    <row r="44" spans="1:56" ht="41.25" customHeight="1" x14ac:dyDescent="0.25">
      <c r="A44" s="7" t="s">
        <v>58</v>
      </c>
      <c r="B44" s="2" t="s">
        <v>651</v>
      </c>
      <c r="C44" s="2" t="s">
        <v>652</v>
      </c>
      <c r="D44" s="2" t="s">
        <v>653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K44" s="2" t="s">
        <v>654</v>
      </c>
      <c r="L44" s="2" t="s">
        <v>655</v>
      </c>
      <c r="M44" s="3" t="s">
        <v>656</v>
      </c>
      <c r="O44" s="3" t="s">
        <v>64</v>
      </c>
      <c r="P44" s="3" t="s">
        <v>65</v>
      </c>
      <c r="R44" s="3" t="s">
        <v>556</v>
      </c>
      <c r="S44" s="4">
        <v>18</v>
      </c>
      <c r="T44" s="4">
        <v>18</v>
      </c>
      <c r="U44" s="5" t="s">
        <v>657</v>
      </c>
      <c r="V44" s="5" t="s">
        <v>657</v>
      </c>
      <c r="W44" s="5" t="s">
        <v>658</v>
      </c>
      <c r="X44" s="5" t="s">
        <v>658</v>
      </c>
      <c r="Y44" s="4">
        <v>740</v>
      </c>
      <c r="Z44" s="4">
        <v>685</v>
      </c>
      <c r="AA44" s="4">
        <v>825</v>
      </c>
      <c r="AB44" s="4">
        <v>6</v>
      </c>
      <c r="AC44" s="4">
        <v>6</v>
      </c>
      <c r="AD44" s="4">
        <v>11</v>
      </c>
      <c r="AE44" s="4">
        <v>11</v>
      </c>
      <c r="AF44" s="4">
        <v>6</v>
      </c>
      <c r="AG44" s="4">
        <v>6</v>
      </c>
      <c r="AH44" s="4">
        <v>1</v>
      </c>
      <c r="AI44" s="4">
        <v>1</v>
      </c>
      <c r="AJ44" s="4">
        <v>2</v>
      </c>
      <c r="AK44" s="4">
        <v>2</v>
      </c>
      <c r="AL44" s="4">
        <v>3</v>
      </c>
      <c r="AM44" s="4">
        <v>3</v>
      </c>
      <c r="AN44" s="4">
        <v>0</v>
      </c>
      <c r="AO44" s="4">
        <v>0</v>
      </c>
      <c r="AP44" s="3" t="s">
        <v>58</v>
      </c>
      <c r="AQ44" s="3" t="s">
        <v>58</v>
      </c>
      <c r="AS44" s="6" t="str">
        <f>HYPERLINK("https://creighton-primo.hosted.exlibrisgroup.com/primo-explore/search?tab=default_tab&amp;search_scope=EVERYTHING&amp;vid=01CRU&amp;lang=en_US&amp;offset=0&amp;query=any,contains,991003347799702656","Catalog Record")</f>
        <v>Catalog Record</v>
      </c>
      <c r="AT44" s="6" t="str">
        <f>HYPERLINK("http://www.worldcat.org/oclc/43323763","WorldCat Record")</f>
        <v>WorldCat Record</v>
      </c>
      <c r="AU44" s="3" t="s">
        <v>659</v>
      </c>
      <c r="AV44" s="3" t="s">
        <v>660</v>
      </c>
      <c r="AW44" s="3" t="s">
        <v>661</v>
      </c>
      <c r="AX44" s="3" t="s">
        <v>661</v>
      </c>
      <c r="AY44" s="3" t="s">
        <v>662</v>
      </c>
      <c r="AZ44" s="3" t="s">
        <v>73</v>
      </c>
      <c r="BB44" s="3" t="s">
        <v>663</v>
      </c>
      <c r="BC44" s="3" t="s">
        <v>664</v>
      </c>
      <c r="BD44" s="3" t="s">
        <v>665</v>
      </c>
    </row>
    <row r="45" spans="1:56" ht="41.25" customHeight="1" x14ac:dyDescent="0.25">
      <c r="A45" s="7" t="s">
        <v>58</v>
      </c>
      <c r="B45" s="2" t="s">
        <v>666</v>
      </c>
      <c r="C45" s="2" t="s">
        <v>667</v>
      </c>
      <c r="D45" s="2" t="s">
        <v>668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L45" s="2" t="s">
        <v>669</v>
      </c>
      <c r="M45" s="3" t="s">
        <v>372</v>
      </c>
      <c r="O45" s="3" t="s">
        <v>64</v>
      </c>
      <c r="P45" s="3" t="s">
        <v>670</v>
      </c>
      <c r="R45" s="3" t="s">
        <v>556</v>
      </c>
      <c r="S45" s="4">
        <v>1</v>
      </c>
      <c r="T45" s="4">
        <v>1</v>
      </c>
      <c r="U45" s="5" t="s">
        <v>671</v>
      </c>
      <c r="V45" s="5" t="s">
        <v>671</v>
      </c>
      <c r="W45" s="5" t="s">
        <v>672</v>
      </c>
      <c r="X45" s="5" t="s">
        <v>672</v>
      </c>
      <c r="Y45" s="4">
        <v>744</v>
      </c>
      <c r="Z45" s="4">
        <v>727</v>
      </c>
      <c r="AA45" s="4">
        <v>729</v>
      </c>
      <c r="AB45" s="4">
        <v>5</v>
      </c>
      <c r="AC45" s="4">
        <v>5</v>
      </c>
      <c r="AD45" s="4">
        <v>32</v>
      </c>
      <c r="AE45" s="4">
        <v>32</v>
      </c>
      <c r="AF45" s="4">
        <v>13</v>
      </c>
      <c r="AG45" s="4">
        <v>13</v>
      </c>
      <c r="AH45" s="4">
        <v>8</v>
      </c>
      <c r="AI45" s="4">
        <v>8</v>
      </c>
      <c r="AJ45" s="4">
        <v>15</v>
      </c>
      <c r="AK45" s="4">
        <v>15</v>
      </c>
      <c r="AL45" s="4">
        <v>4</v>
      </c>
      <c r="AM45" s="4">
        <v>4</v>
      </c>
      <c r="AN45" s="4">
        <v>0</v>
      </c>
      <c r="AO45" s="4">
        <v>0</v>
      </c>
      <c r="AP45" s="3" t="s">
        <v>58</v>
      </c>
      <c r="AQ45" s="3" t="s">
        <v>85</v>
      </c>
      <c r="AR45" s="6" t="str">
        <f>HYPERLINK("http://catalog.hathitrust.org/Record/002208785","HathiTrust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HYPERLINK("https://creighton-primo.hosted.exlibrisgroup.com/primo-explore/search?tab=default_tab&amp;search_scope=EVERYTHING&amp;vid=01CRU&amp;lang=en_US&amp;offset=0&amp;query=any,contains,991001737199702656","Catalog Record")</f>
        <v>Catalog Record</v>
      </c>
      <c r="AT45" s="6" t="str">
        <f>HYPERLINK("http://www.worldcat.org/oclc/21973549","WorldCat Record")</f>
        <v>WorldCat Record</v>
      </c>
      <c r="AU45" s="3" t="s">
        <v>673</v>
      </c>
      <c r="AV45" s="3" t="s">
        <v>674</v>
      </c>
      <c r="AW45" s="3" t="s">
        <v>675</v>
      </c>
      <c r="AX45" s="3" t="s">
        <v>675</v>
      </c>
      <c r="AY45" s="3" t="s">
        <v>676</v>
      </c>
      <c r="AZ45" s="3" t="s">
        <v>73</v>
      </c>
      <c r="BB45" s="3" t="s">
        <v>677</v>
      </c>
      <c r="BC45" s="3" t="s">
        <v>678</v>
      </c>
      <c r="BD45" s="3" t="s">
        <v>679</v>
      </c>
    </row>
    <row r="46" spans="1:56" ht="41.25" customHeight="1" x14ac:dyDescent="0.25">
      <c r="A46" s="7" t="s">
        <v>58</v>
      </c>
      <c r="B46" s="2" t="s">
        <v>680</v>
      </c>
      <c r="C46" s="2" t="s">
        <v>681</v>
      </c>
      <c r="D46" s="2" t="s">
        <v>682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683</v>
      </c>
      <c r="L46" s="2" t="s">
        <v>684</v>
      </c>
      <c r="M46" s="3" t="s">
        <v>685</v>
      </c>
      <c r="O46" s="3" t="s">
        <v>64</v>
      </c>
      <c r="P46" s="3" t="s">
        <v>388</v>
      </c>
      <c r="R46" s="3" t="s">
        <v>556</v>
      </c>
      <c r="S46" s="4">
        <v>5</v>
      </c>
      <c r="T46" s="4">
        <v>5</v>
      </c>
      <c r="U46" s="5" t="s">
        <v>686</v>
      </c>
      <c r="V46" s="5" t="s">
        <v>686</v>
      </c>
      <c r="W46" s="5" t="s">
        <v>687</v>
      </c>
      <c r="X46" s="5" t="s">
        <v>687</v>
      </c>
      <c r="Y46" s="4">
        <v>446</v>
      </c>
      <c r="Z46" s="4">
        <v>358</v>
      </c>
      <c r="AA46" s="4">
        <v>365</v>
      </c>
      <c r="AB46" s="4">
        <v>4</v>
      </c>
      <c r="AC46" s="4">
        <v>4</v>
      </c>
      <c r="AD46" s="4">
        <v>11</v>
      </c>
      <c r="AE46" s="4">
        <v>11</v>
      </c>
      <c r="AF46" s="4">
        <v>3</v>
      </c>
      <c r="AG46" s="4">
        <v>3</v>
      </c>
      <c r="AH46" s="4">
        <v>2</v>
      </c>
      <c r="AI46" s="4">
        <v>2</v>
      </c>
      <c r="AJ46" s="4">
        <v>6</v>
      </c>
      <c r="AK46" s="4">
        <v>6</v>
      </c>
      <c r="AL46" s="4">
        <v>3</v>
      </c>
      <c r="AM46" s="4">
        <v>3</v>
      </c>
      <c r="AN46" s="4">
        <v>0</v>
      </c>
      <c r="AO46" s="4">
        <v>0</v>
      </c>
      <c r="AP46" s="3" t="s">
        <v>58</v>
      </c>
      <c r="AQ46" s="3" t="s">
        <v>85</v>
      </c>
      <c r="AR46" s="6" t="str">
        <f>HYPERLINK("http://catalog.hathitrust.org/Record/001043334","HathiTrust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HYPERLINK("https://creighton-primo.hosted.exlibrisgroup.com/primo-explore/search?tab=default_tab&amp;search_scope=EVERYTHING&amp;vid=01CRU&amp;lang=en_US&amp;offset=0&amp;query=any,contains,991003757149702656","Catalog Record")</f>
        <v>Catalog Record</v>
      </c>
      <c r="AT46" s="6" t="str">
        <f>HYPERLINK("http://www.worldcat.org/oclc/1439990","WorldCat Record")</f>
        <v>WorldCat Record</v>
      </c>
      <c r="AU46" s="3" t="s">
        <v>688</v>
      </c>
      <c r="AV46" s="3" t="s">
        <v>689</v>
      </c>
      <c r="AW46" s="3" t="s">
        <v>690</v>
      </c>
      <c r="AX46" s="3" t="s">
        <v>690</v>
      </c>
      <c r="AY46" s="3" t="s">
        <v>691</v>
      </c>
      <c r="AZ46" s="3" t="s">
        <v>73</v>
      </c>
      <c r="BC46" s="3" t="s">
        <v>692</v>
      </c>
      <c r="BD46" s="3" t="s">
        <v>693</v>
      </c>
    </row>
    <row r="47" spans="1:56" ht="41.25" customHeight="1" x14ac:dyDescent="0.25">
      <c r="A47" s="7" t="s">
        <v>58</v>
      </c>
      <c r="B47" s="2" t="s">
        <v>694</v>
      </c>
      <c r="C47" s="2" t="s">
        <v>695</v>
      </c>
      <c r="D47" s="2" t="s">
        <v>696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L47" s="2" t="s">
        <v>697</v>
      </c>
      <c r="M47" s="3" t="s">
        <v>403</v>
      </c>
      <c r="O47" s="3" t="s">
        <v>64</v>
      </c>
      <c r="P47" s="3" t="s">
        <v>698</v>
      </c>
      <c r="Q47" s="2" t="s">
        <v>699</v>
      </c>
      <c r="R47" s="3" t="s">
        <v>556</v>
      </c>
      <c r="S47" s="4">
        <v>4</v>
      </c>
      <c r="T47" s="4">
        <v>4</v>
      </c>
      <c r="U47" s="5" t="s">
        <v>700</v>
      </c>
      <c r="V47" s="5" t="s">
        <v>700</v>
      </c>
      <c r="W47" s="5" t="s">
        <v>701</v>
      </c>
      <c r="X47" s="5" t="s">
        <v>701</v>
      </c>
      <c r="Y47" s="4">
        <v>388</v>
      </c>
      <c r="Z47" s="4">
        <v>309</v>
      </c>
      <c r="AA47" s="4">
        <v>316</v>
      </c>
      <c r="AB47" s="4">
        <v>4</v>
      </c>
      <c r="AC47" s="4">
        <v>4</v>
      </c>
      <c r="AD47" s="4">
        <v>9</v>
      </c>
      <c r="AE47" s="4">
        <v>9</v>
      </c>
      <c r="AF47" s="4">
        <v>3</v>
      </c>
      <c r="AG47" s="4">
        <v>3</v>
      </c>
      <c r="AH47" s="4">
        <v>2</v>
      </c>
      <c r="AI47" s="4">
        <v>2</v>
      </c>
      <c r="AJ47" s="4">
        <v>3</v>
      </c>
      <c r="AK47" s="4">
        <v>3</v>
      </c>
      <c r="AL47" s="4">
        <v>3</v>
      </c>
      <c r="AM47" s="4">
        <v>3</v>
      </c>
      <c r="AN47" s="4">
        <v>0</v>
      </c>
      <c r="AO47" s="4">
        <v>0</v>
      </c>
      <c r="AP47" s="3" t="s">
        <v>58</v>
      </c>
      <c r="AQ47" s="3" t="s">
        <v>85</v>
      </c>
      <c r="AR47" s="6" t="str">
        <f>HYPERLINK("http://catalog.hathitrust.org/Record/000024303","HathiTrust Record")</f>
        <v>HathiTrust Record</v>
      </c>
      <c r="AS47" s="6" t="str">
        <f>HYPERLINK("https://creighton-primo.hosted.exlibrisgroup.com/primo-explore/search?tab=default_tab&amp;search_scope=EVERYTHING&amp;vid=01CRU&amp;lang=en_US&amp;offset=0&amp;query=any,contains,991004850209702656","Catalog Record")</f>
        <v>Catalog Record</v>
      </c>
      <c r="AT47" s="6" t="str">
        <f>HYPERLINK("http://www.worldcat.org/oclc/5606822","WorldCat Record")</f>
        <v>WorldCat Record</v>
      </c>
      <c r="AU47" s="3" t="s">
        <v>702</v>
      </c>
      <c r="AV47" s="3" t="s">
        <v>703</v>
      </c>
      <c r="AW47" s="3" t="s">
        <v>704</v>
      </c>
      <c r="AX47" s="3" t="s">
        <v>704</v>
      </c>
      <c r="AY47" s="3" t="s">
        <v>705</v>
      </c>
      <c r="AZ47" s="3" t="s">
        <v>73</v>
      </c>
      <c r="BB47" s="3" t="s">
        <v>706</v>
      </c>
      <c r="BC47" s="3" t="s">
        <v>707</v>
      </c>
      <c r="BD47" s="3" t="s">
        <v>708</v>
      </c>
    </row>
    <row r="48" spans="1:56" ht="41.25" customHeight="1" x14ac:dyDescent="0.25">
      <c r="A48" s="7" t="s">
        <v>58</v>
      </c>
      <c r="B48" s="2" t="s">
        <v>709</v>
      </c>
      <c r="C48" s="2" t="s">
        <v>710</v>
      </c>
      <c r="D48" s="2" t="s">
        <v>711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K48" s="2" t="s">
        <v>712</v>
      </c>
      <c r="L48" s="2" t="s">
        <v>713</v>
      </c>
      <c r="M48" s="3" t="s">
        <v>543</v>
      </c>
      <c r="O48" s="3" t="s">
        <v>64</v>
      </c>
      <c r="P48" s="3" t="s">
        <v>231</v>
      </c>
      <c r="R48" s="3" t="s">
        <v>556</v>
      </c>
      <c r="S48" s="4">
        <v>4</v>
      </c>
      <c r="T48" s="4">
        <v>4</v>
      </c>
      <c r="U48" s="5" t="s">
        <v>714</v>
      </c>
      <c r="V48" s="5" t="s">
        <v>714</v>
      </c>
      <c r="W48" s="5" t="s">
        <v>715</v>
      </c>
      <c r="X48" s="5" t="s">
        <v>715</v>
      </c>
      <c r="Y48" s="4">
        <v>71</v>
      </c>
      <c r="Z48" s="4">
        <v>71</v>
      </c>
      <c r="AA48" s="4">
        <v>1242</v>
      </c>
      <c r="AB48" s="4">
        <v>2</v>
      </c>
      <c r="AC48" s="4">
        <v>16</v>
      </c>
      <c r="AD48" s="4">
        <v>5</v>
      </c>
      <c r="AE48" s="4">
        <v>34</v>
      </c>
      <c r="AF48" s="4">
        <v>3</v>
      </c>
      <c r="AG48" s="4">
        <v>11</v>
      </c>
      <c r="AH48" s="4">
        <v>2</v>
      </c>
      <c r="AI48" s="4">
        <v>6</v>
      </c>
      <c r="AJ48" s="4">
        <v>1</v>
      </c>
      <c r="AK48" s="4">
        <v>12</v>
      </c>
      <c r="AL48" s="4">
        <v>1</v>
      </c>
      <c r="AM48" s="4">
        <v>12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HYPERLINK("https://creighton-primo.hosted.exlibrisgroup.com/primo-explore/search?tab=default_tab&amp;search_scope=EVERYTHING&amp;vid=01CRU&amp;lang=en_US&amp;offset=0&amp;query=any,contains,991003974069702656","Catalog Record")</f>
        <v>Catalog Record</v>
      </c>
      <c r="AT48" s="6" t="str">
        <f>HYPERLINK("http://www.worldcat.org/oclc/1997352","WorldCat Record")</f>
        <v>WorldCat Record</v>
      </c>
      <c r="AU48" s="3" t="s">
        <v>716</v>
      </c>
      <c r="AV48" s="3" t="s">
        <v>717</v>
      </c>
      <c r="AW48" s="3" t="s">
        <v>718</v>
      </c>
      <c r="AX48" s="3" t="s">
        <v>718</v>
      </c>
      <c r="AY48" s="3" t="s">
        <v>719</v>
      </c>
      <c r="AZ48" s="3" t="s">
        <v>73</v>
      </c>
      <c r="BC48" s="3" t="s">
        <v>720</v>
      </c>
      <c r="BD48" s="3" t="s">
        <v>721</v>
      </c>
    </row>
    <row r="49" spans="1:56" ht="41.25" customHeight="1" x14ac:dyDescent="0.25">
      <c r="A49" s="7" t="s">
        <v>58</v>
      </c>
      <c r="B49" s="2" t="s">
        <v>722</v>
      </c>
      <c r="C49" s="2" t="s">
        <v>723</v>
      </c>
      <c r="D49" s="2" t="s">
        <v>724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725</v>
      </c>
      <c r="L49" s="2" t="s">
        <v>726</v>
      </c>
      <c r="M49" s="3" t="s">
        <v>176</v>
      </c>
      <c r="O49" s="3" t="s">
        <v>64</v>
      </c>
      <c r="P49" s="3" t="s">
        <v>65</v>
      </c>
      <c r="R49" s="3" t="s">
        <v>556</v>
      </c>
      <c r="S49" s="4">
        <v>5</v>
      </c>
      <c r="T49" s="4">
        <v>5</v>
      </c>
      <c r="U49" s="5" t="s">
        <v>727</v>
      </c>
      <c r="V49" s="5" t="s">
        <v>727</v>
      </c>
      <c r="W49" s="5" t="s">
        <v>728</v>
      </c>
      <c r="X49" s="5" t="s">
        <v>728</v>
      </c>
      <c r="Y49" s="4">
        <v>835</v>
      </c>
      <c r="Z49" s="4">
        <v>743</v>
      </c>
      <c r="AA49" s="4">
        <v>764</v>
      </c>
      <c r="AB49" s="4">
        <v>8</v>
      </c>
      <c r="AC49" s="4">
        <v>8</v>
      </c>
      <c r="AD49" s="4">
        <v>19</v>
      </c>
      <c r="AE49" s="4">
        <v>20</v>
      </c>
      <c r="AF49" s="4">
        <v>9</v>
      </c>
      <c r="AG49" s="4">
        <v>10</v>
      </c>
      <c r="AH49" s="4">
        <v>2</v>
      </c>
      <c r="AI49" s="4">
        <v>3</v>
      </c>
      <c r="AJ49" s="4">
        <v>3</v>
      </c>
      <c r="AK49" s="4">
        <v>3</v>
      </c>
      <c r="AL49" s="4">
        <v>6</v>
      </c>
      <c r="AM49" s="4">
        <v>6</v>
      </c>
      <c r="AN49" s="4">
        <v>0</v>
      </c>
      <c r="AO49" s="4">
        <v>0</v>
      </c>
      <c r="AP49" s="3" t="s">
        <v>58</v>
      </c>
      <c r="AQ49" s="3" t="s">
        <v>85</v>
      </c>
      <c r="AR49" s="6" t="str">
        <f>HYPERLINK("http://catalog.hathitrust.org/Record/001471688","HathiTrust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HYPERLINK("https://creighton-primo.hosted.exlibrisgroup.com/primo-explore/search?tab=default_tab&amp;search_scope=EVERYTHING&amp;vid=01CRU&amp;lang=en_US&amp;offset=0&amp;query=any,contains,991000499389702656","Catalog Record")</f>
        <v>Catalog Record</v>
      </c>
      <c r="AT49" s="6" t="str">
        <f>HYPERLINK("http://www.worldcat.org/oclc/81067","WorldCat Record")</f>
        <v>WorldCat Record</v>
      </c>
      <c r="AU49" s="3" t="s">
        <v>729</v>
      </c>
      <c r="AV49" s="3" t="s">
        <v>730</v>
      </c>
      <c r="AW49" s="3" t="s">
        <v>731</v>
      </c>
      <c r="AX49" s="3" t="s">
        <v>731</v>
      </c>
      <c r="AY49" s="3" t="s">
        <v>732</v>
      </c>
      <c r="AZ49" s="3" t="s">
        <v>73</v>
      </c>
      <c r="BB49" s="3" t="s">
        <v>733</v>
      </c>
      <c r="BC49" s="3" t="s">
        <v>734</v>
      </c>
      <c r="BD49" s="3" t="s">
        <v>735</v>
      </c>
    </row>
    <row r="50" spans="1:56" ht="41.25" customHeight="1" x14ac:dyDescent="0.25">
      <c r="A50" s="7" t="s">
        <v>58</v>
      </c>
      <c r="B50" s="2" t="s">
        <v>736</v>
      </c>
      <c r="C50" s="2" t="s">
        <v>737</v>
      </c>
      <c r="D50" s="2" t="s">
        <v>738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739</v>
      </c>
      <c r="L50" s="2" t="s">
        <v>740</v>
      </c>
      <c r="M50" s="3" t="s">
        <v>543</v>
      </c>
      <c r="O50" s="3" t="s">
        <v>64</v>
      </c>
      <c r="P50" s="3" t="s">
        <v>65</v>
      </c>
      <c r="R50" s="3" t="s">
        <v>556</v>
      </c>
      <c r="S50" s="4">
        <v>2</v>
      </c>
      <c r="T50" s="4">
        <v>2</v>
      </c>
      <c r="U50" s="5" t="s">
        <v>741</v>
      </c>
      <c r="V50" s="5" t="s">
        <v>741</v>
      </c>
      <c r="W50" s="5" t="s">
        <v>742</v>
      </c>
      <c r="X50" s="5" t="s">
        <v>742</v>
      </c>
      <c r="Y50" s="4">
        <v>797</v>
      </c>
      <c r="Z50" s="4">
        <v>695</v>
      </c>
      <c r="AA50" s="4">
        <v>736</v>
      </c>
      <c r="AB50" s="4">
        <v>6</v>
      </c>
      <c r="AC50" s="4">
        <v>6</v>
      </c>
      <c r="AD50" s="4">
        <v>13</v>
      </c>
      <c r="AE50" s="4">
        <v>13</v>
      </c>
      <c r="AF50" s="4">
        <v>5</v>
      </c>
      <c r="AG50" s="4">
        <v>5</v>
      </c>
      <c r="AH50" s="4">
        <v>2</v>
      </c>
      <c r="AI50" s="4">
        <v>2</v>
      </c>
      <c r="AJ50" s="4">
        <v>2</v>
      </c>
      <c r="AK50" s="4">
        <v>2</v>
      </c>
      <c r="AL50" s="4">
        <v>5</v>
      </c>
      <c r="AM50" s="4">
        <v>5</v>
      </c>
      <c r="AN50" s="4">
        <v>0</v>
      </c>
      <c r="AO50" s="4">
        <v>0</v>
      </c>
      <c r="AP50" s="3" t="s">
        <v>58</v>
      </c>
      <c r="AQ50" s="3" t="s">
        <v>85</v>
      </c>
      <c r="AR50" s="6" t="str">
        <f>HYPERLINK("http://catalog.hathitrust.org/Record/000031456","HathiTrust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HYPERLINK("https://creighton-primo.hosted.exlibrisgroup.com/primo-explore/search?tab=default_tab&amp;search_scope=EVERYTHING&amp;vid=01CRU&amp;lang=en_US&amp;offset=0&amp;query=any,contains,991003671769702656","Catalog Record")</f>
        <v>Catalog Record</v>
      </c>
      <c r="AT50" s="6" t="str">
        <f>HYPERLINK("http://www.worldcat.org/oclc/1289015","WorldCat Record")</f>
        <v>WorldCat Record</v>
      </c>
      <c r="AU50" s="3" t="s">
        <v>743</v>
      </c>
      <c r="AV50" s="3" t="s">
        <v>744</v>
      </c>
      <c r="AW50" s="3" t="s">
        <v>745</v>
      </c>
      <c r="AX50" s="3" t="s">
        <v>745</v>
      </c>
      <c r="AY50" s="3" t="s">
        <v>746</v>
      </c>
      <c r="AZ50" s="3" t="s">
        <v>73</v>
      </c>
      <c r="BC50" s="3" t="s">
        <v>747</v>
      </c>
      <c r="BD50" s="3" t="s">
        <v>748</v>
      </c>
    </row>
    <row r="51" spans="1:56" ht="41.25" customHeight="1" x14ac:dyDescent="0.25">
      <c r="A51" s="7" t="s">
        <v>58</v>
      </c>
      <c r="B51" s="2" t="s">
        <v>749</v>
      </c>
      <c r="C51" s="2" t="s">
        <v>750</v>
      </c>
      <c r="D51" s="2" t="s">
        <v>751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K51" s="2" t="s">
        <v>752</v>
      </c>
      <c r="L51" s="2" t="s">
        <v>753</v>
      </c>
      <c r="M51" s="3" t="s">
        <v>754</v>
      </c>
      <c r="O51" s="3" t="s">
        <v>64</v>
      </c>
      <c r="P51" s="3" t="s">
        <v>755</v>
      </c>
      <c r="R51" s="3" t="s">
        <v>556</v>
      </c>
      <c r="S51" s="4">
        <v>2</v>
      </c>
      <c r="T51" s="4">
        <v>2</v>
      </c>
      <c r="U51" s="5" t="s">
        <v>756</v>
      </c>
      <c r="V51" s="5" t="s">
        <v>756</v>
      </c>
      <c r="W51" s="5" t="s">
        <v>757</v>
      </c>
      <c r="X51" s="5" t="s">
        <v>757</v>
      </c>
      <c r="Y51" s="4">
        <v>679</v>
      </c>
      <c r="Z51" s="4">
        <v>608</v>
      </c>
      <c r="AA51" s="4">
        <v>883</v>
      </c>
      <c r="AB51" s="4">
        <v>8</v>
      </c>
      <c r="AC51" s="4">
        <v>8</v>
      </c>
      <c r="AD51" s="4">
        <v>15</v>
      </c>
      <c r="AE51" s="4">
        <v>18</v>
      </c>
      <c r="AF51" s="4">
        <v>7</v>
      </c>
      <c r="AG51" s="4">
        <v>8</v>
      </c>
      <c r="AH51" s="4">
        <v>1</v>
      </c>
      <c r="AI51" s="4">
        <v>2</v>
      </c>
      <c r="AJ51" s="4">
        <v>2</v>
      </c>
      <c r="AK51" s="4">
        <v>4</v>
      </c>
      <c r="AL51" s="4">
        <v>7</v>
      </c>
      <c r="AM51" s="4">
        <v>7</v>
      </c>
      <c r="AN51" s="4">
        <v>0</v>
      </c>
      <c r="AO51" s="4">
        <v>0</v>
      </c>
      <c r="AP51" s="3" t="s">
        <v>58</v>
      </c>
      <c r="AQ51" s="3" t="s">
        <v>85</v>
      </c>
      <c r="AR51" s="6" t="str">
        <f>HYPERLINK("http://catalog.hathitrust.org/Record/000350464","HathiTrust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HYPERLINK("https://creighton-primo.hosted.exlibrisgroup.com/primo-explore/search?tab=default_tab&amp;search_scope=EVERYTHING&amp;vid=01CRU&amp;lang=en_US&amp;offset=0&amp;query=any,contains,991000242139702656","Catalog Record")</f>
        <v>Catalog Record</v>
      </c>
      <c r="AT51" s="6" t="str">
        <f>HYPERLINK("http://www.worldcat.org/oclc/9685292","WorldCat Record")</f>
        <v>WorldCat Record</v>
      </c>
      <c r="AU51" s="3" t="s">
        <v>758</v>
      </c>
      <c r="AV51" s="3" t="s">
        <v>759</v>
      </c>
      <c r="AW51" s="3" t="s">
        <v>760</v>
      </c>
      <c r="AX51" s="3" t="s">
        <v>760</v>
      </c>
      <c r="AY51" s="3" t="s">
        <v>761</v>
      </c>
      <c r="AZ51" s="3" t="s">
        <v>73</v>
      </c>
      <c r="BB51" s="3" t="s">
        <v>762</v>
      </c>
      <c r="BC51" s="3" t="s">
        <v>763</v>
      </c>
      <c r="BD51" s="3" t="s">
        <v>764</v>
      </c>
    </row>
    <row r="52" spans="1:56" ht="41.25" customHeight="1" x14ac:dyDescent="0.25">
      <c r="A52" s="7" t="s">
        <v>58</v>
      </c>
      <c r="B52" s="2" t="s">
        <v>765</v>
      </c>
      <c r="C52" s="2" t="s">
        <v>766</v>
      </c>
      <c r="D52" s="2" t="s">
        <v>767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768</v>
      </c>
      <c r="L52" s="2" t="s">
        <v>769</v>
      </c>
      <c r="M52" s="3" t="s">
        <v>612</v>
      </c>
      <c r="O52" s="3" t="s">
        <v>64</v>
      </c>
      <c r="P52" s="3" t="s">
        <v>670</v>
      </c>
      <c r="Q52" s="2" t="s">
        <v>770</v>
      </c>
      <c r="R52" s="3" t="s">
        <v>771</v>
      </c>
      <c r="S52" s="4">
        <v>1</v>
      </c>
      <c r="T52" s="4">
        <v>1</v>
      </c>
      <c r="U52" s="5" t="s">
        <v>772</v>
      </c>
      <c r="V52" s="5" t="s">
        <v>772</v>
      </c>
      <c r="W52" s="5" t="s">
        <v>773</v>
      </c>
      <c r="X52" s="5" t="s">
        <v>773</v>
      </c>
      <c r="Y52" s="4">
        <v>484</v>
      </c>
      <c r="Z52" s="4">
        <v>414</v>
      </c>
      <c r="AA52" s="4">
        <v>418</v>
      </c>
      <c r="AB52" s="4">
        <v>4</v>
      </c>
      <c r="AC52" s="4">
        <v>4</v>
      </c>
      <c r="AD52" s="4">
        <v>22</v>
      </c>
      <c r="AE52" s="4">
        <v>22</v>
      </c>
      <c r="AF52" s="4">
        <v>8</v>
      </c>
      <c r="AG52" s="4">
        <v>8</v>
      </c>
      <c r="AH52" s="4">
        <v>4</v>
      </c>
      <c r="AI52" s="4">
        <v>4</v>
      </c>
      <c r="AJ52" s="4">
        <v>9</v>
      </c>
      <c r="AK52" s="4">
        <v>9</v>
      </c>
      <c r="AL52" s="4">
        <v>3</v>
      </c>
      <c r="AM52" s="4">
        <v>3</v>
      </c>
      <c r="AN52" s="4">
        <v>2</v>
      </c>
      <c r="AO52" s="4">
        <v>2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HYPERLINK("https://creighton-primo.hosted.exlibrisgroup.com/primo-explore/search?tab=default_tab&amp;search_scope=EVERYTHING&amp;vid=01CRU&amp;lang=en_US&amp;offset=0&amp;query=any,contains,991003051409702656","Catalog Record")</f>
        <v>Catalog Record</v>
      </c>
      <c r="AT52" s="6" t="str">
        <f>HYPERLINK("http://www.worldcat.org/oclc/43074819","WorldCat Record")</f>
        <v>WorldCat Record</v>
      </c>
      <c r="AU52" s="3" t="s">
        <v>774</v>
      </c>
      <c r="AV52" s="3" t="s">
        <v>775</v>
      </c>
      <c r="AW52" s="3" t="s">
        <v>776</v>
      </c>
      <c r="AX52" s="3" t="s">
        <v>776</v>
      </c>
      <c r="AY52" s="3" t="s">
        <v>777</v>
      </c>
      <c r="AZ52" s="3" t="s">
        <v>73</v>
      </c>
      <c r="BB52" s="3" t="s">
        <v>778</v>
      </c>
      <c r="BC52" s="3" t="s">
        <v>779</v>
      </c>
      <c r="BD52" s="3" t="s">
        <v>780</v>
      </c>
    </row>
    <row r="53" spans="1:56" ht="41.25" customHeight="1" x14ac:dyDescent="0.25">
      <c r="A53" s="7" t="s">
        <v>58</v>
      </c>
      <c r="B53" s="2" t="s">
        <v>781</v>
      </c>
      <c r="C53" s="2" t="s">
        <v>782</v>
      </c>
      <c r="D53" s="2" t="s">
        <v>783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L53" s="2" t="s">
        <v>784</v>
      </c>
      <c r="M53" s="3" t="s">
        <v>582</v>
      </c>
      <c r="O53" s="3" t="s">
        <v>64</v>
      </c>
      <c r="P53" s="3" t="s">
        <v>65</v>
      </c>
      <c r="R53" s="3" t="s">
        <v>771</v>
      </c>
      <c r="S53" s="4">
        <v>7</v>
      </c>
      <c r="T53" s="4">
        <v>7</v>
      </c>
      <c r="U53" s="5" t="s">
        <v>772</v>
      </c>
      <c r="V53" s="5" t="s">
        <v>772</v>
      </c>
      <c r="W53" s="5" t="s">
        <v>785</v>
      </c>
      <c r="X53" s="5" t="s">
        <v>785</v>
      </c>
      <c r="Y53" s="4">
        <v>15</v>
      </c>
      <c r="Z53" s="4">
        <v>15</v>
      </c>
      <c r="AA53" s="4">
        <v>15</v>
      </c>
      <c r="AB53" s="4">
        <v>1</v>
      </c>
      <c r="AC53" s="4">
        <v>1</v>
      </c>
      <c r="AD53" s="4">
        <v>1</v>
      </c>
      <c r="AE53" s="4">
        <v>1</v>
      </c>
      <c r="AF53" s="4">
        <v>0</v>
      </c>
      <c r="AG53" s="4">
        <v>0</v>
      </c>
      <c r="AH53" s="4">
        <v>0</v>
      </c>
      <c r="AI53" s="4">
        <v>0</v>
      </c>
      <c r="AJ53" s="4">
        <v>1</v>
      </c>
      <c r="AK53" s="4">
        <v>1</v>
      </c>
      <c r="AL53" s="4">
        <v>0</v>
      </c>
      <c r="AM53" s="4">
        <v>0</v>
      </c>
      <c r="AN53" s="4">
        <v>0</v>
      </c>
      <c r="AO53" s="4">
        <v>0</v>
      </c>
      <c r="AP53" s="3" t="s">
        <v>58</v>
      </c>
      <c r="AQ53" s="3" t="s">
        <v>58</v>
      </c>
      <c r="AS53" s="6" t="str">
        <f>HYPERLINK("https://creighton-primo.hosted.exlibrisgroup.com/primo-explore/search?tab=default_tab&amp;search_scope=EVERYTHING&amp;vid=01CRU&amp;lang=en_US&amp;offset=0&amp;query=any,contains,991002620189702656","Catalog Record")</f>
        <v>Catalog Record</v>
      </c>
      <c r="AT53" s="6" t="str">
        <f>HYPERLINK("http://www.worldcat.org/oclc/34326590","WorldCat Record")</f>
        <v>WorldCat Record</v>
      </c>
      <c r="AU53" s="3" t="s">
        <v>786</v>
      </c>
      <c r="AV53" s="3" t="s">
        <v>787</v>
      </c>
      <c r="AW53" s="3" t="s">
        <v>788</v>
      </c>
      <c r="AX53" s="3" t="s">
        <v>788</v>
      </c>
      <c r="AY53" s="3" t="s">
        <v>789</v>
      </c>
      <c r="AZ53" s="3" t="s">
        <v>73</v>
      </c>
      <c r="BC53" s="3" t="s">
        <v>790</v>
      </c>
      <c r="BD53" s="3" t="s">
        <v>791</v>
      </c>
    </row>
    <row r="54" spans="1:56" ht="41.25" customHeight="1" x14ac:dyDescent="0.25">
      <c r="A54" s="7" t="s">
        <v>58</v>
      </c>
      <c r="B54" s="2" t="s">
        <v>792</v>
      </c>
      <c r="C54" s="2" t="s">
        <v>793</v>
      </c>
      <c r="D54" s="2" t="s">
        <v>794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K54" s="2" t="s">
        <v>795</v>
      </c>
      <c r="L54" s="2" t="s">
        <v>796</v>
      </c>
      <c r="M54" s="3" t="s">
        <v>685</v>
      </c>
      <c r="N54" s="2" t="s">
        <v>797</v>
      </c>
      <c r="O54" s="3" t="s">
        <v>64</v>
      </c>
      <c r="P54" s="3" t="s">
        <v>698</v>
      </c>
      <c r="R54" s="3" t="s">
        <v>771</v>
      </c>
      <c r="S54" s="4">
        <v>1</v>
      </c>
      <c r="T54" s="4">
        <v>1</v>
      </c>
      <c r="U54" s="5" t="s">
        <v>798</v>
      </c>
      <c r="V54" s="5" t="s">
        <v>798</v>
      </c>
      <c r="W54" s="5" t="s">
        <v>799</v>
      </c>
      <c r="X54" s="5" t="s">
        <v>799</v>
      </c>
      <c r="Y54" s="4">
        <v>318</v>
      </c>
      <c r="Z54" s="4">
        <v>278</v>
      </c>
      <c r="AA54" s="4">
        <v>956</v>
      </c>
      <c r="AB54" s="4">
        <v>5</v>
      </c>
      <c r="AC54" s="4">
        <v>8</v>
      </c>
      <c r="AD54" s="4">
        <v>8</v>
      </c>
      <c r="AE54" s="4">
        <v>26</v>
      </c>
      <c r="AF54" s="4">
        <v>1</v>
      </c>
      <c r="AG54" s="4">
        <v>10</v>
      </c>
      <c r="AH54" s="4">
        <v>1</v>
      </c>
      <c r="AI54" s="4">
        <v>3</v>
      </c>
      <c r="AJ54" s="4">
        <v>3</v>
      </c>
      <c r="AK54" s="4">
        <v>9</v>
      </c>
      <c r="AL54" s="4">
        <v>4</v>
      </c>
      <c r="AM54" s="4">
        <v>7</v>
      </c>
      <c r="AN54" s="4">
        <v>0</v>
      </c>
      <c r="AO54" s="4">
        <v>0</v>
      </c>
      <c r="AP54" s="3" t="s">
        <v>58</v>
      </c>
      <c r="AQ54" s="3" t="s">
        <v>85</v>
      </c>
      <c r="AR54" s="6" t="str">
        <f>HYPERLINK("http://catalog.hathitrust.org/Record/009056605","HathiTrust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HYPERLINK("https://creighton-primo.hosted.exlibrisgroup.com/primo-explore/search?tab=default_tab&amp;search_scope=EVERYTHING&amp;vid=01CRU&amp;lang=en_US&amp;offset=0&amp;query=any,contains,991003177439702656","Catalog Record")</f>
        <v>Catalog Record</v>
      </c>
      <c r="AT54" s="6" t="str">
        <f>HYPERLINK("http://www.worldcat.org/oclc/711036","WorldCat Record")</f>
        <v>WorldCat Record</v>
      </c>
      <c r="AU54" s="3" t="s">
        <v>800</v>
      </c>
      <c r="AV54" s="3" t="s">
        <v>801</v>
      </c>
      <c r="AW54" s="3" t="s">
        <v>802</v>
      </c>
      <c r="AX54" s="3" t="s">
        <v>802</v>
      </c>
      <c r="AY54" s="3" t="s">
        <v>803</v>
      </c>
      <c r="AZ54" s="3" t="s">
        <v>73</v>
      </c>
      <c r="BC54" s="3" t="s">
        <v>804</v>
      </c>
      <c r="BD54" s="3" t="s">
        <v>805</v>
      </c>
    </row>
    <row r="55" spans="1:56" ht="41.25" customHeight="1" x14ac:dyDescent="0.25">
      <c r="A55" s="7" t="s">
        <v>58</v>
      </c>
      <c r="B55" s="2" t="s">
        <v>806</v>
      </c>
      <c r="C55" s="2" t="s">
        <v>807</v>
      </c>
      <c r="D55" s="2" t="s">
        <v>808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K55" s="2" t="s">
        <v>809</v>
      </c>
      <c r="L55" s="2" t="s">
        <v>810</v>
      </c>
      <c r="M55" s="3" t="s">
        <v>656</v>
      </c>
      <c r="N55" s="2" t="s">
        <v>528</v>
      </c>
      <c r="O55" s="3" t="s">
        <v>64</v>
      </c>
      <c r="P55" s="3" t="s">
        <v>65</v>
      </c>
      <c r="R55" s="3" t="s">
        <v>771</v>
      </c>
      <c r="S55" s="4">
        <v>6</v>
      </c>
      <c r="T55" s="4">
        <v>6</v>
      </c>
      <c r="U55" s="5" t="s">
        <v>811</v>
      </c>
      <c r="V55" s="5" t="s">
        <v>811</v>
      </c>
      <c r="W55" s="5" t="s">
        <v>812</v>
      </c>
      <c r="X55" s="5" t="s">
        <v>812</v>
      </c>
      <c r="Y55" s="4">
        <v>846</v>
      </c>
      <c r="Z55" s="4">
        <v>734</v>
      </c>
      <c r="AA55" s="4">
        <v>868</v>
      </c>
      <c r="AB55" s="4">
        <v>4</v>
      </c>
      <c r="AC55" s="4">
        <v>6</v>
      </c>
      <c r="AD55" s="4">
        <v>21</v>
      </c>
      <c r="AE55" s="4">
        <v>22</v>
      </c>
      <c r="AF55" s="4">
        <v>11</v>
      </c>
      <c r="AG55" s="4">
        <v>11</v>
      </c>
      <c r="AH55" s="4">
        <v>5</v>
      </c>
      <c r="AI55" s="4">
        <v>5</v>
      </c>
      <c r="AJ55" s="4">
        <v>12</v>
      </c>
      <c r="AK55" s="4">
        <v>12</v>
      </c>
      <c r="AL55" s="4">
        <v>1</v>
      </c>
      <c r="AM55" s="4">
        <v>2</v>
      </c>
      <c r="AN55" s="4">
        <v>0</v>
      </c>
      <c r="AO55" s="4">
        <v>0</v>
      </c>
      <c r="AP55" s="3" t="s">
        <v>58</v>
      </c>
      <c r="AQ55" s="3" t="s">
        <v>85</v>
      </c>
      <c r="AR55" s="6" t="str">
        <f>HYPERLINK("http://catalog.hathitrust.org/Record/102007262","HathiTrust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HYPERLINK("https://creighton-primo.hosted.exlibrisgroup.com/primo-explore/search?tab=default_tab&amp;search_scope=EVERYTHING&amp;vid=01CRU&amp;lang=en_US&amp;offset=0&amp;query=any,contains,991003227289702656","Catalog Record")</f>
        <v>Catalog Record</v>
      </c>
      <c r="AT55" s="6" t="str">
        <f>HYPERLINK("http://www.worldcat.org/oclc/42603295","WorldCat Record")</f>
        <v>WorldCat Record</v>
      </c>
      <c r="AU55" s="3" t="s">
        <v>813</v>
      </c>
      <c r="AV55" s="3" t="s">
        <v>814</v>
      </c>
      <c r="AW55" s="3" t="s">
        <v>815</v>
      </c>
      <c r="AX55" s="3" t="s">
        <v>815</v>
      </c>
      <c r="AY55" s="3" t="s">
        <v>816</v>
      </c>
      <c r="AZ55" s="3" t="s">
        <v>73</v>
      </c>
      <c r="BB55" s="3" t="s">
        <v>817</v>
      </c>
      <c r="BC55" s="3" t="s">
        <v>818</v>
      </c>
      <c r="BD55" s="3" t="s">
        <v>819</v>
      </c>
    </row>
    <row r="56" spans="1:56" ht="41.25" customHeight="1" x14ac:dyDescent="0.25">
      <c r="A56" s="7" t="s">
        <v>58</v>
      </c>
      <c r="B56" s="2" t="s">
        <v>820</v>
      </c>
      <c r="C56" s="2" t="s">
        <v>821</v>
      </c>
      <c r="D56" s="2" t="s">
        <v>822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823</v>
      </c>
      <c r="L56" s="2" t="s">
        <v>824</v>
      </c>
      <c r="M56" s="3" t="s">
        <v>452</v>
      </c>
      <c r="O56" s="3" t="s">
        <v>64</v>
      </c>
      <c r="P56" s="3" t="s">
        <v>65</v>
      </c>
      <c r="R56" s="3" t="s">
        <v>771</v>
      </c>
      <c r="S56" s="4">
        <v>3</v>
      </c>
      <c r="T56" s="4">
        <v>3</v>
      </c>
      <c r="U56" s="5" t="s">
        <v>825</v>
      </c>
      <c r="V56" s="5" t="s">
        <v>825</v>
      </c>
      <c r="W56" s="5" t="s">
        <v>826</v>
      </c>
      <c r="X56" s="5" t="s">
        <v>826</v>
      </c>
      <c r="Y56" s="4">
        <v>499</v>
      </c>
      <c r="Z56" s="4">
        <v>326</v>
      </c>
      <c r="AA56" s="4">
        <v>333</v>
      </c>
      <c r="AB56" s="4">
        <v>2</v>
      </c>
      <c r="AC56" s="4">
        <v>2</v>
      </c>
      <c r="AD56" s="4">
        <v>13</v>
      </c>
      <c r="AE56" s="4">
        <v>13</v>
      </c>
      <c r="AF56" s="4">
        <v>7</v>
      </c>
      <c r="AG56" s="4">
        <v>7</v>
      </c>
      <c r="AH56" s="4">
        <v>0</v>
      </c>
      <c r="AI56" s="4">
        <v>0</v>
      </c>
      <c r="AJ56" s="4">
        <v>8</v>
      </c>
      <c r="AK56" s="4">
        <v>8</v>
      </c>
      <c r="AL56" s="4">
        <v>1</v>
      </c>
      <c r="AM56" s="4">
        <v>1</v>
      </c>
      <c r="AN56" s="4">
        <v>0</v>
      </c>
      <c r="AO56" s="4">
        <v>0</v>
      </c>
      <c r="AP56" s="3" t="s">
        <v>58</v>
      </c>
      <c r="AQ56" s="3" t="s">
        <v>85</v>
      </c>
      <c r="AR56" s="6" t="str">
        <f>HYPERLINK("http://catalog.hathitrust.org/Record/000412077","HathiTrust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HYPERLINK("https://creighton-primo.hosted.exlibrisgroup.com/primo-explore/search?tab=default_tab&amp;search_scope=EVERYTHING&amp;vid=01CRU&amp;lang=en_US&amp;offset=0&amp;query=any,contains,991003200409702656","Catalog Record")</f>
        <v>Catalog Record</v>
      </c>
      <c r="AT56" s="6" t="str">
        <f>HYPERLINK("http://www.worldcat.org/oclc/724399","WorldCat Record")</f>
        <v>WorldCat Record</v>
      </c>
      <c r="AU56" s="3" t="s">
        <v>827</v>
      </c>
      <c r="AV56" s="3" t="s">
        <v>828</v>
      </c>
      <c r="AW56" s="3" t="s">
        <v>829</v>
      </c>
      <c r="AX56" s="3" t="s">
        <v>829</v>
      </c>
      <c r="AY56" s="3" t="s">
        <v>830</v>
      </c>
      <c r="AZ56" s="3" t="s">
        <v>73</v>
      </c>
      <c r="BB56" s="3" t="s">
        <v>831</v>
      </c>
      <c r="BC56" s="3" t="s">
        <v>832</v>
      </c>
      <c r="BD56" s="3" t="s">
        <v>833</v>
      </c>
    </row>
    <row r="57" spans="1:56" ht="41.25" customHeight="1" x14ac:dyDescent="0.25">
      <c r="A57" s="7" t="s">
        <v>58</v>
      </c>
      <c r="B57" s="2" t="s">
        <v>834</v>
      </c>
      <c r="C57" s="2" t="s">
        <v>835</v>
      </c>
      <c r="D57" s="2" t="s">
        <v>836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837</v>
      </c>
      <c r="L57" s="2" t="s">
        <v>838</v>
      </c>
      <c r="M57" s="3" t="s">
        <v>839</v>
      </c>
      <c r="O57" s="3" t="s">
        <v>64</v>
      </c>
      <c r="P57" s="3" t="s">
        <v>65</v>
      </c>
      <c r="Q57" s="2" t="s">
        <v>840</v>
      </c>
      <c r="R57" s="3" t="s">
        <v>771</v>
      </c>
      <c r="S57" s="4">
        <v>7</v>
      </c>
      <c r="T57" s="4">
        <v>7</v>
      </c>
      <c r="U57" s="5" t="s">
        <v>841</v>
      </c>
      <c r="V57" s="5" t="s">
        <v>841</v>
      </c>
      <c r="W57" s="5" t="s">
        <v>842</v>
      </c>
      <c r="X57" s="5" t="s">
        <v>842</v>
      </c>
      <c r="Y57" s="4">
        <v>331</v>
      </c>
      <c r="Z57" s="4">
        <v>284</v>
      </c>
      <c r="AA57" s="4">
        <v>284</v>
      </c>
      <c r="AB57" s="4">
        <v>3</v>
      </c>
      <c r="AC57" s="4">
        <v>3</v>
      </c>
      <c r="AD57" s="4">
        <v>17</v>
      </c>
      <c r="AE57" s="4">
        <v>17</v>
      </c>
      <c r="AF57" s="4">
        <v>7</v>
      </c>
      <c r="AG57" s="4">
        <v>7</v>
      </c>
      <c r="AH57" s="4">
        <v>4</v>
      </c>
      <c r="AI57" s="4">
        <v>4</v>
      </c>
      <c r="AJ57" s="4">
        <v>10</v>
      </c>
      <c r="AK57" s="4">
        <v>10</v>
      </c>
      <c r="AL57" s="4">
        <v>2</v>
      </c>
      <c r="AM57" s="4">
        <v>2</v>
      </c>
      <c r="AN57" s="4">
        <v>0</v>
      </c>
      <c r="AO57" s="4">
        <v>0</v>
      </c>
      <c r="AP57" s="3" t="s">
        <v>58</v>
      </c>
      <c r="AQ57" s="3" t="s">
        <v>58</v>
      </c>
      <c r="AS57" s="6" t="str">
        <f>HYPERLINK("https://creighton-primo.hosted.exlibrisgroup.com/primo-explore/search?tab=default_tab&amp;search_scope=EVERYTHING&amp;vid=01CRU&amp;lang=en_US&amp;offset=0&amp;query=any,contains,991000731379702656","Catalog Record")</f>
        <v>Catalog Record</v>
      </c>
      <c r="AT57" s="6" t="str">
        <f>HYPERLINK("http://www.worldcat.org/oclc/12724728","WorldCat Record")</f>
        <v>WorldCat Record</v>
      </c>
      <c r="AU57" s="3" t="s">
        <v>843</v>
      </c>
      <c r="AV57" s="3" t="s">
        <v>844</v>
      </c>
      <c r="AW57" s="3" t="s">
        <v>845</v>
      </c>
      <c r="AX57" s="3" t="s">
        <v>845</v>
      </c>
      <c r="AY57" s="3" t="s">
        <v>846</v>
      </c>
      <c r="AZ57" s="3" t="s">
        <v>73</v>
      </c>
      <c r="BB57" s="3" t="s">
        <v>847</v>
      </c>
      <c r="BC57" s="3" t="s">
        <v>848</v>
      </c>
      <c r="BD57" s="3" t="s">
        <v>849</v>
      </c>
    </row>
    <row r="58" spans="1:56" ht="41.25" customHeight="1" x14ac:dyDescent="0.25">
      <c r="A58" s="7" t="s">
        <v>58</v>
      </c>
      <c r="B58" s="2" t="s">
        <v>850</v>
      </c>
      <c r="C58" s="2" t="s">
        <v>851</v>
      </c>
      <c r="D58" s="2" t="s">
        <v>852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853</v>
      </c>
      <c r="L58" s="2" t="s">
        <v>854</v>
      </c>
      <c r="M58" s="3" t="s">
        <v>612</v>
      </c>
      <c r="O58" s="3" t="s">
        <v>64</v>
      </c>
      <c r="P58" s="3" t="s">
        <v>65</v>
      </c>
      <c r="R58" s="3" t="s">
        <v>771</v>
      </c>
      <c r="S58" s="4">
        <v>3</v>
      </c>
      <c r="T58" s="4">
        <v>3</v>
      </c>
      <c r="U58" s="5" t="s">
        <v>855</v>
      </c>
      <c r="V58" s="5" t="s">
        <v>855</v>
      </c>
      <c r="W58" s="5" t="s">
        <v>855</v>
      </c>
      <c r="X58" s="5" t="s">
        <v>855</v>
      </c>
      <c r="Y58" s="4">
        <v>317</v>
      </c>
      <c r="Z58" s="4">
        <v>238</v>
      </c>
      <c r="AA58" s="4">
        <v>432</v>
      </c>
      <c r="AB58" s="4">
        <v>2</v>
      </c>
      <c r="AC58" s="4">
        <v>3</v>
      </c>
      <c r="AD58" s="4">
        <v>7</v>
      </c>
      <c r="AE58" s="4">
        <v>12</v>
      </c>
      <c r="AF58" s="4">
        <v>3</v>
      </c>
      <c r="AG58" s="4">
        <v>6</v>
      </c>
      <c r="AH58" s="4">
        <v>0</v>
      </c>
      <c r="AI58" s="4">
        <v>0</v>
      </c>
      <c r="AJ58" s="4">
        <v>5</v>
      </c>
      <c r="AK58" s="4">
        <v>7</v>
      </c>
      <c r="AL58" s="4">
        <v>1</v>
      </c>
      <c r="AM58" s="4">
        <v>2</v>
      </c>
      <c r="AN58" s="4">
        <v>0</v>
      </c>
      <c r="AO58" s="4">
        <v>0</v>
      </c>
      <c r="AP58" s="3" t="s">
        <v>58</v>
      </c>
      <c r="AQ58" s="3" t="s">
        <v>85</v>
      </c>
      <c r="AR58" s="6" t="str">
        <f>HYPERLINK("http://catalog.hathitrust.org/Record/004040242","HathiTrust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HYPERLINK("https://creighton-primo.hosted.exlibrisgroup.com/primo-explore/search?tab=default_tab&amp;search_scope=EVERYTHING&amp;vid=01CRU&amp;lang=en_US&amp;offset=0&amp;query=any,contains,991005093569702656","Catalog Record")</f>
        <v>Catalog Record</v>
      </c>
      <c r="AT58" s="6" t="str">
        <f>HYPERLINK("http://www.worldcat.org/oclc/40193486","WorldCat Record")</f>
        <v>WorldCat Record</v>
      </c>
      <c r="AU58" s="3" t="s">
        <v>856</v>
      </c>
      <c r="AV58" s="3" t="s">
        <v>857</v>
      </c>
      <c r="AW58" s="3" t="s">
        <v>858</v>
      </c>
      <c r="AX58" s="3" t="s">
        <v>858</v>
      </c>
      <c r="AY58" s="3" t="s">
        <v>859</v>
      </c>
      <c r="AZ58" s="3" t="s">
        <v>73</v>
      </c>
      <c r="BB58" s="3" t="s">
        <v>860</v>
      </c>
      <c r="BC58" s="3" t="s">
        <v>861</v>
      </c>
      <c r="BD58" s="3" t="s">
        <v>862</v>
      </c>
    </row>
    <row r="59" spans="1:56" ht="41.25" customHeight="1" x14ac:dyDescent="0.25">
      <c r="A59" s="7" t="s">
        <v>58</v>
      </c>
      <c r="B59" s="2" t="s">
        <v>863</v>
      </c>
      <c r="C59" s="2" t="s">
        <v>864</v>
      </c>
      <c r="D59" s="2" t="s">
        <v>865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866</v>
      </c>
      <c r="L59" s="2" t="s">
        <v>867</v>
      </c>
      <c r="M59" s="3" t="s">
        <v>868</v>
      </c>
      <c r="O59" s="3" t="s">
        <v>64</v>
      </c>
      <c r="P59" s="3" t="s">
        <v>65</v>
      </c>
      <c r="R59" s="3" t="s">
        <v>771</v>
      </c>
      <c r="S59" s="4">
        <v>1</v>
      </c>
      <c r="T59" s="4">
        <v>1</v>
      </c>
      <c r="U59" s="5" t="s">
        <v>869</v>
      </c>
      <c r="V59" s="5" t="s">
        <v>869</v>
      </c>
      <c r="W59" s="5" t="s">
        <v>870</v>
      </c>
      <c r="X59" s="5" t="s">
        <v>870</v>
      </c>
      <c r="Y59" s="4">
        <v>378</v>
      </c>
      <c r="Z59" s="4">
        <v>271</v>
      </c>
      <c r="AA59" s="4">
        <v>690</v>
      </c>
      <c r="AB59" s="4">
        <v>2</v>
      </c>
      <c r="AC59" s="4">
        <v>5</v>
      </c>
      <c r="AD59" s="4">
        <v>8</v>
      </c>
      <c r="AE59" s="4">
        <v>28</v>
      </c>
      <c r="AF59" s="4">
        <v>4</v>
      </c>
      <c r="AG59" s="4">
        <v>13</v>
      </c>
      <c r="AH59" s="4">
        <v>1</v>
      </c>
      <c r="AI59" s="4">
        <v>7</v>
      </c>
      <c r="AJ59" s="4">
        <v>5</v>
      </c>
      <c r="AK59" s="4">
        <v>15</v>
      </c>
      <c r="AL59" s="4">
        <v>1</v>
      </c>
      <c r="AM59" s="4">
        <v>3</v>
      </c>
      <c r="AN59" s="4">
        <v>0</v>
      </c>
      <c r="AO59" s="4">
        <v>0</v>
      </c>
      <c r="AP59" s="3" t="s">
        <v>58</v>
      </c>
      <c r="AQ59" s="3" t="s">
        <v>58</v>
      </c>
      <c r="AS59" s="6" t="str">
        <f>HYPERLINK("https://creighton-primo.hosted.exlibrisgroup.com/primo-explore/search?tab=default_tab&amp;search_scope=EVERYTHING&amp;vid=01CRU&amp;lang=en_US&amp;offset=0&amp;query=any,contains,991000522079702656","Catalog Record")</f>
        <v>Catalog Record</v>
      </c>
      <c r="AT59" s="6" t="str">
        <f>HYPERLINK("http://www.worldcat.org/oclc/11344716","WorldCat Record")</f>
        <v>WorldCat Record</v>
      </c>
      <c r="AU59" s="3" t="s">
        <v>871</v>
      </c>
      <c r="AV59" s="3" t="s">
        <v>872</v>
      </c>
      <c r="AW59" s="3" t="s">
        <v>873</v>
      </c>
      <c r="AX59" s="3" t="s">
        <v>873</v>
      </c>
      <c r="AY59" s="3" t="s">
        <v>874</v>
      </c>
      <c r="AZ59" s="3" t="s">
        <v>73</v>
      </c>
      <c r="BB59" s="3" t="s">
        <v>875</v>
      </c>
      <c r="BC59" s="3" t="s">
        <v>876</v>
      </c>
      <c r="BD59" s="3" t="s">
        <v>877</v>
      </c>
    </row>
    <row r="60" spans="1:56" ht="41.25" customHeight="1" x14ac:dyDescent="0.25">
      <c r="A60" s="7" t="s">
        <v>58</v>
      </c>
      <c r="B60" s="2" t="s">
        <v>878</v>
      </c>
      <c r="C60" s="2" t="s">
        <v>879</v>
      </c>
      <c r="D60" s="2" t="s">
        <v>880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K60" s="2" t="s">
        <v>881</v>
      </c>
      <c r="L60" s="2" t="s">
        <v>882</v>
      </c>
      <c r="M60" s="3" t="s">
        <v>452</v>
      </c>
      <c r="O60" s="3" t="s">
        <v>64</v>
      </c>
      <c r="P60" s="3" t="s">
        <v>65</v>
      </c>
      <c r="Q60" s="2" t="s">
        <v>883</v>
      </c>
      <c r="R60" s="3" t="s">
        <v>771</v>
      </c>
      <c r="S60" s="4">
        <v>2</v>
      </c>
      <c r="T60" s="4">
        <v>2</v>
      </c>
      <c r="U60" s="5" t="s">
        <v>884</v>
      </c>
      <c r="V60" s="5" t="s">
        <v>884</v>
      </c>
      <c r="W60" s="5" t="s">
        <v>885</v>
      </c>
      <c r="X60" s="5" t="s">
        <v>885</v>
      </c>
      <c r="Y60" s="4">
        <v>308</v>
      </c>
      <c r="Z60" s="4">
        <v>170</v>
      </c>
      <c r="AA60" s="4">
        <v>173</v>
      </c>
      <c r="AB60" s="4">
        <v>1</v>
      </c>
      <c r="AC60" s="4">
        <v>1</v>
      </c>
      <c r="AD60" s="4">
        <v>8</v>
      </c>
      <c r="AE60" s="4">
        <v>8</v>
      </c>
      <c r="AF60" s="4">
        <v>3</v>
      </c>
      <c r="AG60" s="4">
        <v>3</v>
      </c>
      <c r="AH60" s="4">
        <v>3</v>
      </c>
      <c r="AI60" s="4">
        <v>3</v>
      </c>
      <c r="AJ60" s="4">
        <v>4</v>
      </c>
      <c r="AK60" s="4">
        <v>4</v>
      </c>
      <c r="AL60" s="4">
        <v>0</v>
      </c>
      <c r="AM60" s="4">
        <v>0</v>
      </c>
      <c r="AN60" s="4">
        <v>0</v>
      </c>
      <c r="AO60" s="4">
        <v>0</v>
      </c>
      <c r="AP60" s="3" t="s">
        <v>58</v>
      </c>
      <c r="AQ60" s="3" t="s">
        <v>85</v>
      </c>
      <c r="AR60" s="6" t="str">
        <f>HYPERLINK("http://catalog.hathitrust.org/Record/001115968","HathiTrust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HYPERLINK("https://creighton-primo.hosted.exlibrisgroup.com/primo-explore/search?tab=default_tab&amp;search_scope=EVERYTHING&amp;vid=01CRU&amp;lang=en_US&amp;offset=0&amp;query=any,contains,991003366469702656","Catalog Record")</f>
        <v>Catalog Record</v>
      </c>
      <c r="AT60" s="6" t="str">
        <f>HYPERLINK("http://www.worldcat.org/oclc/902370","WorldCat Record")</f>
        <v>WorldCat Record</v>
      </c>
      <c r="AU60" s="3" t="s">
        <v>886</v>
      </c>
      <c r="AV60" s="3" t="s">
        <v>887</v>
      </c>
      <c r="AW60" s="3" t="s">
        <v>888</v>
      </c>
      <c r="AX60" s="3" t="s">
        <v>888</v>
      </c>
      <c r="AY60" s="3" t="s">
        <v>889</v>
      </c>
      <c r="AZ60" s="3" t="s">
        <v>73</v>
      </c>
      <c r="BC60" s="3" t="s">
        <v>890</v>
      </c>
      <c r="BD60" s="3" t="s">
        <v>891</v>
      </c>
    </row>
    <row r="61" spans="1:56" ht="41.25" customHeight="1" x14ac:dyDescent="0.25">
      <c r="A61" s="7" t="s">
        <v>58</v>
      </c>
      <c r="B61" s="2" t="s">
        <v>892</v>
      </c>
      <c r="C61" s="2" t="s">
        <v>893</v>
      </c>
      <c r="D61" s="2" t="s">
        <v>894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895</v>
      </c>
      <c r="L61" s="2" t="s">
        <v>896</v>
      </c>
      <c r="M61" s="3" t="s">
        <v>626</v>
      </c>
      <c r="O61" s="3" t="s">
        <v>64</v>
      </c>
      <c r="P61" s="3" t="s">
        <v>65</v>
      </c>
      <c r="Q61" s="2" t="s">
        <v>897</v>
      </c>
      <c r="R61" s="3" t="s">
        <v>771</v>
      </c>
      <c r="S61" s="4">
        <v>14</v>
      </c>
      <c r="T61" s="4">
        <v>14</v>
      </c>
      <c r="U61" s="5" t="s">
        <v>898</v>
      </c>
      <c r="V61" s="5" t="s">
        <v>898</v>
      </c>
      <c r="W61" s="5" t="s">
        <v>899</v>
      </c>
      <c r="X61" s="5" t="s">
        <v>899</v>
      </c>
      <c r="Y61" s="4">
        <v>257</v>
      </c>
      <c r="Z61" s="4">
        <v>243</v>
      </c>
      <c r="AA61" s="4">
        <v>249</v>
      </c>
      <c r="AB61" s="4">
        <v>2</v>
      </c>
      <c r="AC61" s="4">
        <v>2</v>
      </c>
      <c r="AD61" s="4">
        <v>12</v>
      </c>
      <c r="AE61" s="4">
        <v>12</v>
      </c>
      <c r="AF61" s="4">
        <v>4</v>
      </c>
      <c r="AG61" s="4">
        <v>4</v>
      </c>
      <c r="AH61" s="4">
        <v>3</v>
      </c>
      <c r="AI61" s="4">
        <v>3</v>
      </c>
      <c r="AJ61" s="4">
        <v>10</v>
      </c>
      <c r="AK61" s="4">
        <v>10</v>
      </c>
      <c r="AL61" s="4">
        <v>1</v>
      </c>
      <c r="AM61" s="4">
        <v>1</v>
      </c>
      <c r="AN61" s="4">
        <v>0</v>
      </c>
      <c r="AO61" s="4">
        <v>0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HYPERLINK("https://creighton-primo.hosted.exlibrisgroup.com/primo-explore/search?tab=default_tab&amp;search_scope=EVERYTHING&amp;vid=01CRU&amp;lang=en_US&amp;offset=0&amp;query=any,contains,991002058159702656","Catalog Record")</f>
        <v>Catalog Record</v>
      </c>
      <c r="AT61" s="6" t="str">
        <f>HYPERLINK("http://www.worldcat.org/oclc/26329682","WorldCat Record")</f>
        <v>WorldCat Record</v>
      </c>
      <c r="AU61" s="3" t="s">
        <v>900</v>
      </c>
      <c r="AV61" s="3" t="s">
        <v>901</v>
      </c>
      <c r="AW61" s="3" t="s">
        <v>902</v>
      </c>
      <c r="AX61" s="3" t="s">
        <v>902</v>
      </c>
      <c r="AY61" s="3" t="s">
        <v>903</v>
      </c>
      <c r="AZ61" s="3" t="s">
        <v>73</v>
      </c>
      <c r="BB61" s="3" t="s">
        <v>904</v>
      </c>
      <c r="BC61" s="3" t="s">
        <v>905</v>
      </c>
      <c r="BD61" s="3" t="s">
        <v>906</v>
      </c>
    </row>
    <row r="62" spans="1:56" ht="41.25" customHeight="1" x14ac:dyDescent="0.25">
      <c r="A62" s="7" t="s">
        <v>58</v>
      </c>
      <c r="B62" s="2" t="s">
        <v>907</v>
      </c>
      <c r="C62" s="2" t="s">
        <v>908</v>
      </c>
      <c r="D62" s="2" t="s">
        <v>909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910</v>
      </c>
      <c r="L62" s="2" t="s">
        <v>911</v>
      </c>
      <c r="M62" s="3" t="s">
        <v>403</v>
      </c>
      <c r="O62" s="3" t="s">
        <v>64</v>
      </c>
      <c r="P62" s="3" t="s">
        <v>65</v>
      </c>
      <c r="R62" s="3" t="s">
        <v>771</v>
      </c>
      <c r="S62" s="4">
        <v>1</v>
      </c>
      <c r="T62" s="4">
        <v>1</v>
      </c>
      <c r="U62" s="5" t="s">
        <v>912</v>
      </c>
      <c r="V62" s="5" t="s">
        <v>912</v>
      </c>
      <c r="W62" s="5" t="s">
        <v>913</v>
      </c>
      <c r="X62" s="5" t="s">
        <v>913</v>
      </c>
      <c r="Y62" s="4">
        <v>296</v>
      </c>
      <c r="Z62" s="4">
        <v>269</v>
      </c>
      <c r="AA62" s="4">
        <v>270</v>
      </c>
      <c r="AB62" s="4">
        <v>3</v>
      </c>
      <c r="AC62" s="4">
        <v>3</v>
      </c>
      <c r="AD62" s="4">
        <v>12</v>
      </c>
      <c r="AE62" s="4">
        <v>12</v>
      </c>
      <c r="AF62" s="4">
        <v>2</v>
      </c>
      <c r="AG62" s="4">
        <v>2</v>
      </c>
      <c r="AH62" s="4">
        <v>4</v>
      </c>
      <c r="AI62" s="4">
        <v>4</v>
      </c>
      <c r="AJ62" s="4">
        <v>8</v>
      </c>
      <c r="AK62" s="4">
        <v>8</v>
      </c>
      <c r="AL62" s="4">
        <v>2</v>
      </c>
      <c r="AM62" s="4">
        <v>2</v>
      </c>
      <c r="AN62" s="4">
        <v>0</v>
      </c>
      <c r="AO62" s="4">
        <v>0</v>
      </c>
      <c r="AP62" s="3" t="s">
        <v>58</v>
      </c>
      <c r="AQ62" s="3" t="s">
        <v>58</v>
      </c>
      <c r="AS62" s="6" t="str">
        <f>HYPERLINK("https://creighton-primo.hosted.exlibrisgroup.com/primo-explore/search?tab=default_tab&amp;search_scope=EVERYTHING&amp;vid=01CRU&amp;lang=en_US&amp;offset=0&amp;query=any,contains,991004804569702656","Catalog Record")</f>
        <v>Catalog Record</v>
      </c>
      <c r="AT62" s="6" t="str">
        <f>HYPERLINK("http://www.worldcat.org/oclc/5239510","WorldCat Record")</f>
        <v>WorldCat Record</v>
      </c>
      <c r="AU62" s="3" t="s">
        <v>914</v>
      </c>
      <c r="AV62" s="3" t="s">
        <v>915</v>
      </c>
      <c r="AW62" s="3" t="s">
        <v>916</v>
      </c>
      <c r="AX62" s="3" t="s">
        <v>916</v>
      </c>
      <c r="AY62" s="3" t="s">
        <v>917</v>
      </c>
      <c r="AZ62" s="3" t="s">
        <v>73</v>
      </c>
      <c r="BB62" s="3" t="s">
        <v>918</v>
      </c>
      <c r="BC62" s="3" t="s">
        <v>919</v>
      </c>
      <c r="BD62" s="3" t="s">
        <v>920</v>
      </c>
    </row>
    <row r="63" spans="1:56" ht="41.25" customHeight="1" x14ac:dyDescent="0.25">
      <c r="A63" s="7" t="s">
        <v>58</v>
      </c>
      <c r="B63" s="2" t="s">
        <v>921</v>
      </c>
      <c r="C63" s="2" t="s">
        <v>922</v>
      </c>
      <c r="D63" s="2" t="s">
        <v>923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924</v>
      </c>
      <c r="L63" s="2" t="s">
        <v>925</v>
      </c>
      <c r="M63" s="3" t="s">
        <v>926</v>
      </c>
      <c r="O63" s="3" t="s">
        <v>64</v>
      </c>
      <c r="P63" s="3" t="s">
        <v>65</v>
      </c>
      <c r="R63" s="3" t="s">
        <v>771</v>
      </c>
      <c r="S63" s="4">
        <v>4</v>
      </c>
      <c r="T63" s="4">
        <v>4</v>
      </c>
      <c r="U63" s="5" t="s">
        <v>927</v>
      </c>
      <c r="V63" s="5" t="s">
        <v>927</v>
      </c>
      <c r="W63" s="5" t="s">
        <v>928</v>
      </c>
      <c r="X63" s="5" t="s">
        <v>928</v>
      </c>
      <c r="Y63" s="4">
        <v>364</v>
      </c>
      <c r="Z63" s="4">
        <v>270</v>
      </c>
      <c r="AA63" s="4">
        <v>277</v>
      </c>
      <c r="AB63" s="4">
        <v>3</v>
      </c>
      <c r="AC63" s="4">
        <v>3</v>
      </c>
      <c r="AD63" s="4">
        <v>8</v>
      </c>
      <c r="AE63" s="4">
        <v>8</v>
      </c>
      <c r="AF63" s="4">
        <v>2</v>
      </c>
      <c r="AG63" s="4">
        <v>2</v>
      </c>
      <c r="AH63" s="4">
        <v>2</v>
      </c>
      <c r="AI63" s="4">
        <v>2</v>
      </c>
      <c r="AJ63" s="4">
        <v>4</v>
      </c>
      <c r="AK63" s="4">
        <v>4</v>
      </c>
      <c r="AL63" s="4">
        <v>2</v>
      </c>
      <c r="AM63" s="4">
        <v>2</v>
      </c>
      <c r="AN63" s="4">
        <v>0</v>
      </c>
      <c r="AO63" s="4">
        <v>0</v>
      </c>
      <c r="AP63" s="3" t="s">
        <v>58</v>
      </c>
      <c r="AQ63" s="3" t="s">
        <v>85</v>
      </c>
      <c r="AR63" s="6" t="str">
        <f>HYPERLINK("http://catalog.hathitrust.org/Record/001044866","HathiTrust Record")</f>
        <v>HathiTrust Record</v>
      </c>
      <c r="AS63" s="6" t="str">
        <f>HYPERLINK("https://creighton-primo.hosted.exlibrisgroup.com/primo-explore/search?tab=default_tab&amp;search_scope=EVERYTHING&amp;vid=01CRU&amp;lang=en_US&amp;offset=0&amp;query=any,contains,991002999079702656","Catalog Record")</f>
        <v>Catalog Record</v>
      </c>
      <c r="AT63" s="6" t="str">
        <f>HYPERLINK("http://www.worldcat.org/oclc/567344","WorldCat Record")</f>
        <v>WorldCat Record</v>
      </c>
      <c r="AU63" s="3" t="s">
        <v>929</v>
      </c>
      <c r="AV63" s="3" t="s">
        <v>930</v>
      </c>
      <c r="AW63" s="3" t="s">
        <v>931</v>
      </c>
      <c r="AX63" s="3" t="s">
        <v>931</v>
      </c>
      <c r="AY63" s="3" t="s">
        <v>932</v>
      </c>
      <c r="AZ63" s="3" t="s">
        <v>73</v>
      </c>
      <c r="BC63" s="3" t="s">
        <v>933</v>
      </c>
      <c r="BD63" s="3" t="s">
        <v>934</v>
      </c>
    </row>
    <row r="64" spans="1:56" ht="41.25" customHeight="1" x14ac:dyDescent="0.25">
      <c r="A64" s="7" t="s">
        <v>58</v>
      </c>
      <c r="B64" s="2" t="s">
        <v>935</v>
      </c>
      <c r="C64" s="2" t="s">
        <v>936</v>
      </c>
      <c r="D64" s="2" t="s">
        <v>937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938</v>
      </c>
      <c r="L64" s="2" t="s">
        <v>939</v>
      </c>
      <c r="M64" s="3" t="s">
        <v>940</v>
      </c>
      <c r="O64" s="3" t="s">
        <v>64</v>
      </c>
      <c r="P64" s="3" t="s">
        <v>65</v>
      </c>
      <c r="R64" s="3" t="s">
        <v>771</v>
      </c>
      <c r="S64" s="4">
        <v>7</v>
      </c>
      <c r="T64" s="4">
        <v>7</v>
      </c>
      <c r="U64" s="5" t="s">
        <v>941</v>
      </c>
      <c r="V64" s="5" t="s">
        <v>941</v>
      </c>
      <c r="W64" s="5" t="s">
        <v>942</v>
      </c>
      <c r="X64" s="5" t="s">
        <v>942</v>
      </c>
      <c r="Y64" s="4">
        <v>308</v>
      </c>
      <c r="Z64" s="4">
        <v>266</v>
      </c>
      <c r="AA64" s="4">
        <v>276</v>
      </c>
      <c r="AB64" s="4">
        <v>4</v>
      </c>
      <c r="AC64" s="4">
        <v>4</v>
      </c>
      <c r="AD64" s="4">
        <v>17</v>
      </c>
      <c r="AE64" s="4">
        <v>17</v>
      </c>
      <c r="AF64" s="4">
        <v>6</v>
      </c>
      <c r="AG64" s="4">
        <v>6</v>
      </c>
      <c r="AH64" s="4">
        <v>4</v>
      </c>
      <c r="AI64" s="4">
        <v>4</v>
      </c>
      <c r="AJ64" s="4">
        <v>9</v>
      </c>
      <c r="AK64" s="4">
        <v>9</v>
      </c>
      <c r="AL64" s="4">
        <v>3</v>
      </c>
      <c r="AM64" s="4">
        <v>3</v>
      </c>
      <c r="AN64" s="4">
        <v>0</v>
      </c>
      <c r="AO64" s="4">
        <v>0</v>
      </c>
      <c r="AP64" s="3" t="s">
        <v>58</v>
      </c>
      <c r="AQ64" s="3" t="s">
        <v>58</v>
      </c>
      <c r="AS64" s="6" t="str">
        <f>HYPERLINK("https://creighton-primo.hosted.exlibrisgroup.com/primo-explore/search?tab=default_tab&amp;search_scope=EVERYTHING&amp;vid=01CRU&amp;lang=en_US&amp;offset=0&amp;query=any,contains,991001819139702656","Catalog Record")</f>
        <v>Catalog Record</v>
      </c>
      <c r="AT64" s="6" t="str">
        <f>HYPERLINK("http://www.worldcat.org/oclc/22862959","WorldCat Record")</f>
        <v>WorldCat Record</v>
      </c>
      <c r="AU64" s="3" t="s">
        <v>943</v>
      </c>
      <c r="AV64" s="3" t="s">
        <v>944</v>
      </c>
      <c r="AW64" s="3" t="s">
        <v>945</v>
      </c>
      <c r="AX64" s="3" t="s">
        <v>945</v>
      </c>
      <c r="AY64" s="3" t="s">
        <v>946</v>
      </c>
      <c r="AZ64" s="3" t="s">
        <v>73</v>
      </c>
      <c r="BB64" s="3" t="s">
        <v>947</v>
      </c>
      <c r="BC64" s="3" t="s">
        <v>948</v>
      </c>
      <c r="BD64" s="3" t="s">
        <v>949</v>
      </c>
    </row>
    <row r="65" spans="1:56" ht="41.25" customHeight="1" x14ac:dyDescent="0.25">
      <c r="A65" s="7" t="s">
        <v>58</v>
      </c>
      <c r="B65" s="2" t="s">
        <v>950</v>
      </c>
      <c r="C65" s="2" t="s">
        <v>951</v>
      </c>
      <c r="D65" s="2" t="s">
        <v>952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K65" s="2" t="s">
        <v>953</v>
      </c>
      <c r="L65" s="2" t="s">
        <v>954</v>
      </c>
      <c r="M65" s="3" t="s">
        <v>641</v>
      </c>
      <c r="O65" s="3" t="s">
        <v>64</v>
      </c>
      <c r="P65" s="3" t="s">
        <v>65</v>
      </c>
      <c r="R65" s="3" t="s">
        <v>771</v>
      </c>
      <c r="S65" s="4">
        <v>1</v>
      </c>
      <c r="T65" s="4">
        <v>1</v>
      </c>
      <c r="U65" s="5" t="s">
        <v>955</v>
      </c>
      <c r="V65" s="5" t="s">
        <v>955</v>
      </c>
      <c r="W65" s="5" t="s">
        <v>956</v>
      </c>
      <c r="X65" s="5" t="s">
        <v>956</v>
      </c>
      <c r="Y65" s="4">
        <v>355</v>
      </c>
      <c r="Z65" s="4">
        <v>280</v>
      </c>
      <c r="AA65" s="4">
        <v>1033</v>
      </c>
      <c r="AB65" s="4">
        <v>4</v>
      </c>
      <c r="AC65" s="4">
        <v>6</v>
      </c>
      <c r="AD65" s="4">
        <v>15</v>
      </c>
      <c r="AE65" s="4">
        <v>22</v>
      </c>
      <c r="AF65" s="4">
        <v>4</v>
      </c>
      <c r="AG65" s="4">
        <v>9</v>
      </c>
      <c r="AH65" s="4">
        <v>5</v>
      </c>
      <c r="AI65" s="4">
        <v>5</v>
      </c>
      <c r="AJ65" s="4">
        <v>8</v>
      </c>
      <c r="AK65" s="4">
        <v>9</v>
      </c>
      <c r="AL65" s="4">
        <v>3</v>
      </c>
      <c r="AM65" s="4">
        <v>5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HYPERLINK("https://creighton-primo.hosted.exlibrisgroup.com/primo-explore/search?tab=default_tab&amp;search_scope=EVERYTHING&amp;vid=01CRU&amp;lang=en_US&amp;offset=0&amp;query=any,contains,991003318329702656","Catalog Record")</f>
        <v>Catalog Record</v>
      </c>
      <c r="AT65" s="6" t="str">
        <f>HYPERLINK("http://www.worldcat.org/oclc/43590230","WorldCat Record")</f>
        <v>WorldCat Record</v>
      </c>
      <c r="AU65" s="3" t="s">
        <v>957</v>
      </c>
      <c r="AV65" s="3" t="s">
        <v>958</v>
      </c>
      <c r="AW65" s="3" t="s">
        <v>959</v>
      </c>
      <c r="AX65" s="3" t="s">
        <v>959</v>
      </c>
      <c r="AY65" s="3" t="s">
        <v>960</v>
      </c>
      <c r="AZ65" s="3" t="s">
        <v>73</v>
      </c>
      <c r="BB65" s="3" t="s">
        <v>961</v>
      </c>
      <c r="BC65" s="3" t="s">
        <v>962</v>
      </c>
      <c r="BD65" s="3" t="s">
        <v>963</v>
      </c>
    </row>
    <row r="66" spans="1:56" ht="41.25" customHeight="1" x14ac:dyDescent="0.25">
      <c r="A66" s="7" t="s">
        <v>58</v>
      </c>
      <c r="B66" s="2" t="s">
        <v>964</v>
      </c>
      <c r="C66" s="2" t="s">
        <v>965</v>
      </c>
      <c r="D66" s="2" t="s">
        <v>966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L66" s="2" t="s">
        <v>967</v>
      </c>
      <c r="M66" s="3" t="s">
        <v>839</v>
      </c>
      <c r="O66" s="3" t="s">
        <v>64</v>
      </c>
      <c r="P66" s="3" t="s">
        <v>65</v>
      </c>
      <c r="R66" s="3" t="s">
        <v>771</v>
      </c>
      <c r="S66" s="4">
        <v>12</v>
      </c>
      <c r="T66" s="4">
        <v>12</v>
      </c>
      <c r="U66" s="5" t="s">
        <v>968</v>
      </c>
      <c r="V66" s="5" t="s">
        <v>968</v>
      </c>
      <c r="W66" s="5" t="s">
        <v>969</v>
      </c>
      <c r="X66" s="5" t="s">
        <v>969</v>
      </c>
      <c r="Y66" s="4">
        <v>605</v>
      </c>
      <c r="Z66" s="4">
        <v>550</v>
      </c>
      <c r="AA66" s="4">
        <v>555</v>
      </c>
      <c r="AB66" s="4">
        <v>1</v>
      </c>
      <c r="AC66" s="4">
        <v>1</v>
      </c>
      <c r="AD66" s="4">
        <v>18</v>
      </c>
      <c r="AE66" s="4">
        <v>18</v>
      </c>
      <c r="AF66" s="4">
        <v>7</v>
      </c>
      <c r="AG66" s="4">
        <v>7</v>
      </c>
      <c r="AH66" s="4">
        <v>4</v>
      </c>
      <c r="AI66" s="4">
        <v>4</v>
      </c>
      <c r="AJ66" s="4">
        <v>13</v>
      </c>
      <c r="AK66" s="4">
        <v>13</v>
      </c>
      <c r="AL66" s="4">
        <v>0</v>
      </c>
      <c r="AM66" s="4">
        <v>0</v>
      </c>
      <c r="AN66" s="4">
        <v>0</v>
      </c>
      <c r="AO66" s="4">
        <v>0</v>
      </c>
      <c r="AP66" s="3" t="s">
        <v>58</v>
      </c>
      <c r="AQ66" s="3" t="s">
        <v>85</v>
      </c>
      <c r="AR66" s="6" t="str">
        <f>HYPERLINK("http://catalog.hathitrust.org/Record/000634428","HathiTrust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HYPERLINK("https://creighton-primo.hosted.exlibrisgroup.com/primo-explore/search?tab=default_tab&amp;search_scope=EVERYTHING&amp;vid=01CRU&amp;lang=en_US&amp;offset=0&amp;query=any,contains,991000870129702656","Catalog Record")</f>
        <v>Catalog Record</v>
      </c>
      <c r="AT66" s="6" t="str">
        <f>HYPERLINK("http://www.worldcat.org/oclc/13792083","WorldCat Record")</f>
        <v>WorldCat Record</v>
      </c>
      <c r="AU66" s="3" t="s">
        <v>970</v>
      </c>
      <c r="AV66" s="3" t="s">
        <v>971</v>
      </c>
      <c r="AW66" s="3" t="s">
        <v>972</v>
      </c>
      <c r="AX66" s="3" t="s">
        <v>972</v>
      </c>
      <c r="AY66" s="3" t="s">
        <v>973</v>
      </c>
      <c r="AZ66" s="3" t="s">
        <v>73</v>
      </c>
      <c r="BB66" s="3" t="s">
        <v>974</v>
      </c>
      <c r="BC66" s="3" t="s">
        <v>975</v>
      </c>
      <c r="BD66" s="3" t="s">
        <v>976</v>
      </c>
    </row>
    <row r="67" spans="1:56" ht="41.25" customHeight="1" x14ac:dyDescent="0.25">
      <c r="A67" s="7" t="s">
        <v>58</v>
      </c>
      <c r="B67" s="2" t="s">
        <v>977</v>
      </c>
      <c r="C67" s="2" t="s">
        <v>978</v>
      </c>
      <c r="D67" s="2" t="s">
        <v>979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980</v>
      </c>
      <c r="L67" s="2" t="s">
        <v>981</v>
      </c>
      <c r="M67" s="3" t="s">
        <v>582</v>
      </c>
      <c r="O67" s="3" t="s">
        <v>64</v>
      </c>
      <c r="P67" s="3" t="s">
        <v>982</v>
      </c>
      <c r="Q67" s="2" t="s">
        <v>983</v>
      </c>
      <c r="R67" s="3" t="s">
        <v>771</v>
      </c>
      <c r="S67" s="4">
        <v>1</v>
      </c>
      <c r="T67" s="4">
        <v>1</v>
      </c>
      <c r="U67" s="5" t="s">
        <v>984</v>
      </c>
      <c r="V67" s="5" t="s">
        <v>984</v>
      </c>
      <c r="W67" s="5" t="s">
        <v>985</v>
      </c>
      <c r="X67" s="5" t="s">
        <v>985</v>
      </c>
      <c r="Y67" s="4">
        <v>78</v>
      </c>
      <c r="Z67" s="4">
        <v>41</v>
      </c>
      <c r="AA67" s="4">
        <v>43</v>
      </c>
      <c r="AB67" s="4">
        <v>1</v>
      </c>
      <c r="AC67" s="4">
        <v>1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3" t="s">
        <v>58</v>
      </c>
      <c r="AQ67" s="3" t="s">
        <v>85</v>
      </c>
      <c r="AR67" s="6" t="str">
        <f>HYPERLINK("http://catalog.hathitrust.org/Record/003076462","HathiTrust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HYPERLINK("https://creighton-primo.hosted.exlibrisgroup.com/primo-explore/search?tab=default_tab&amp;search_scope=EVERYTHING&amp;vid=01CRU&amp;lang=en_US&amp;offset=0&amp;query=any,contains,991003256499702656","Catalog Record")</f>
        <v>Catalog Record</v>
      </c>
      <c r="AT67" s="6" t="str">
        <f>HYPERLINK("http://www.worldcat.org/oclc/37211517","WorldCat Record")</f>
        <v>WorldCat Record</v>
      </c>
      <c r="AU67" s="3" t="s">
        <v>986</v>
      </c>
      <c r="AV67" s="3" t="s">
        <v>987</v>
      </c>
      <c r="AW67" s="3" t="s">
        <v>988</v>
      </c>
      <c r="AX67" s="3" t="s">
        <v>988</v>
      </c>
      <c r="AY67" s="3" t="s">
        <v>989</v>
      </c>
      <c r="AZ67" s="3" t="s">
        <v>73</v>
      </c>
      <c r="BB67" s="3" t="s">
        <v>990</v>
      </c>
      <c r="BC67" s="3" t="s">
        <v>991</v>
      </c>
      <c r="BD67" s="3" t="s">
        <v>992</v>
      </c>
    </row>
    <row r="68" spans="1:56" ht="41.25" customHeight="1" x14ac:dyDescent="0.25">
      <c r="A68" s="7" t="s">
        <v>58</v>
      </c>
      <c r="B68" s="2" t="s">
        <v>993</v>
      </c>
      <c r="C68" s="2" t="s">
        <v>994</v>
      </c>
      <c r="D68" s="2" t="s">
        <v>995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996</v>
      </c>
      <c r="L68" s="2" t="s">
        <v>997</v>
      </c>
      <c r="M68" s="3" t="s">
        <v>318</v>
      </c>
      <c r="O68" s="3" t="s">
        <v>64</v>
      </c>
      <c r="P68" s="3" t="s">
        <v>405</v>
      </c>
      <c r="R68" s="3" t="s">
        <v>771</v>
      </c>
      <c r="S68" s="4">
        <v>1</v>
      </c>
      <c r="T68" s="4">
        <v>1</v>
      </c>
      <c r="U68" s="5" t="s">
        <v>998</v>
      </c>
      <c r="V68" s="5" t="s">
        <v>998</v>
      </c>
      <c r="W68" s="5" t="s">
        <v>998</v>
      </c>
      <c r="X68" s="5" t="s">
        <v>998</v>
      </c>
      <c r="Y68" s="4">
        <v>265</v>
      </c>
      <c r="Z68" s="4">
        <v>242</v>
      </c>
      <c r="AA68" s="4">
        <v>260</v>
      </c>
      <c r="AB68" s="4">
        <v>1</v>
      </c>
      <c r="AC68" s="4">
        <v>2</v>
      </c>
      <c r="AD68" s="4">
        <v>6</v>
      </c>
      <c r="AE68" s="4">
        <v>8</v>
      </c>
      <c r="AF68" s="4">
        <v>3</v>
      </c>
      <c r="AG68" s="4">
        <v>3</v>
      </c>
      <c r="AH68" s="4">
        <v>0</v>
      </c>
      <c r="AI68" s="4">
        <v>1</v>
      </c>
      <c r="AJ68" s="4">
        <v>4</v>
      </c>
      <c r="AK68" s="4">
        <v>5</v>
      </c>
      <c r="AL68" s="4">
        <v>0</v>
      </c>
      <c r="AM68" s="4">
        <v>1</v>
      </c>
      <c r="AN68" s="4">
        <v>0</v>
      </c>
      <c r="AO68" s="4">
        <v>0</v>
      </c>
      <c r="AP68" s="3" t="s">
        <v>58</v>
      </c>
      <c r="AQ68" s="3" t="s">
        <v>58</v>
      </c>
      <c r="AS68" s="6" t="str">
        <f>HYPERLINK("https://creighton-primo.hosted.exlibrisgroup.com/primo-explore/search?tab=default_tab&amp;search_scope=EVERYTHING&amp;vid=01CRU&amp;lang=en_US&amp;offset=0&amp;query=any,contains,991005170739702656","Catalog Record")</f>
        <v>Catalog Record</v>
      </c>
      <c r="AT68" s="6" t="str">
        <f>HYPERLINK("http://www.worldcat.org/oclc/145378613","WorldCat Record")</f>
        <v>WorldCat Record</v>
      </c>
      <c r="AU68" s="3" t="s">
        <v>999</v>
      </c>
      <c r="AV68" s="3" t="s">
        <v>1000</v>
      </c>
      <c r="AW68" s="3" t="s">
        <v>1001</v>
      </c>
      <c r="AX68" s="3" t="s">
        <v>1001</v>
      </c>
      <c r="AY68" s="3" t="s">
        <v>1002</v>
      </c>
      <c r="AZ68" s="3" t="s">
        <v>73</v>
      </c>
      <c r="BB68" s="3" t="s">
        <v>1003</v>
      </c>
      <c r="BC68" s="3" t="s">
        <v>1004</v>
      </c>
      <c r="BD68" s="3" t="s">
        <v>1005</v>
      </c>
    </row>
    <row r="69" spans="1:56" ht="41.25" customHeight="1" x14ac:dyDescent="0.25">
      <c r="A69" s="7" t="s">
        <v>58</v>
      </c>
      <c r="B69" s="2" t="s">
        <v>1006</v>
      </c>
      <c r="C69" s="2" t="s">
        <v>1007</v>
      </c>
      <c r="D69" s="2" t="s">
        <v>1008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1009</v>
      </c>
      <c r="L69" s="2" t="s">
        <v>1010</v>
      </c>
      <c r="M69" s="3" t="s">
        <v>176</v>
      </c>
      <c r="N69" s="2" t="s">
        <v>1011</v>
      </c>
      <c r="O69" s="3" t="s">
        <v>64</v>
      </c>
      <c r="P69" s="3" t="s">
        <v>529</v>
      </c>
      <c r="R69" s="3" t="s">
        <v>771</v>
      </c>
      <c r="S69" s="4">
        <v>2</v>
      </c>
      <c r="T69" s="4">
        <v>2</v>
      </c>
      <c r="U69" s="5" t="s">
        <v>1012</v>
      </c>
      <c r="V69" s="5" t="s">
        <v>1012</v>
      </c>
      <c r="W69" s="5" t="s">
        <v>799</v>
      </c>
      <c r="X69" s="5" t="s">
        <v>799</v>
      </c>
      <c r="Y69" s="4">
        <v>651</v>
      </c>
      <c r="Z69" s="4">
        <v>622</v>
      </c>
      <c r="AA69" s="4">
        <v>760</v>
      </c>
      <c r="AB69" s="4">
        <v>8</v>
      </c>
      <c r="AC69" s="4">
        <v>8</v>
      </c>
      <c r="AD69" s="4">
        <v>7</v>
      </c>
      <c r="AE69" s="4">
        <v>12</v>
      </c>
      <c r="AF69" s="4">
        <v>0</v>
      </c>
      <c r="AG69" s="4">
        <v>3</v>
      </c>
      <c r="AH69" s="4">
        <v>1</v>
      </c>
      <c r="AI69" s="4">
        <v>3</v>
      </c>
      <c r="AJ69" s="4">
        <v>2</v>
      </c>
      <c r="AK69" s="4">
        <v>5</v>
      </c>
      <c r="AL69" s="4">
        <v>4</v>
      </c>
      <c r="AM69" s="4">
        <v>4</v>
      </c>
      <c r="AN69" s="4">
        <v>0</v>
      </c>
      <c r="AO69" s="4">
        <v>0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HYPERLINK("https://creighton-primo.hosted.exlibrisgroup.com/primo-explore/search?tab=default_tab&amp;search_scope=EVERYTHING&amp;vid=01CRU&amp;lang=en_US&amp;offset=0&amp;query=any,contains,991000327919702656","Catalog Record")</f>
        <v>Catalog Record</v>
      </c>
      <c r="AT69" s="6" t="str">
        <f>HYPERLINK("http://www.worldcat.org/oclc/69952","WorldCat Record")</f>
        <v>WorldCat Record</v>
      </c>
      <c r="AU69" s="3" t="s">
        <v>1013</v>
      </c>
      <c r="AV69" s="3" t="s">
        <v>1014</v>
      </c>
      <c r="AW69" s="3" t="s">
        <v>1015</v>
      </c>
      <c r="AX69" s="3" t="s">
        <v>1015</v>
      </c>
      <c r="AY69" s="3" t="s">
        <v>1016</v>
      </c>
      <c r="AZ69" s="3" t="s">
        <v>73</v>
      </c>
      <c r="BB69" s="3" t="s">
        <v>1017</v>
      </c>
      <c r="BC69" s="3" t="s">
        <v>1018</v>
      </c>
      <c r="BD69" s="3" t="s">
        <v>1019</v>
      </c>
    </row>
    <row r="70" spans="1:56" ht="41.25" customHeight="1" x14ac:dyDescent="0.25">
      <c r="A70" s="7" t="s">
        <v>58</v>
      </c>
      <c r="B70" s="2" t="s">
        <v>1020</v>
      </c>
      <c r="C70" s="2" t="s">
        <v>1021</v>
      </c>
      <c r="D70" s="2" t="s">
        <v>1022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1023</v>
      </c>
      <c r="L70" s="2" t="s">
        <v>1024</v>
      </c>
      <c r="M70" s="3" t="s">
        <v>1025</v>
      </c>
      <c r="N70" s="2" t="s">
        <v>1026</v>
      </c>
      <c r="O70" s="3" t="s">
        <v>64</v>
      </c>
      <c r="P70" s="3" t="s">
        <v>231</v>
      </c>
      <c r="Q70" s="2" t="s">
        <v>1027</v>
      </c>
      <c r="R70" s="3" t="s">
        <v>771</v>
      </c>
      <c r="S70" s="4">
        <v>17</v>
      </c>
      <c r="T70" s="4">
        <v>17</v>
      </c>
      <c r="U70" s="5" t="s">
        <v>1028</v>
      </c>
      <c r="V70" s="5" t="s">
        <v>1028</v>
      </c>
      <c r="W70" s="5" t="s">
        <v>1029</v>
      </c>
      <c r="X70" s="5" t="s">
        <v>1029</v>
      </c>
      <c r="Y70" s="4">
        <v>1255</v>
      </c>
      <c r="Z70" s="4">
        <v>1076</v>
      </c>
      <c r="AA70" s="4">
        <v>1585</v>
      </c>
      <c r="AB70" s="4">
        <v>17</v>
      </c>
      <c r="AC70" s="4">
        <v>23</v>
      </c>
      <c r="AD70" s="4">
        <v>18</v>
      </c>
      <c r="AE70" s="4">
        <v>19</v>
      </c>
      <c r="AF70" s="4">
        <v>7</v>
      </c>
      <c r="AG70" s="4">
        <v>7</v>
      </c>
      <c r="AH70" s="4">
        <v>4</v>
      </c>
      <c r="AI70" s="4">
        <v>4</v>
      </c>
      <c r="AJ70" s="4">
        <v>6</v>
      </c>
      <c r="AK70" s="4">
        <v>6</v>
      </c>
      <c r="AL70" s="4">
        <v>4</v>
      </c>
      <c r="AM70" s="4">
        <v>5</v>
      </c>
      <c r="AN70" s="4">
        <v>0</v>
      </c>
      <c r="AO70" s="4">
        <v>0</v>
      </c>
      <c r="AP70" s="3" t="s">
        <v>58</v>
      </c>
      <c r="AQ70" s="3" t="s">
        <v>58</v>
      </c>
      <c r="AS70" s="6" t="str">
        <f>HYPERLINK("https://creighton-primo.hosted.exlibrisgroup.com/primo-explore/search?tab=default_tab&amp;search_scope=EVERYTHING&amp;vid=01CRU&amp;lang=en_US&amp;offset=0&amp;query=any,contains,991002211559702656","Catalog Record")</f>
        <v>Catalog Record</v>
      </c>
      <c r="AT70" s="6" t="str">
        <f>HYPERLINK("http://www.worldcat.org/oclc/28424743","WorldCat Record")</f>
        <v>WorldCat Record</v>
      </c>
      <c r="AU70" s="3" t="s">
        <v>1030</v>
      </c>
      <c r="AV70" s="3" t="s">
        <v>1031</v>
      </c>
      <c r="AW70" s="3" t="s">
        <v>1032</v>
      </c>
      <c r="AX70" s="3" t="s">
        <v>1032</v>
      </c>
      <c r="AY70" s="3" t="s">
        <v>1033</v>
      </c>
      <c r="AZ70" s="3" t="s">
        <v>73</v>
      </c>
      <c r="BB70" s="3" t="s">
        <v>1034</v>
      </c>
      <c r="BC70" s="3" t="s">
        <v>1035</v>
      </c>
      <c r="BD70" s="3" t="s">
        <v>1036</v>
      </c>
    </row>
    <row r="71" spans="1:56" ht="41.25" customHeight="1" x14ac:dyDescent="0.25">
      <c r="A71" s="7" t="s">
        <v>58</v>
      </c>
      <c r="B71" s="2" t="s">
        <v>1037</v>
      </c>
      <c r="C71" s="2" t="s">
        <v>1038</v>
      </c>
      <c r="D71" s="2" t="s">
        <v>1039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1040</v>
      </c>
      <c r="L71" s="2" t="s">
        <v>1041</v>
      </c>
      <c r="M71" s="3" t="s">
        <v>543</v>
      </c>
      <c r="O71" s="3" t="s">
        <v>64</v>
      </c>
      <c r="P71" s="3" t="s">
        <v>65</v>
      </c>
      <c r="R71" s="3" t="s">
        <v>1042</v>
      </c>
      <c r="S71" s="4">
        <v>5</v>
      </c>
      <c r="T71" s="4">
        <v>5</v>
      </c>
      <c r="U71" s="5" t="s">
        <v>1043</v>
      </c>
      <c r="V71" s="5" t="s">
        <v>1043</v>
      </c>
      <c r="W71" s="5" t="s">
        <v>1044</v>
      </c>
      <c r="X71" s="5" t="s">
        <v>1044</v>
      </c>
      <c r="Y71" s="4">
        <v>195</v>
      </c>
      <c r="Z71" s="4">
        <v>169</v>
      </c>
      <c r="AA71" s="4">
        <v>238</v>
      </c>
      <c r="AB71" s="4">
        <v>3</v>
      </c>
      <c r="AC71" s="4">
        <v>4</v>
      </c>
      <c r="AD71" s="4">
        <v>0</v>
      </c>
      <c r="AE71" s="4">
        <v>2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1</v>
      </c>
      <c r="AL71" s="4">
        <v>0</v>
      </c>
      <c r="AM71" s="4">
        <v>1</v>
      </c>
      <c r="AN71" s="4">
        <v>0</v>
      </c>
      <c r="AO71" s="4">
        <v>0</v>
      </c>
      <c r="AP71" s="3" t="s">
        <v>58</v>
      </c>
      <c r="AQ71" s="3" t="s">
        <v>58</v>
      </c>
      <c r="AS71" s="6" t="str">
        <f>HYPERLINK("https://creighton-primo.hosted.exlibrisgroup.com/primo-explore/search?tab=default_tab&amp;search_scope=EVERYTHING&amp;vid=01CRU&amp;lang=en_US&amp;offset=0&amp;query=any,contains,991003128189702656","Catalog Record")</f>
        <v>Catalog Record</v>
      </c>
      <c r="AT71" s="6" t="str">
        <f>HYPERLINK("http://www.worldcat.org/oclc/671917","WorldCat Record")</f>
        <v>WorldCat Record</v>
      </c>
      <c r="AU71" s="3" t="s">
        <v>1045</v>
      </c>
      <c r="AV71" s="3" t="s">
        <v>1046</v>
      </c>
      <c r="AW71" s="3" t="s">
        <v>1047</v>
      </c>
      <c r="AX71" s="3" t="s">
        <v>1047</v>
      </c>
      <c r="AY71" s="3" t="s">
        <v>1048</v>
      </c>
      <c r="AZ71" s="3" t="s">
        <v>73</v>
      </c>
      <c r="BB71" s="3" t="s">
        <v>1049</v>
      </c>
      <c r="BC71" s="3" t="s">
        <v>1050</v>
      </c>
      <c r="BD71" s="3" t="s">
        <v>1051</v>
      </c>
    </row>
    <row r="72" spans="1:56" ht="41.25" customHeight="1" x14ac:dyDescent="0.25">
      <c r="A72" s="7" t="s">
        <v>58</v>
      </c>
      <c r="B72" s="2" t="s">
        <v>1052</v>
      </c>
      <c r="C72" s="2" t="s">
        <v>1053</v>
      </c>
      <c r="D72" s="2" t="s">
        <v>1054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K72" s="2" t="s">
        <v>1055</v>
      </c>
      <c r="L72" s="2" t="s">
        <v>1056</v>
      </c>
      <c r="M72" s="3" t="s">
        <v>754</v>
      </c>
      <c r="N72" s="2" t="s">
        <v>1057</v>
      </c>
      <c r="O72" s="3" t="s">
        <v>64</v>
      </c>
      <c r="P72" s="3" t="s">
        <v>65</v>
      </c>
      <c r="R72" s="3" t="s">
        <v>1042</v>
      </c>
      <c r="S72" s="4">
        <v>22</v>
      </c>
      <c r="T72" s="4">
        <v>22</v>
      </c>
      <c r="U72" s="5" t="s">
        <v>1058</v>
      </c>
      <c r="V72" s="5" t="s">
        <v>1058</v>
      </c>
      <c r="W72" s="5" t="s">
        <v>715</v>
      </c>
      <c r="X72" s="5" t="s">
        <v>715</v>
      </c>
      <c r="Y72" s="4">
        <v>236</v>
      </c>
      <c r="Z72" s="4">
        <v>187</v>
      </c>
      <c r="AA72" s="4">
        <v>194</v>
      </c>
      <c r="AB72" s="4">
        <v>3</v>
      </c>
      <c r="AC72" s="4">
        <v>3</v>
      </c>
      <c r="AD72" s="4">
        <v>10</v>
      </c>
      <c r="AE72" s="4">
        <v>10</v>
      </c>
      <c r="AF72" s="4">
        <v>5</v>
      </c>
      <c r="AG72" s="4">
        <v>5</v>
      </c>
      <c r="AH72" s="4">
        <v>0</v>
      </c>
      <c r="AI72" s="4">
        <v>0</v>
      </c>
      <c r="AJ72" s="4">
        <v>4</v>
      </c>
      <c r="AK72" s="4">
        <v>4</v>
      </c>
      <c r="AL72" s="4">
        <v>2</v>
      </c>
      <c r="AM72" s="4">
        <v>2</v>
      </c>
      <c r="AN72" s="4">
        <v>0</v>
      </c>
      <c r="AO72" s="4">
        <v>0</v>
      </c>
      <c r="AP72" s="3" t="s">
        <v>58</v>
      </c>
      <c r="AQ72" s="3" t="s">
        <v>85</v>
      </c>
      <c r="AR72" s="6" t="str">
        <f>HYPERLINK("http://catalog.hathitrust.org/Record/102077094","HathiTrust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HYPERLINK("https://creighton-primo.hosted.exlibrisgroup.com/primo-explore/search?tab=default_tab&amp;search_scope=EVERYTHING&amp;vid=01CRU&amp;lang=en_US&amp;offset=0&amp;query=any,contains,991000157919702656","Catalog Record")</f>
        <v>Catalog Record</v>
      </c>
      <c r="AT72" s="6" t="str">
        <f>HYPERLINK("http://www.worldcat.org/oclc/9254495","WorldCat Record")</f>
        <v>WorldCat Record</v>
      </c>
      <c r="AU72" s="3" t="s">
        <v>1059</v>
      </c>
      <c r="AV72" s="3" t="s">
        <v>1060</v>
      </c>
      <c r="AW72" s="3" t="s">
        <v>1061</v>
      </c>
      <c r="AX72" s="3" t="s">
        <v>1061</v>
      </c>
      <c r="AY72" s="3" t="s">
        <v>1062</v>
      </c>
      <c r="AZ72" s="3" t="s">
        <v>73</v>
      </c>
      <c r="BB72" s="3" t="s">
        <v>1063</v>
      </c>
      <c r="BC72" s="3" t="s">
        <v>1064</v>
      </c>
      <c r="BD72" s="3" t="s">
        <v>1065</v>
      </c>
    </row>
    <row r="73" spans="1:56" ht="41.25" customHeight="1" x14ac:dyDescent="0.25">
      <c r="A73" s="7" t="s">
        <v>58</v>
      </c>
      <c r="B73" s="2" t="s">
        <v>1066</v>
      </c>
      <c r="C73" s="2" t="s">
        <v>1067</v>
      </c>
      <c r="D73" s="2" t="s">
        <v>1068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1069</v>
      </c>
      <c r="L73" s="2" t="s">
        <v>1070</v>
      </c>
      <c r="M73" s="3" t="s">
        <v>1071</v>
      </c>
      <c r="O73" s="3" t="s">
        <v>64</v>
      </c>
      <c r="P73" s="3" t="s">
        <v>65</v>
      </c>
      <c r="R73" s="3" t="s">
        <v>1042</v>
      </c>
      <c r="S73" s="4">
        <v>13</v>
      </c>
      <c r="T73" s="4">
        <v>13</v>
      </c>
      <c r="U73" s="5" t="s">
        <v>1072</v>
      </c>
      <c r="V73" s="5" t="s">
        <v>1072</v>
      </c>
      <c r="W73" s="5" t="s">
        <v>1073</v>
      </c>
      <c r="X73" s="5" t="s">
        <v>1073</v>
      </c>
      <c r="Y73" s="4">
        <v>181</v>
      </c>
      <c r="Z73" s="4">
        <v>174</v>
      </c>
      <c r="AA73" s="4">
        <v>758</v>
      </c>
      <c r="AB73" s="4">
        <v>3</v>
      </c>
      <c r="AC73" s="4">
        <v>8</v>
      </c>
      <c r="AD73" s="4">
        <v>1</v>
      </c>
      <c r="AE73" s="4">
        <v>6</v>
      </c>
      <c r="AF73" s="4">
        <v>0</v>
      </c>
      <c r="AG73" s="4">
        <v>2</v>
      </c>
      <c r="AH73" s="4">
        <v>0</v>
      </c>
      <c r="AI73" s="4">
        <v>1</v>
      </c>
      <c r="AJ73" s="4">
        <v>0</v>
      </c>
      <c r="AK73" s="4">
        <v>2</v>
      </c>
      <c r="AL73" s="4">
        <v>1</v>
      </c>
      <c r="AM73" s="4">
        <v>2</v>
      </c>
      <c r="AN73" s="4">
        <v>0</v>
      </c>
      <c r="AO73" s="4">
        <v>0</v>
      </c>
      <c r="AP73" s="3" t="s">
        <v>58</v>
      </c>
      <c r="AQ73" s="3" t="s">
        <v>58</v>
      </c>
      <c r="AS73" s="6" t="str">
        <f>HYPERLINK("https://creighton-primo.hosted.exlibrisgroup.com/primo-explore/search?tab=default_tab&amp;search_scope=EVERYTHING&amp;vid=01CRU&amp;lang=en_US&amp;offset=0&amp;query=any,contains,991005148279702656","Catalog Record")</f>
        <v>Catalog Record</v>
      </c>
      <c r="AT73" s="6" t="str">
        <f>HYPERLINK("http://www.worldcat.org/oclc/7674633","WorldCat Record")</f>
        <v>WorldCat Record</v>
      </c>
      <c r="AU73" s="3" t="s">
        <v>1074</v>
      </c>
      <c r="AV73" s="3" t="s">
        <v>1075</v>
      </c>
      <c r="AW73" s="3" t="s">
        <v>1076</v>
      </c>
      <c r="AX73" s="3" t="s">
        <v>1076</v>
      </c>
      <c r="AY73" s="3" t="s">
        <v>1077</v>
      </c>
      <c r="AZ73" s="3" t="s">
        <v>73</v>
      </c>
      <c r="BC73" s="3" t="s">
        <v>1078</v>
      </c>
      <c r="BD73" s="3" t="s">
        <v>1079</v>
      </c>
    </row>
    <row r="74" spans="1:56" ht="41.25" customHeight="1" x14ac:dyDescent="0.25">
      <c r="A74" s="7" t="s">
        <v>58</v>
      </c>
      <c r="B74" s="2" t="s">
        <v>1080</v>
      </c>
      <c r="C74" s="2" t="s">
        <v>1081</v>
      </c>
      <c r="D74" s="2" t="s">
        <v>1082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1083</v>
      </c>
      <c r="L74" s="2" t="s">
        <v>1084</v>
      </c>
      <c r="M74" s="3" t="s">
        <v>1025</v>
      </c>
      <c r="N74" s="2" t="s">
        <v>1085</v>
      </c>
      <c r="O74" s="3" t="s">
        <v>64</v>
      </c>
      <c r="P74" s="3" t="s">
        <v>1086</v>
      </c>
      <c r="Q74" s="2" t="s">
        <v>1087</v>
      </c>
      <c r="R74" s="3" t="s">
        <v>1042</v>
      </c>
      <c r="S74" s="4">
        <v>8</v>
      </c>
      <c r="T74" s="4">
        <v>8</v>
      </c>
      <c r="U74" s="5" t="s">
        <v>1088</v>
      </c>
      <c r="V74" s="5" t="s">
        <v>1088</v>
      </c>
      <c r="W74" s="5" t="s">
        <v>1089</v>
      </c>
      <c r="X74" s="5" t="s">
        <v>1089</v>
      </c>
      <c r="Y74" s="4">
        <v>516</v>
      </c>
      <c r="Z74" s="4">
        <v>494</v>
      </c>
      <c r="AA74" s="4">
        <v>499</v>
      </c>
      <c r="AB74" s="4">
        <v>3</v>
      </c>
      <c r="AC74" s="4">
        <v>3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3" t="s">
        <v>58</v>
      </c>
      <c r="AQ74" s="3" t="s">
        <v>58</v>
      </c>
      <c r="AS74" s="6" t="str">
        <f>HYPERLINK("https://creighton-primo.hosted.exlibrisgroup.com/primo-explore/search?tab=default_tab&amp;search_scope=EVERYTHING&amp;vid=01CRU&amp;lang=en_US&amp;offset=0&amp;query=any,contains,991004576769702656","Catalog Record")</f>
        <v>Catalog Record</v>
      </c>
      <c r="AT74" s="6" t="str">
        <f>HYPERLINK("http://www.worldcat.org/oclc/30547355","WorldCat Record")</f>
        <v>WorldCat Record</v>
      </c>
      <c r="AU74" s="3" t="s">
        <v>1090</v>
      </c>
      <c r="AV74" s="3" t="s">
        <v>1091</v>
      </c>
      <c r="AW74" s="3" t="s">
        <v>1092</v>
      </c>
      <c r="AX74" s="3" t="s">
        <v>1092</v>
      </c>
      <c r="AY74" s="3" t="s">
        <v>1093</v>
      </c>
      <c r="AZ74" s="3" t="s">
        <v>73</v>
      </c>
      <c r="BB74" s="3" t="s">
        <v>1094</v>
      </c>
      <c r="BC74" s="3" t="s">
        <v>1095</v>
      </c>
      <c r="BD74" s="3" t="s">
        <v>1096</v>
      </c>
    </row>
    <row r="75" spans="1:56" ht="41.25" customHeight="1" x14ac:dyDescent="0.25">
      <c r="A75" s="7" t="s">
        <v>58</v>
      </c>
      <c r="B75" s="2" t="s">
        <v>1097</v>
      </c>
      <c r="C75" s="2" t="s">
        <v>1098</v>
      </c>
      <c r="D75" s="2" t="s">
        <v>1099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1100</v>
      </c>
      <c r="L75" s="2" t="s">
        <v>1101</v>
      </c>
      <c r="M75" s="3" t="s">
        <v>437</v>
      </c>
      <c r="N75" s="2" t="s">
        <v>528</v>
      </c>
      <c r="O75" s="3" t="s">
        <v>64</v>
      </c>
      <c r="P75" s="3" t="s">
        <v>65</v>
      </c>
      <c r="R75" s="3" t="s">
        <v>1042</v>
      </c>
      <c r="S75" s="4">
        <v>10</v>
      </c>
      <c r="T75" s="4">
        <v>10</v>
      </c>
      <c r="U75" s="5" t="s">
        <v>1102</v>
      </c>
      <c r="V75" s="5" t="s">
        <v>1102</v>
      </c>
      <c r="W75" s="5" t="s">
        <v>1044</v>
      </c>
      <c r="X75" s="5" t="s">
        <v>1044</v>
      </c>
      <c r="Y75" s="4">
        <v>287</v>
      </c>
      <c r="Z75" s="4">
        <v>219</v>
      </c>
      <c r="AA75" s="4">
        <v>219</v>
      </c>
      <c r="AB75" s="4">
        <v>1</v>
      </c>
      <c r="AC75" s="4">
        <v>1</v>
      </c>
      <c r="AD75" s="4">
        <v>2</v>
      </c>
      <c r="AE75" s="4">
        <v>2</v>
      </c>
      <c r="AF75" s="4">
        <v>2</v>
      </c>
      <c r="AG75" s="4">
        <v>2</v>
      </c>
      <c r="AH75" s="4">
        <v>0</v>
      </c>
      <c r="AI75" s="4">
        <v>0</v>
      </c>
      <c r="AJ75" s="4">
        <v>1</v>
      </c>
      <c r="AK75" s="4">
        <v>1</v>
      </c>
      <c r="AL75" s="4">
        <v>0</v>
      </c>
      <c r="AM75" s="4">
        <v>0</v>
      </c>
      <c r="AN75" s="4">
        <v>0</v>
      </c>
      <c r="AO75" s="4">
        <v>0</v>
      </c>
      <c r="AP75" s="3" t="s">
        <v>58</v>
      </c>
      <c r="AQ75" s="3" t="s">
        <v>58</v>
      </c>
      <c r="AS75" s="6" t="str">
        <f>HYPERLINK("https://creighton-primo.hosted.exlibrisgroup.com/primo-explore/search?tab=default_tab&amp;search_scope=EVERYTHING&amp;vid=01CRU&amp;lang=en_US&amp;offset=0&amp;query=any,contains,991005092979702656","Catalog Record")</f>
        <v>Catalog Record</v>
      </c>
      <c r="AT75" s="6" t="str">
        <f>HYPERLINK("http://www.worldcat.org/oclc/7248565","WorldCat Record")</f>
        <v>WorldCat Record</v>
      </c>
      <c r="AU75" s="3" t="s">
        <v>1103</v>
      </c>
      <c r="AV75" s="3" t="s">
        <v>1104</v>
      </c>
      <c r="AW75" s="3" t="s">
        <v>1105</v>
      </c>
      <c r="AX75" s="3" t="s">
        <v>1105</v>
      </c>
      <c r="AY75" s="3" t="s">
        <v>1106</v>
      </c>
      <c r="AZ75" s="3" t="s">
        <v>73</v>
      </c>
      <c r="BB75" s="3" t="s">
        <v>1107</v>
      </c>
      <c r="BC75" s="3" t="s">
        <v>1108</v>
      </c>
      <c r="BD75" s="3" t="s">
        <v>1109</v>
      </c>
    </row>
    <row r="76" spans="1:56" ht="41.25" customHeight="1" x14ac:dyDescent="0.25">
      <c r="A76" s="7" t="s">
        <v>58</v>
      </c>
      <c r="B76" s="2" t="s">
        <v>1110</v>
      </c>
      <c r="C76" s="2" t="s">
        <v>1111</v>
      </c>
      <c r="D76" s="2" t="s">
        <v>1112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1113</v>
      </c>
      <c r="L76" s="2" t="s">
        <v>1114</v>
      </c>
      <c r="M76" s="3" t="s">
        <v>146</v>
      </c>
      <c r="N76" s="2" t="s">
        <v>1115</v>
      </c>
      <c r="O76" s="3" t="s">
        <v>64</v>
      </c>
      <c r="P76" s="3" t="s">
        <v>65</v>
      </c>
      <c r="R76" s="3" t="s">
        <v>1042</v>
      </c>
      <c r="S76" s="4">
        <v>13</v>
      </c>
      <c r="T76" s="4">
        <v>13</v>
      </c>
      <c r="U76" s="5" t="s">
        <v>1116</v>
      </c>
      <c r="V76" s="5" t="s">
        <v>1116</v>
      </c>
      <c r="W76" s="5" t="s">
        <v>1117</v>
      </c>
      <c r="X76" s="5" t="s">
        <v>1117</v>
      </c>
      <c r="Y76" s="4">
        <v>72</v>
      </c>
      <c r="Z76" s="4">
        <v>62</v>
      </c>
      <c r="AA76" s="4">
        <v>549</v>
      </c>
      <c r="AB76" s="4">
        <v>1</v>
      </c>
      <c r="AC76" s="4">
        <v>4</v>
      </c>
      <c r="AD76" s="4">
        <v>1</v>
      </c>
      <c r="AE76" s="4">
        <v>17</v>
      </c>
      <c r="AF76" s="4">
        <v>1</v>
      </c>
      <c r="AG76" s="4">
        <v>9</v>
      </c>
      <c r="AH76" s="4">
        <v>0</v>
      </c>
      <c r="AI76" s="4">
        <v>2</v>
      </c>
      <c r="AJ76" s="4">
        <v>0</v>
      </c>
      <c r="AK76" s="4">
        <v>5</v>
      </c>
      <c r="AL76" s="4">
        <v>0</v>
      </c>
      <c r="AM76" s="4">
        <v>3</v>
      </c>
      <c r="AN76" s="4">
        <v>0</v>
      </c>
      <c r="AO76" s="4">
        <v>0</v>
      </c>
      <c r="AP76" s="3" t="s">
        <v>58</v>
      </c>
      <c r="AQ76" s="3" t="s">
        <v>58</v>
      </c>
      <c r="AS76" s="6" t="str">
        <f>HYPERLINK("https://creighton-primo.hosted.exlibrisgroup.com/primo-explore/search?tab=default_tab&amp;search_scope=EVERYTHING&amp;vid=01CRU&amp;lang=en_US&amp;offset=0&amp;query=any,contains,991005406429702656","Catalog Record")</f>
        <v>Catalog Record</v>
      </c>
      <c r="AT76" s="6" t="str">
        <f>HYPERLINK("http://www.worldcat.org/oclc/13352975","WorldCat Record")</f>
        <v>WorldCat Record</v>
      </c>
      <c r="AU76" s="3" t="s">
        <v>1118</v>
      </c>
      <c r="AV76" s="3" t="s">
        <v>1119</v>
      </c>
      <c r="AW76" s="3" t="s">
        <v>1120</v>
      </c>
      <c r="AX76" s="3" t="s">
        <v>1120</v>
      </c>
      <c r="AY76" s="3" t="s">
        <v>1121</v>
      </c>
      <c r="AZ76" s="3" t="s">
        <v>73</v>
      </c>
      <c r="BC76" s="3" t="s">
        <v>1122</v>
      </c>
      <c r="BD76" s="3" t="s">
        <v>1123</v>
      </c>
    </row>
    <row r="77" spans="1:56" ht="41.25" customHeight="1" x14ac:dyDescent="0.25">
      <c r="A77" s="7" t="s">
        <v>58</v>
      </c>
      <c r="B77" s="2" t="s">
        <v>1124</v>
      </c>
      <c r="C77" s="2" t="s">
        <v>1125</v>
      </c>
      <c r="D77" s="2" t="s">
        <v>1126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1127</v>
      </c>
      <c r="L77" s="2" t="s">
        <v>1128</v>
      </c>
      <c r="M77" s="3" t="s">
        <v>1129</v>
      </c>
      <c r="O77" s="3" t="s">
        <v>64</v>
      </c>
      <c r="P77" s="3" t="s">
        <v>1130</v>
      </c>
      <c r="Q77" s="2" t="s">
        <v>1131</v>
      </c>
      <c r="R77" s="3" t="s">
        <v>1042</v>
      </c>
      <c r="S77" s="4">
        <v>8</v>
      </c>
      <c r="T77" s="4">
        <v>8</v>
      </c>
      <c r="U77" s="5" t="s">
        <v>1132</v>
      </c>
      <c r="V77" s="5" t="s">
        <v>1132</v>
      </c>
      <c r="W77" s="5" t="s">
        <v>1044</v>
      </c>
      <c r="X77" s="5" t="s">
        <v>1044</v>
      </c>
      <c r="Y77" s="4">
        <v>858</v>
      </c>
      <c r="Z77" s="4">
        <v>826</v>
      </c>
      <c r="AA77" s="4">
        <v>1121</v>
      </c>
      <c r="AB77" s="4">
        <v>8</v>
      </c>
      <c r="AC77" s="4">
        <v>10</v>
      </c>
      <c r="AD77" s="4">
        <v>1</v>
      </c>
      <c r="AE77" s="4">
        <v>1</v>
      </c>
      <c r="AF77" s="4">
        <v>1</v>
      </c>
      <c r="AG77" s="4">
        <v>1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3" t="s">
        <v>58</v>
      </c>
      <c r="AQ77" s="3" t="s">
        <v>58</v>
      </c>
      <c r="AS77" s="6" t="str">
        <f>HYPERLINK("https://creighton-primo.hosted.exlibrisgroup.com/primo-explore/search?tab=default_tab&amp;search_scope=EVERYTHING&amp;vid=01CRU&amp;lang=en_US&amp;offset=0&amp;query=any,contains,991004974309702656","Catalog Record")</f>
        <v>Catalog Record</v>
      </c>
      <c r="AT77" s="6" t="str">
        <f>HYPERLINK("http://www.worldcat.org/oclc/6378838","WorldCat Record")</f>
        <v>WorldCat Record</v>
      </c>
      <c r="AU77" s="3" t="s">
        <v>1133</v>
      </c>
      <c r="AV77" s="3" t="s">
        <v>1134</v>
      </c>
      <c r="AW77" s="3" t="s">
        <v>1135</v>
      </c>
      <c r="AX77" s="3" t="s">
        <v>1135</v>
      </c>
      <c r="AY77" s="3" t="s">
        <v>1136</v>
      </c>
      <c r="AZ77" s="3" t="s">
        <v>73</v>
      </c>
      <c r="BB77" s="3" t="s">
        <v>1137</v>
      </c>
      <c r="BC77" s="3" t="s">
        <v>1138</v>
      </c>
      <c r="BD77" s="3" t="s">
        <v>1139</v>
      </c>
    </row>
    <row r="78" spans="1:56" ht="41.25" customHeight="1" x14ac:dyDescent="0.25">
      <c r="A78" s="7" t="s">
        <v>58</v>
      </c>
      <c r="B78" s="2" t="s">
        <v>1140</v>
      </c>
      <c r="C78" s="2" t="s">
        <v>1141</v>
      </c>
      <c r="D78" s="2" t="s">
        <v>1142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1143</v>
      </c>
      <c r="L78" s="2" t="s">
        <v>1144</v>
      </c>
      <c r="M78" s="3" t="s">
        <v>262</v>
      </c>
      <c r="O78" s="3" t="s">
        <v>64</v>
      </c>
      <c r="P78" s="3" t="s">
        <v>65</v>
      </c>
      <c r="R78" s="3" t="s">
        <v>1042</v>
      </c>
      <c r="S78" s="4">
        <v>2</v>
      </c>
      <c r="T78" s="4">
        <v>2</v>
      </c>
      <c r="U78" s="5" t="s">
        <v>1145</v>
      </c>
      <c r="V78" s="5" t="s">
        <v>1145</v>
      </c>
      <c r="W78" s="5" t="s">
        <v>1146</v>
      </c>
      <c r="X78" s="5" t="s">
        <v>1146</v>
      </c>
      <c r="Y78" s="4">
        <v>318</v>
      </c>
      <c r="Z78" s="4">
        <v>314</v>
      </c>
      <c r="AA78" s="4">
        <v>345</v>
      </c>
      <c r="AB78" s="4">
        <v>3</v>
      </c>
      <c r="AC78" s="4">
        <v>3</v>
      </c>
      <c r="AD78" s="4">
        <v>3</v>
      </c>
      <c r="AE78" s="4">
        <v>3</v>
      </c>
      <c r="AF78" s="4">
        <v>1</v>
      </c>
      <c r="AG78" s="4">
        <v>1</v>
      </c>
      <c r="AH78" s="4">
        <v>1</v>
      </c>
      <c r="AI78" s="4">
        <v>1</v>
      </c>
      <c r="AJ78" s="4">
        <v>1</v>
      </c>
      <c r="AK78" s="4">
        <v>1</v>
      </c>
      <c r="AL78" s="4">
        <v>1</v>
      </c>
      <c r="AM78" s="4">
        <v>1</v>
      </c>
      <c r="AN78" s="4">
        <v>0</v>
      </c>
      <c r="AO78" s="4">
        <v>0</v>
      </c>
      <c r="AP78" s="3" t="s">
        <v>58</v>
      </c>
      <c r="AQ78" s="3" t="s">
        <v>85</v>
      </c>
      <c r="AR78" s="6" t="str">
        <f>HYPERLINK("http://catalog.hathitrust.org/Record/008704843","HathiTrust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HYPERLINK("https://creighton-primo.hosted.exlibrisgroup.com/primo-explore/search?tab=default_tab&amp;search_scope=EVERYTHING&amp;vid=01CRU&amp;lang=en_US&amp;offset=0&amp;query=any,contains,991003613429702656","Catalog Record")</f>
        <v>Catalog Record</v>
      </c>
      <c r="AT78" s="6" t="str">
        <f>HYPERLINK("http://www.worldcat.org/oclc/1195980","WorldCat Record")</f>
        <v>WorldCat Record</v>
      </c>
      <c r="AU78" s="3" t="s">
        <v>1147</v>
      </c>
      <c r="AV78" s="3" t="s">
        <v>1148</v>
      </c>
      <c r="AW78" s="3" t="s">
        <v>1149</v>
      </c>
      <c r="AX78" s="3" t="s">
        <v>1149</v>
      </c>
      <c r="AY78" s="3" t="s">
        <v>1150</v>
      </c>
      <c r="AZ78" s="3" t="s">
        <v>73</v>
      </c>
      <c r="BB78" s="3" t="s">
        <v>1151</v>
      </c>
      <c r="BC78" s="3" t="s">
        <v>1152</v>
      </c>
      <c r="BD78" s="3" t="s">
        <v>1153</v>
      </c>
    </row>
    <row r="79" spans="1:56" ht="41.25" customHeight="1" x14ac:dyDescent="0.25">
      <c r="A79" s="7" t="s">
        <v>58</v>
      </c>
      <c r="B79" s="2" t="s">
        <v>1154</v>
      </c>
      <c r="C79" s="2" t="s">
        <v>1155</v>
      </c>
      <c r="D79" s="2" t="s">
        <v>1156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1157</v>
      </c>
      <c r="L79" s="2" t="s">
        <v>1158</v>
      </c>
      <c r="M79" s="3" t="s">
        <v>403</v>
      </c>
      <c r="O79" s="3" t="s">
        <v>64</v>
      </c>
      <c r="P79" s="3" t="s">
        <v>65</v>
      </c>
      <c r="R79" s="3" t="s">
        <v>1042</v>
      </c>
      <c r="S79" s="4">
        <v>3</v>
      </c>
      <c r="T79" s="4">
        <v>3</v>
      </c>
      <c r="U79" s="5" t="s">
        <v>1159</v>
      </c>
      <c r="V79" s="5" t="s">
        <v>1159</v>
      </c>
      <c r="W79" s="5" t="s">
        <v>1044</v>
      </c>
      <c r="X79" s="5" t="s">
        <v>1044</v>
      </c>
      <c r="Y79" s="4">
        <v>577</v>
      </c>
      <c r="Z79" s="4">
        <v>540</v>
      </c>
      <c r="AA79" s="4">
        <v>809</v>
      </c>
      <c r="AB79" s="4">
        <v>5</v>
      </c>
      <c r="AC79" s="4">
        <v>8</v>
      </c>
      <c r="AD79" s="4">
        <v>0</v>
      </c>
      <c r="AE79" s="4">
        <v>1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1</v>
      </c>
      <c r="AN79" s="4">
        <v>0</v>
      </c>
      <c r="AO79" s="4">
        <v>0</v>
      </c>
      <c r="AP79" s="3" t="s">
        <v>58</v>
      </c>
      <c r="AQ79" s="3" t="s">
        <v>58</v>
      </c>
      <c r="AS79" s="6" t="str">
        <f>HYPERLINK("https://creighton-primo.hosted.exlibrisgroup.com/primo-explore/search?tab=default_tab&amp;search_scope=EVERYTHING&amp;vid=01CRU&amp;lang=en_US&amp;offset=0&amp;query=any,contains,991004801429702656","Catalog Record")</f>
        <v>Catalog Record</v>
      </c>
      <c r="AT79" s="6" t="str">
        <f>HYPERLINK("http://www.worldcat.org/oclc/5219210","WorldCat Record")</f>
        <v>WorldCat Record</v>
      </c>
      <c r="AU79" s="3" t="s">
        <v>1160</v>
      </c>
      <c r="AV79" s="3" t="s">
        <v>1161</v>
      </c>
      <c r="AW79" s="3" t="s">
        <v>1162</v>
      </c>
      <c r="AX79" s="3" t="s">
        <v>1162</v>
      </c>
      <c r="AY79" s="3" t="s">
        <v>1163</v>
      </c>
      <c r="AZ79" s="3" t="s">
        <v>73</v>
      </c>
      <c r="BB79" s="3" t="s">
        <v>1164</v>
      </c>
      <c r="BC79" s="3" t="s">
        <v>1165</v>
      </c>
      <c r="BD79" s="3" t="s">
        <v>1166</v>
      </c>
    </row>
    <row r="80" spans="1:56" ht="41.25" customHeight="1" x14ac:dyDescent="0.25">
      <c r="A80" s="7" t="s">
        <v>58</v>
      </c>
      <c r="B80" s="2" t="s">
        <v>1167</v>
      </c>
      <c r="C80" s="2" t="s">
        <v>1168</v>
      </c>
      <c r="D80" s="2" t="s">
        <v>1169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1170</v>
      </c>
      <c r="L80" s="2" t="s">
        <v>1171</v>
      </c>
      <c r="M80" s="3" t="s">
        <v>1172</v>
      </c>
      <c r="N80" s="2" t="s">
        <v>497</v>
      </c>
      <c r="O80" s="3" t="s">
        <v>64</v>
      </c>
      <c r="P80" s="3" t="s">
        <v>65</v>
      </c>
      <c r="R80" s="3" t="s">
        <v>1042</v>
      </c>
      <c r="S80" s="4">
        <v>1</v>
      </c>
      <c r="T80" s="4">
        <v>1</v>
      </c>
      <c r="U80" s="5" t="s">
        <v>1173</v>
      </c>
      <c r="V80" s="5" t="s">
        <v>1173</v>
      </c>
      <c r="W80" s="5" t="s">
        <v>1044</v>
      </c>
      <c r="X80" s="5" t="s">
        <v>1044</v>
      </c>
      <c r="Y80" s="4">
        <v>795</v>
      </c>
      <c r="Z80" s="4">
        <v>718</v>
      </c>
      <c r="AA80" s="4">
        <v>856</v>
      </c>
      <c r="AB80" s="4">
        <v>5</v>
      </c>
      <c r="AC80" s="4">
        <v>5</v>
      </c>
      <c r="AD80" s="4">
        <v>9</v>
      </c>
      <c r="AE80" s="4">
        <v>11</v>
      </c>
      <c r="AF80" s="4">
        <v>4</v>
      </c>
      <c r="AG80" s="4">
        <v>5</v>
      </c>
      <c r="AH80" s="4">
        <v>1</v>
      </c>
      <c r="AI80" s="4">
        <v>2</v>
      </c>
      <c r="AJ80" s="4">
        <v>1</v>
      </c>
      <c r="AK80" s="4">
        <v>1</v>
      </c>
      <c r="AL80" s="4">
        <v>3</v>
      </c>
      <c r="AM80" s="4">
        <v>3</v>
      </c>
      <c r="AN80" s="4">
        <v>0</v>
      </c>
      <c r="AO80" s="4">
        <v>0</v>
      </c>
      <c r="AP80" s="3" t="s">
        <v>58</v>
      </c>
      <c r="AQ80" s="3" t="s">
        <v>85</v>
      </c>
      <c r="AR80" s="6" t="str">
        <f>HYPERLINK("http://catalog.hathitrust.org/Record/001472214","HathiTrust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HYPERLINK("https://creighton-primo.hosted.exlibrisgroup.com/primo-explore/search?tab=default_tab&amp;search_scope=EVERYTHING&amp;vid=01CRU&amp;lang=en_US&amp;offset=0&amp;query=any,contains,991001288679702656","Catalog Record")</f>
        <v>Catalog Record</v>
      </c>
      <c r="AT80" s="6" t="str">
        <f>HYPERLINK("http://www.worldcat.org/oclc/217433","WorldCat Record")</f>
        <v>WorldCat Record</v>
      </c>
      <c r="AU80" s="3" t="s">
        <v>1174</v>
      </c>
      <c r="AV80" s="3" t="s">
        <v>1175</v>
      </c>
      <c r="AW80" s="3" t="s">
        <v>1176</v>
      </c>
      <c r="AX80" s="3" t="s">
        <v>1176</v>
      </c>
      <c r="AY80" s="3" t="s">
        <v>1177</v>
      </c>
      <c r="AZ80" s="3" t="s">
        <v>73</v>
      </c>
      <c r="BC80" s="3" t="s">
        <v>1178</v>
      </c>
      <c r="BD80" s="3" t="s">
        <v>1179</v>
      </c>
    </row>
    <row r="81" spans="1:56" ht="41.25" customHeight="1" x14ac:dyDescent="0.25">
      <c r="A81" s="7" t="s">
        <v>58</v>
      </c>
      <c r="B81" s="2" t="s">
        <v>1180</v>
      </c>
      <c r="C81" s="2" t="s">
        <v>1181</v>
      </c>
      <c r="D81" s="2" t="s">
        <v>1182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1183</v>
      </c>
      <c r="L81" s="2" t="s">
        <v>1184</v>
      </c>
      <c r="M81" s="3" t="s">
        <v>1185</v>
      </c>
      <c r="O81" s="3" t="s">
        <v>64</v>
      </c>
      <c r="P81" s="3" t="s">
        <v>388</v>
      </c>
      <c r="R81" s="3" t="s">
        <v>1042</v>
      </c>
      <c r="S81" s="4">
        <v>1</v>
      </c>
      <c r="T81" s="4">
        <v>1</v>
      </c>
      <c r="U81" s="5" t="s">
        <v>1186</v>
      </c>
      <c r="V81" s="5" t="s">
        <v>1186</v>
      </c>
      <c r="W81" s="5" t="s">
        <v>1186</v>
      </c>
      <c r="X81" s="5" t="s">
        <v>1186</v>
      </c>
      <c r="Y81" s="4">
        <v>214</v>
      </c>
      <c r="Z81" s="4">
        <v>205</v>
      </c>
      <c r="AA81" s="4">
        <v>206</v>
      </c>
      <c r="AB81" s="4">
        <v>3</v>
      </c>
      <c r="AC81" s="4">
        <v>3</v>
      </c>
      <c r="AD81" s="4">
        <v>2</v>
      </c>
      <c r="AE81" s="4">
        <v>2</v>
      </c>
      <c r="AF81" s="4">
        <v>1</v>
      </c>
      <c r="AG81" s="4">
        <v>1</v>
      </c>
      <c r="AH81" s="4">
        <v>1</v>
      </c>
      <c r="AI81" s="4">
        <v>1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3" t="s">
        <v>58</v>
      </c>
      <c r="AQ81" s="3" t="s">
        <v>58</v>
      </c>
      <c r="AS81" s="6" t="str">
        <f>HYPERLINK("https://creighton-primo.hosted.exlibrisgroup.com/primo-explore/search?tab=default_tab&amp;search_scope=EVERYTHING&amp;vid=01CRU&amp;lang=en_US&amp;offset=0&amp;query=any,contains,991004262729702656","Catalog Record")</f>
        <v>Catalog Record</v>
      </c>
      <c r="AT81" s="6" t="str">
        <f>HYPERLINK("http://www.worldcat.org/oclc/1362233","WorldCat Record")</f>
        <v>WorldCat Record</v>
      </c>
      <c r="AU81" s="3" t="s">
        <v>1187</v>
      </c>
      <c r="AV81" s="3" t="s">
        <v>1188</v>
      </c>
      <c r="AW81" s="3" t="s">
        <v>1189</v>
      </c>
      <c r="AX81" s="3" t="s">
        <v>1189</v>
      </c>
      <c r="AY81" s="3" t="s">
        <v>1190</v>
      </c>
      <c r="AZ81" s="3" t="s">
        <v>73</v>
      </c>
      <c r="BC81" s="3" t="s">
        <v>1191</v>
      </c>
      <c r="BD81" s="3" t="s">
        <v>1192</v>
      </c>
    </row>
    <row r="82" spans="1:56" ht="41.25" customHeight="1" x14ac:dyDescent="0.25">
      <c r="A82" s="7" t="s">
        <v>58</v>
      </c>
      <c r="B82" s="2" t="s">
        <v>1193</v>
      </c>
      <c r="C82" s="2" t="s">
        <v>1194</v>
      </c>
      <c r="D82" s="2" t="s">
        <v>1195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1196</v>
      </c>
      <c r="L82" s="2" t="s">
        <v>1197</v>
      </c>
      <c r="M82" s="3" t="s">
        <v>1071</v>
      </c>
      <c r="N82" s="2" t="s">
        <v>1198</v>
      </c>
      <c r="O82" s="3" t="s">
        <v>64</v>
      </c>
      <c r="P82" s="3" t="s">
        <v>388</v>
      </c>
      <c r="R82" s="3" t="s">
        <v>1042</v>
      </c>
      <c r="S82" s="4">
        <v>0</v>
      </c>
      <c r="T82" s="4">
        <v>0</v>
      </c>
      <c r="U82" s="5" t="s">
        <v>1199</v>
      </c>
      <c r="V82" s="5" t="s">
        <v>1199</v>
      </c>
      <c r="W82" s="5" t="s">
        <v>799</v>
      </c>
      <c r="X82" s="5" t="s">
        <v>799</v>
      </c>
      <c r="Y82" s="4">
        <v>90</v>
      </c>
      <c r="Z82" s="4">
        <v>74</v>
      </c>
      <c r="AA82" s="4">
        <v>423</v>
      </c>
      <c r="AB82" s="4">
        <v>1</v>
      </c>
      <c r="AC82" s="4">
        <v>3</v>
      </c>
      <c r="AD82" s="4">
        <v>2</v>
      </c>
      <c r="AE82" s="4">
        <v>8</v>
      </c>
      <c r="AF82" s="4">
        <v>2</v>
      </c>
      <c r="AG82" s="4">
        <v>5</v>
      </c>
      <c r="AH82" s="4">
        <v>0</v>
      </c>
      <c r="AI82" s="4">
        <v>0</v>
      </c>
      <c r="AJ82" s="4">
        <v>2</v>
      </c>
      <c r="AK82" s="4">
        <v>3</v>
      </c>
      <c r="AL82" s="4">
        <v>0</v>
      </c>
      <c r="AM82" s="4">
        <v>2</v>
      </c>
      <c r="AN82" s="4">
        <v>0</v>
      </c>
      <c r="AO82" s="4">
        <v>0</v>
      </c>
      <c r="AP82" s="3" t="s">
        <v>58</v>
      </c>
      <c r="AQ82" s="3" t="s">
        <v>58</v>
      </c>
      <c r="AS82" s="6" t="str">
        <f>HYPERLINK("https://creighton-primo.hosted.exlibrisgroup.com/primo-explore/search?tab=default_tab&amp;search_scope=EVERYTHING&amp;vid=01CRU&amp;lang=en_US&amp;offset=0&amp;query=any,contains,991003216329702656","Catalog Record")</f>
        <v>Catalog Record</v>
      </c>
      <c r="AT82" s="6" t="str">
        <f>HYPERLINK("http://www.worldcat.org/oclc/742314","WorldCat Record")</f>
        <v>WorldCat Record</v>
      </c>
      <c r="AU82" s="3" t="s">
        <v>1200</v>
      </c>
      <c r="AV82" s="3" t="s">
        <v>1201</v>
      </c>
      <c r="AW82" s="3" t="s">
        <v>1202</v>
      </c>
      <c r="AX82" s="3" t="s">
        <v>1202</v>
      </c>
      <c r="AY82" s="3" t="s">
        <v>1203</v>
      </c>
      <c r="AZ82" s="3" t="s">
        <v>73</v>
      </c>
      <c r="BC82" s="3" t="s">
        <v>1204</v>
      </c>
      <c r="BD82" s="3" t="s">
        <v>1205</v>
      </c>
    </row>
    <row r="83" spans="1:56" ht="41.25" customHeight="1" x14ac:dyDescent="0.25">
      <c r="A83" s="7" t="s">
        <v>58</v>
      </c>
      <c r="B83" s="2" t="s">
        <v>1206</v>
      </c>
      <c r="C83" s="2" t="s">
        <v>1207</v>
      </c>
      <c r="D83" s="2" t="s">
        <v>1208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1209</v>
      </c>
      <c r="L83" s="2" t="s">
        <v>1210</v>
      </c>
      <c r="M83" s="3" t="s">
        <v>1071</v>
      </c>
      <c r="O83" s="3" t="s">
        <v>64</v>
      </c>
      <c r="P83" s="3" t="s">
        <v>65</v>
      </c>
      <c r="Q83" s="2" t="s">
        <v>1211</v>
      </c>
      <c r="R83" s="3" t="s">
        <v>1042</v>
      </c>
      <c r="S83" s="4">
        <v>3</v>
      </c>
      <c r="T83" s="4">
        <v>3</v>
      </c>
      <c r="U83" s="5" t="s">
        <v>1212</v>
      </c>
      <c r="V83" s="5" t="s">
        <v>1212</v>
      </c>
      <c r="W83" s="5" t="s">
        <v>1044</v>
      </c>
      <c r="X83" s="5" t="s">
        <v>1044</v>
      </c>
      <c r="Y83" s="4">
        <v>284</v>
      </c>
      <c r="Z83" s="4">
        <v>226</v>
      </c>
      <c r="AA83" s="4">
        <v>234</v>
      </c>
      <c r="AB83" s="4">
        <v>2</v>
      </c>
      <c r="AC83" s="4">
        <v>2</v>
      </c>
      <c r="AD83" s="4">
        <v>1</v>
      </c>
      <c r="AE83" s="4">
        <v>1</v>
      </c>
      <c r="AF83" s="4">
        <v>1</v>
      </c>
      <c r="AG83" s="4">
        <v>1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HYPERLINK("https://creighton-primo.hosted.exlibrisgroup.com/primo-explore/search?tab=default_tab&amp;search_scope=EVERYTHING&amp;vid=01CRU&amp;lang=en_US&amp;offset=0&amp;query=any,contains,991002383369702656","Catalog Record")</f>
        <v>Catalog Record</v>
      </c>
      <c r="AT83" s="6" t="str">
        <f>HYPERLINK("http://www.worldcat.org/oclc/328900","WorldCat Record")</f>
        <v>WorldCat Record</v>
      </c>
      <c r="AU83" s="3" t="s">
        <v>1213</v>
      </c>
      <c r="AV83" s="3" t="s">
        <v>1214</v>
      </c>
      <c r="AW83" s="3" t="s">
        <v>1215</v>
      </c>
      <c r="AX83" s="3" t="s">
        <v>1215</v>
      </c>
      <c r="AY83" s="3" t="s">
        <v>1216</v>
      </c>
      <c r="AZ83" s="3" t="s">
        <v>73</v>
      </c>
      <c r="BB83" s="3" t="s">
        <v>1217</v>
      </c>
      <c r="BC83" s="3" t="s">
        <v>1218</v>
      </c>
      <c r="BD83" s="3" t="s">
        <v>1219</v>
      </c>
    </row>
    <row r="84" spans="1:56" ht="41.25" customHeight="1" x14ac:dyDescent="0.25">
      <c r="A84" s="7" t="s">
        <v>58</v>
      </c>
      <c r="B84" s="2" t="s">
        <v>1220</v>
      </c>
      <c r="C84" s="2" t="s">
        <v>1221</v>
      </c>
      <c r="D84" s="2" t="s">
        <v>1222</v>
      </c>
      <c r="E84" s="3" t="s">
        <v>111</v>
      </c>
      <c r="F84" s="3" t="s">
        <v>85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1223</v>
      </c>
      <c r="L84" s="2" t="s">
        <v>1224</v>
      </c>
      <c r="M84" s="3" t="s">
        <v>146</v>
      </c>
      <c r="O84" s="3" t="s">
        <v>64</v>
      </c>
      <c r="P84" s="3" t="s">
        <v>1225</v>
      </c>
      <c r="R84" s="3" t="s">
        <v>1042</v>
      </c>
      <c r="S84" s="4">
        <v>4</v>
      </c>
      <c r="T84" s="4">
        <v>11</v>
      </c>
      <c r="U84" s="5" t="s">
        <v>1226</v>
      </c>
      <c r="V84" s="5" t="s">
        <v>1226</v>
      </c>
      <c r="W84" s="5" t="s">
        <v>1227</v>
      </c>
      <c r="X84" s="5" t="s">
        <v>1227</v>
      </c>
      <c r="Y84" s="4">
        <v>149</v>
      </c>
      <c r="Z84" s="4">
        <v>122</v>
      </c>
      <c r="AA84" s="4">
        <v>122</v>
      </c>
      <c r="AB84" s="4">
        <v>4</v>
      </c>
      <c r="AC84" s="4">
        <v>4</v>
      </c>
      <c r="AD84" s="4">
        <v>3</v>
      </c>
      <c r="AE84" s="4">
        <v>3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3</v>
      </c>
      <c r="AM84" s="4">
        <v>3</v>
      </c>
      <c r="AN84" s="4">
        <v>0</v>
      </c>
      <c r="AO84" s="4">
        <v>0</v>
      </c>
      <c r="AP84" s="3" t="s">
        <v>58</v>
      </c>
      <c r="AQ84" s="3" t="s">
        <v>58</v>
      </c>
      <c r="AS84" s="6" t="str">
        <f>HYPERLINK("https://creighton-primo.hosted.exlibrisgroup.com/primo-explore/search?tab=default_tab&amp;search_scope=EVERYTHING&amp;vid=01CRU&amp;lang=en_US&amp;offset=0&amp;query=any,contains,991000386189702656","Catalog Record")</f>
        <v>Catalog Record</v>
      </c>
      <c r="AT84" s="6" t="str">
        <f>HYPERLINK("http://www.worldcat.org/oclc/10513563","WorldCat Record")</f>
        <v>WorldCat Record</v>
      </c>
      <c r="AU84" s="3" t="s">
        <v>1228</v>
      </c>
      <c r="AV84" s="3" t="s">
        <v>1229</v>
      </c>
      <c r="AW84" s="3" t="s">
        <v>1230</v>
      </c>
      <c r="AX84" s="3" t="s">
        <v>1230</v>
      </c>
      <c r="AY84" s="3" t="s">
        <v>1231</v>
      </c>
      <c r="AZ84" s="3" t="s">
        <v>73</v>
      </c>
      <c r="BB84" s="3" t="s">
        <v>1232</v>
      </c>
      <c r="BC84" s="3" t="s">
        <v>1233</v>
      </c>
      <c r="BD84" s="3" t="s">
        <v>1234</v>
      </c>
    </row>
    <row r="85" spans="1:56" ht="41.25" customHeight="1" x14ac:dyDescent="0.25">
      <c r="A85" s="7" t="s">
        <v>58</v>
      </c>
      <c r="B85" s="2" t="s">
        <v>1220</v>
      </c>
      <c r="C85" s="2" t="s">
        <v>1221</v>
      </c>
      <c r="D85" s="2" t="s">
        <v>1222</v>
      </c>
      <c r="E85" s="3" t="s">
        <v>347</v>
      </c>
      <c r="F85" s="3" t="s">
        <v>85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1223</v>
      </c>
      <c r="L85" s="2" t="s">
        <v>1224</v>
      </c>
      <c r="M85" s="3" t="s">
        <v>146</v>
      </c>
      <c r="O85" s="3" t="s">
        <v>64</v>
      </c>
      <c r="P85" s="3" t="s">
        <v>1225</v>
      </c>
      <c r="R85" s="3" t="s">
        <v>1042</v>
      </c>
      <c r="S85" s="4">
        <v>7</v>
      </c>
      <c r="T85" s="4">
        <v>11</v>
      </c>
      <c r="U85" s="5" t="s">
        <v>1235</v>
      </c>
      <c r="V85" s="5" t="s">
        <v>1226</v>
      </c>
      <c r="W85" s="5" t="s">
        <v>1227</v>
      </c>
      <c r="X85" s="5" t="s">
        <v>1227</v>
      </c>
      <c r="Y85" s="4">
        <v>149</v>
      </c>
      <c r="Z85" s="4">
        <v>122</v>
      </c>
      <c r="AA85" s="4">
        <v>122</v>
      </c>
      <c r="AB85" s="4">
        <v>4</v>
      </c>
      <c r="AC85" s="4">
        <v>4</v>
      </c>
      <c r="AD85" s="4">
        <v>3</v>
      </c>
      <c r="AE85" s="4">
        <v>3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3</v>
      </c>
      <c r="AM85" s="4">
        <v>3</v>
      </c>
      <c r="AN85" s="4">
        <v>0</v>
      </c>
      <c r="AO85" s="4">
        <v>0</v>
      </c>
      <c r="AP85" s="3" t="s">
        <v>58</v>
      </c>
      <c r="AQ85" s="3" t="s">
        <v>58</v>
      </c>
      <c r="AS85" s="6" t="str">
        <f>HYPERLINK("https://creighton-primo.hosted.exlibrisgroup.com/primo-explore/search?tab=default_tab&amp;search_scope=EVERYTHING&amp;vid=01CRU&amp;lang=en_US&amp;offset=0&amp;query=any,contains,991000386189702656","Catalog Record")</f>
        <v>Catalog Record</v>
      </c>
      <c r="AT85" s="6" t="str">
        <f>HYPERLINK("http://www.worldcat.org/oclc/10513563","WorldCat Record")</f>
        <v>WorldCat Record</v>
      </c>
      <c r="AU85" s="3" t="s">
        <v>1228</v>
      </c>
      <c r="AV85" s="3" t="s">
        <v>1229</v>
      </c>
      <c r="AW85" s="3" t="s">
        <v>1230</v>
      </c>
      <c r="AX85" s="3" t="s">
        <v>1230</v>
      </c>
      <c r="AY85" s="3" t="s">
        <v>1231</v>
      </c>
      <c r="AZ85" s="3" t="s">
        <v>73</v>
      </c>
      <c r="BB85" s="3" t="s">
        <v>1232</v>
      </c>
      <c r="BC85" s="3" t="s">
        <v>1236</v>
      </c>
      <c r="BD85" s="3" t="s">
        <v>1237</v>
      </c>
    </row>
    <row r="86" spans="1:56" ht="41.25" customHeight="1" x14ac:dyDescent="0.25">
      <c r="A86" s="7" t="s">
        <v>58</v>
      </c>
      <c r="B86" s="2" t="s">
        <v>1238</v>
      </c>
      <c r="C86" s="2" t="s">
        <v>1239</v>
      </c>
      <c r="D86" s="2" t="s">
        <v>1240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1241</v>
      </c>
      <c r="L86" s="2" t="s">
        <v>1242</v>
      </c>
      <c r="M86" s="3" t="s">
        <v>372</v>
      </c>
      <c r="N86" s="2" t="s">
        <v>1243</v>
      </c>
      <c r="O86" s="3" t="s">
        <v>64</v>
      </c>
      <c r="P86" s="3" t="s">
        <v>1244</v>
      </c>
      <c r="R86" s="3" t="s">
        <v>1042</v>
      </c>
      <c r="S86" s="4">
        <v>4</v>
      </c>
      <c r="T86" s="4">
        <v>4</v>
      </c>
      <c r="U86" s="5" t="s">
        <v>1226</v>
      </c>
      <c r="V86" s="5" t="s">
        <v>1226</v>
      </c>
      <c r="W86" s="5" t="s">
        <v>1245</v>
      </c>
      <c r="X86" s="5" t="s">
        <v>1245</v>
      </c>
      <c r="Y86" s="4">
        <v>83</v>
      </c>
      <c r="Z86" s="4">
        <v>71</v>
      </c>
      <c r="AA86" s="4">
        <v>82</v>
      </c>
      <c r="AB86" s="4">
        <v>1</v>
      </c>
      <c r="AC86" s="4">
        <v>1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HYPERLINK("https://creighton-primo.hosted.exlibrisgroup.com/primo-explore/search?tab=default_tab&amp;search_scope=EVERYTHING&amp;vid=01CRU&amp;lang=en_US&amp;offset=0&amp;query=any,contains,991001790139702656","Catalog Record")</f>
        <v>Catalog Record</v>
      </c>
      <c r="AT86" s="6" t="str">
        <f>HYPERLINK("http://www.worldcat.org/oclc/22542490","WorldCat Record")</f>
        <v>WorldCat Record</v>
      </c>
      <c r="AU86" s="3" t="s">
        <v>1246</v>
      </c>
      <c r="AV86" s="3" t="s">
        <v>1247</v>
      </c>
      <c r="AW86" s="3" t="s">
        <v>1248</v>
      </c>
      <c r="AX86" s="3" t="s">
        <v>1248</v>
      </c>
      <c r="AY86" s="3" t="s">
        <v>1249</v>
      </c>
      <c r="AZ86" s="3" t="s">
        <v>73</v>
      </c>
      <c r="BB86" s="3" t="s">
        <v>1250</v>
      </c>
      <c r="BC86" s="3" t="s">
        <v>1251</v>
      </c>
      <c r="BD86" s="3" t="s">
        <v>1252</v>
      </c>
    </row>
    <row r="87" spans="1:56" ht="41.25" customHeight="1" x14ac:dyDescent="0.25">
      <c r="A87" s="7" t="s">
        <v>58</v>
      </c>
      <c r="B87" s="2" t="s">
        <v>1253</v>
      </c>
      <c r="C87" s="2" t="s">
        <v>1254</v>
      </c>
      <c r="D87" s="2" t="s">
        <v>1255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1256</v>
      </c>
      <c r="L87" s="2" t="s">
        <v>1257</v>
      </c>
      <c r="M87" s="3" t="s">
        <v>1258</v>
      </c>
      <c r="N87" s="2" t="s">
        <v>1026</v>
      </c>
      <c r="O87" s="3" t="s">
        <v>64</v>
      </c>
      <c r="P87" s="3" t="s">
        <v>65</v>
      </c>
      <c r="R87" s="3" t="s">
        <v>1042</v>
      </c>
      <c r="S87" s="4">
        <v>3</v>
      </c>
      <c r="T87" s="4">
        <v>3</v>
      </c>
      <c r="U87" s="5" t="s">
        <v>1259</v>
      </c>
      <c r="V87" s="5" t="s">
        <v>1259</v>
      </c>
      <c r="W87" s="5" t="s">
        <v>1260</v>
      </c>
      <c r="X87" s="5" t="s">
        <v>1260</v>
      </c>
      <c r="Y87" s="4">
        <v>274</v>
      </c>
      <c r="Z87" s="4">
        <v>257</v>
      </c>
      <c r="AA87" s="4">
        <v>489</v>
      </c>
      <c r="AB87" s="4">
        <v>2</v>
      </c>
      <c r="AC87" s="4">
        <v>3</v>
      </c>
      <c r="AD87" s="4">
        <v>1</v>
      </c>
      <c r="AE87" s="4">
        <v>1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1</v>
      </c>
      <c r="AM87" s="4">
        <v>1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HYPERLINK("https://creighton-primo.hosted.exlibrisgroup.com/primo-explore/search?tab=default_tab&amp;search_scope=EVERYTHING&amp;vid=01CRU&amp;lang=en_US&amp;offset=0&amp;query=any,contains,991002609279702656","Catalog Record")</f>
        <v>Catalog Record</v>
      </c>
      <c r="AT87" s="6" t="str">
        <f>HYPERLINK("http://www.worldcat.org/oclc/34190529","WorldCat Record")</f>
        <v>WorldCat Record</v>
      </c>
      <c r="AU87" s="3" t="s">
        <v>1261</v>
      </c>
      <c r="AV87" s="3" t="s">
        <v>1262</v>
      </c>
      <c r="AW87" s="3" t="s">
        <v>1263</v>
      </c>
      <c r="AX87" s="3" t="s">
        <v>1263</v>
      </c>
      <c r="AY87" s="3" t="s">
        <v>1264</v>
      </c>
      <c r="AZ87" s="3" t="s">
        <v>73</v>
      </c>
      <c r="BB87" s="3" t="s">
        <v>1265</v>
      </c>
      <c r="BC87" s="3" t="s">
        <v>1266</v>
      </c>
      <c r="BD87" s="3" t="s">
        <v>1267</v>
      </c>
    </row>
    <row r="88" spans="1:56" ht="41.25" customHeight="1" x14ac:dyDescent="0.25">
      <c r="A88" s="7" t="s">
        <v>58</v>
      </c>
      <c r="B88" s="2" t="s">
        <v>1268</v>
      </c>
      <c r="C88" s="2" t="s">
        <v>1269</v>
      </c>
      <c r="D88" s="2" t="s">
        <v>1270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1127</v>
      </c>
      <c r="L88" s="2" t="s">
        <v>1271</v>
      </c>
      <c r="M88" s="3" t="s">
        <v>81</v>
      </c>
      <c r="O88" s="3" t="s">
        <v>64</v>
      </c>
      <c r="P88" s="3" t="s">
        <v>65</v>
      </c>
      <c r="Q88" s="2" t="s">
        <v>1272</v>
      </c>
      <c r="R88" s="3" t="s">
        <v>1042</v>
      </c>
      <c r="S88" s="4">
        <v>8</v>
      </c>
      <c r="T88" s="4">
        <v>8</v>
      </c>
      <c r="U88" s="5" t="s">
        <v>1273</v>
      </c>
      <c r="V88" s="5" t="s">
        <v>1273</v>
      </c>
      <c r="W88" s="5" t="s">
        <v>1044</v>
      </c>
      <c r="X88" s="5" t="s">
        <v>1044</v>
      </c>
      <c r="Y88" s="4">
        <v>731</v>
      </c>
      <c r="Z88" s="4">
        <v>707</v>
      </c>
      <c r="AA88" s="4">
        <v>1345</v>
      </c>
      <c r="AB88" s="4">
        <v>6</v>
      </c>
      <c r="AC88" s="4">
        <v>13</v>
      </c>
      <c r="AD88" s="4">
        <v>0</v>
      </c>
      <c r="AE88" s="4">
        <v>3</v>
      </c>
      <c r="AF88" s="4">
        <v>0</v>
      </c>
      <c r="AG88" s="4">
        <v>1</v>
      </c>
      <c r="AH88" s="4">
        <v>0</v>
      </c>
      <c r="AI88" s="4">
        <v>1</v>
      </c>
      <c r="AJ88" s="4">
        <v>0</v>
      </c>
      <c r="AK88" s="4">
        <v>0</v>
      </c>
      <c r="AL88" s="4">
        <v>0</v>
      </c>
      <c r="AM88" s="4">
        <v>1</v>
      </c>
      <c r="AN88" s="4">
        <v>0</v>
      </c>
      <c r="AO88" s="4">
        <v>0</v>
      </c>
      <c r="AP88" s="3" t="s">
        <v>58</v>
      </c>
      <c r="AQ88" s="3" t="s">
        <v>85</v>
      </c>
      <c r="AR88" s="6" t="str">
        <f>HYPERLINK("http://catalog.hathitrust.org/Record/005209782","HathiTrust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HYPERLINK("https://creighton-primo.hosted.exlibrisgroup.com/primo-explore/search?tab=default_tab&amp;search_scope=EVERYTHING&amp;vid=01CRU&amp;lang=en_US&amp;offset=0&amp;query=any,contains,991004090149702656","Catalog Record")</f>
        <v>Catalog Record</v>
      </c>
      <c r="AT88" s="6" t="str">
        <f>HYPERLINK("http://www.worldcat.org/oclc/2343944","WorldCat Record")</f>
        <v>WorldCat Record</v>
      </c>
      <c r="AU88" s="3" t="s">
        <v>1274</v>
      </c>
      <c r="AV88" s="3" t="s">
        <v>1275</v>
      </c>
      <c r="AW88" s="3" t="s">
        <v>1276</v>
      </c>
      <c r="AX88" s="3" t="s">
        <v>1276</v>
      </c>
      <c r="AY88" s="3" t="s">
        <v>1277</v>
      </c>
      <c r="AZ88" s="3" t="s">
        <v>73</v>
      </c>
      <c r="BC88" s="3" t="s">
        <v>1278</v>
      </c>
      <c r="BD88" s="3" t="s">
        <v>1279</v>
      </c>
    </row>
    <row r="89" spans="1:56" ht="41.25" customHeight="1" x14ac:dyDescent="0.25">
      <c r="A89" s="7" t="s">
        <v>58</v>
      </c>
      <c r="B89" s="2" t="s">
        <v>1280</v>
      </c>
      <c r="C89" s="2" t="s">
        <v>1281</v>
      </c>
      <c r="D89" s="2" t="s">
        <v>1282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K89" s="2" t="s">
        <v>1283</v>
      </c>
      <c r="L89" s="2" t="s">
        <v>1284</v>
      </c>
      <c r="M89" s="3" t="s">
        <v>626</v>
      </c>
      <c r="O89" s="3" t="s">
        <v>64</v>
      </c>
      <c r="P89" s="3" t="s">
        <v>65</v>
      </c>
      <c r="R89" s="3" t="s">
        <v>1042</v>
      </c>
      <c r="S89" s="4">
        <v>0</v>
      </c>
      <c r="T89" s="4">
        <v>0</v>
      </c>
      <c r="U89" s="5" t="s">
        <v>1285</v>
      </c>
      <c r="V89" s="5" t="s">
        <v>1285</v>
      </c>
      <c r="W89" s="5" t="s">
        <v>1286</v>
      </c>
      <c r="X89" s="5" t="s">
        <v>1286</v>
      </c>
      <c r="Y89" s="4">
        <v>64</v>
      </c>
      <c r="Z89" s="4">
        <v>48</v>
      </c>
      <c r="AA89" s="4">
        <v>66</v>
      </c>
      <c r="AB89" s="4">
        <v>1</v>
      </c>
      <c r="AC89" s="4">
        <v>2</v>
      </c>
      <c r="AD89" s="4">
        <v>1</v>
      </c>
      <c r="AE89" s="4">
        <v>3</v>
      </c>
      <c r="AF89" s="4">
        <v>0</v>
      </c>
      <c r="AG89" s="4">
        <v>1</v>
      </c>
      <c r="AH89" s="4">
        <v>1</v>
      </c>
      <c r="AI89" s="4">
        <v>2</v>
      </c>
      <c r="AJ89" s="4">
        <v>0</v>
      </c>
      <c r="AK89" s="4">
        <v>0</v>
      </c>
      <c r="AL89" s="4">
        <v>0</v>
      </c>
      <c r="AM89" s="4">
        <v>1</v>
      </c>
      <c r="AN89" s="4">
        <v>0</v>
      </c>
      <c r="AO89" s="4">
        <v>0</v>
      </c>
      <c r="AP89" s="3" t="s">
        <v>58</v>
      </c>
      <c r="AQ89" s="3" t="s">
        <v>58</v>
      </c>
      <c r="AS89" s="6" t="str">
        <f>HYPERLINK("https://creighton-primo.hosted.exlibrisgroup.com/primo-explore/search?tab=default_tab&amp;search_scope=EVERYTHING&amp;vid=01CRU&amp;lang=en_US&amp;offset=0&amp;query=any,contains,991002107199702656","Catalog Record")</f>
        <v>Catalog Record</v>
      </c>
      <c r="AT89" s="6" t="str">
        <f>HYPERLINK("http://www.worldcat.org/oclc/27018984","WorldCat Record")</f>
        <v>WorldCat Record</v>
      </c>
      <c r="AU89" s="3" t="s">
        <v>1287</v>
      </c>
      <c r="AV89" s="3" t="s">
        <v>1288</v>
      </c>
      <c r="AW89" s="3" t="s">
        <v>1289</v>
      </c>
      <c r="AX89" s="3" t="s">
        <v>1289</v>
      </c>
      <c r="AY89" s="3" t="s">
        <v>1290</v>
      </c>
      <c r="AZ89" s="3" t="s">
        <v>73</v>
      </c>
      <c r="BB89" s="3" t="s">
        <v>1291</v>
      </c>
      <c r="BC89" s="3" t="s">
        <v>1292</v>
      </c>
      <c r="BD89" s="3" t="s">
        <v>1293</v>
      </c>
    </row>
    <row r="90" spans="1:56" ht="41.25" customHeight="1" x14ac:dyDescent="0.25">
      <c r="A90" s="7" t="s">
        <v>58</v>
      </c>
      <c r="B90" s="2" t="s">
        <v>1294</v>
      </c>
      <c r="C90" s="2" t="s">
        <v>1295</v>
      </c>
      <c r="D90" s="2" t="s">
        <v>1296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L90" s="2" t="s">
        <v>1297</v>
      </c>
      <c r="M90" s="3" t="s">
        <v>582</v>
      </c>
      <c r="O90" s="3" t="s">
        <v>64</v>
      </c>
      <c r="P90" s="3" t="s">
        <v>1298</v>
      </c>
      <c r="Q90" s="2" t="s">
        <v>1299</v>
      </c>
      <c r="R90" s="3" t="s">
        <v>1042</v>
      </c>
      <c r="S90" s="4">
        <v>9</v>
      </c>
      <c r="T90" s="4">
        <v>9</v>
      </c>
      <c r="U90" s="5" t="s">
        <v>1300</v>
      </c>
      <c r="V90" s="5" t="s">
        <v>1300</v>
      </c>
      <c r="W90" s="5" t="s">
        <v>1301</v>
      </c>
      <c r="X90" s="5" t="s">
        <v>1301</v>
      </c>
      <c r="Y90" s="4">
        <v>317</v>
      </c>
      <c r="Z90" s="4">
        <v>291</v>
      </c>
      <c r="AA90" s="4">
        <v>297</v>
      </c>
      <c r="AB90" s="4">
        <v>5</v>
      </c>
      <c r="AC90" s="4">
        <v>5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3" t="s">
        <v>58</v>
      </c>
      <c r="AQ90" s="3" t="s">
        <v>58</v>
      </c>
      <c r="AS90" s="6" t="str">
        <f>HYPERLINK("https://creighton-primo.hosted.exlibrisgroup.com/primo-explore/search?tab=default_tab&amp;search_scope=EVERYTHING&amp;vid=01CRU&amp;lang=en_US&amp;offset=0&amp;query=any,contains,991002396609702656","Catalog Record")</f>
        <v>Catalog Record</v>
      </c>
      <c r="AT90" s="6" t="str">
        <f>HYPERLINK("http://www.worldcat.org/oclc/31133035","WorldCat Record")</f>
        <v>WorldCat Record</v>
      </c>
      <c r="AU90" s="3" t="s">
        <v>1302</v>
      </c>
      <c r="AV90" s="3" t="s">
        <v>1303</v>
      </c>
      <c r="AW90" s="3" t="s">
        <v>1304</v>
      </c>
      <c r="AX90" s="3" t="s">
        <v>1304</v>
      </c>
      <c r="AY90" s="3" t="s">
        <v>1305</v>
      </c>
      <c r="AZ90" s="3" t="s">
        <v>73</v>
      </c>
      <c r="BB90" s="3" t="s">
        <v>1306</v>
      </c>
      <c r="BC90" s="3" t="s">
        <v>1307</v>
      </c>
      <c r="BD90" s="3" t="s">
        <v>1308</v>
      </c>
    </row>
    <row r="91" spans="1:56" ht="41.25" customHeight="1" x14ac:dyDescent="0.25">
      <c r="A91" s="7" t="s">
        <v>58</v>
      </c>
      <c r="B91" s="2" t="s">
        <v>1309</v>
      </c>
      <c r="C91" s="2" t="s">
        <v>1310</v>
      </c>
      <c r="D91" s="2" t="s">
        <v>1311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1312</v>
      </c>
      <c r="L91" s="2" t="s">
        <v>1313</v>
      </c>
      <c r="M91" s="3" t="s">
        <v>1314</v>
      </c>
      <c r="O91" s="3" t="s">
        <v>64</v>
      </c>
      <c r="P91" s="3" t="s">
        <v>1315</v>
      </c>
      <c r="Q91" s="2" t="s">
        <v>1316</v>
      </c>
      <c r="R91" s="3" t="s">
        <v>1042</v>
      </c>
      <c r="S91" s="4">
        <v>7</v>
      </c>
      <c r="T91" s="4">
        <v>7</v>
      </c>
      <c r="U91" s="5" t="s">
        <v>1317</v>
      </c>
      <c r="V91" s="5" t="s">
        <v>1317</v>
      </c>
      <c r="W91" s="5" t="s">
        <v>1318</v>
      </c>
      <c r="X91" s="5" t="s">
        <v>1318</v>
      </c>
      <c r="Y91" s="4">
        <v>436</v>
      </c>
      <c r="Z91" s="4">
        <v>348</v>
      </c>
      <c r="AA91" s="4">
        <v>393</v>
      </c>
      <c r="AB91" s="4">
        <v>2</v>
      </c>
      <c r="AC91" s="4">
        <v>3</v>
      </c>
      <c r="AD91" s="4">
        <v>19</v>
      </c>
      <c r="AE91" s="4">
        <v>21</v>
      </c>
      <c r="AF91" s="4">
        <v>7</v>
      </c>
      <c r="AG91" s="4">
        <v>8</v>
      </c>
      <c r="AH91" s="4">
        <v>7</v>
      </c>
      <c r="AI91" s="4">
        <v>8</v>
      </c>
      <c r="AJ91" s="4">
        <v>11</v>
      </c>
      <c r="AK91" s="4">
        <v>11</v>
      </c>
      <c r="AL91" s="4">
        <v>1</v>
      </c>
      <c r="AM91" s="4">
        <v>2</v>
      </c>
      <c r="AN91" s="4">
        <v>0</v>
      </c>
      <c r="AO91" s="4">
        <v>0</v>
      </c>
      <c r="AP91" s="3" t="s">
        <v>58</v>
      </c>
      <c r="AQ91" s="3" t="s">
        <v>85</v>
      </c>
      <c r="AR91" s="6" t="str">
        <f>HYPERLINK("http://catalog.hathitrust.org/Record/004290192","HathiTrust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HYPERLINK("https://creighton-primo.hosted.exlibrisgroup.com/primo-explore/search?tab=default_tab&amp;search_scope=EVERYTHING&amp;vid=01CRU&amp;lang=en_US&amp;offset=0&amp;query=any,contains,991003918729702656","Catalog Record")</f>
        <v>Catalog Record</v>
      </c>
      <c r="AT91" s="6" t="str">
        <f>HYPERLINK("http://www.worldcat.org/oclc/48221346","WorldCat Record")</f>
        <v>WorldCat Record</v>
      </c>
      <c r="AU91" s="3" t="s">
        <v>1319</v>
      </c>
      <c r="AV91" s="3" t="s">
        <v>1320</v>
      </c>
      <c r="AW91" s="3" t="s">
        <v>1321</v>
      </c>
      <c r="AX91" s="3" t="s">
        <v>1321</v>
      </c>
      <c r="AY91" s="3" t="s">
        <v>1322</v>
      </c>
      <c r="AZ91" s="3" t="s">
        <v>73</v>
      </c>
      <c r="BB91" s="3" t="s">
        <v>1323</v>
      </c>
      <c r="BC91" s="3" t="s">
        <v>1324</v>
      </c>
      <c r="BD91" s="3" t="s">
        <v>1325</v>
      </c>
    </row>
    <row r="92" spans="1:56" ht="41.25" customHeight="1" x14ac:dyDescent="0.25">
      <c r="A92" s="7" t="s">
        <v>58</v>
      </c>
      <c r="B92" s="2" t="s">
        <v>1326</v>
      </c>
      <c r="C92" s="2" t="s">
        <v>1327</v>
      </c>
      <c r="D92" s="2" t="s">
        <v>1328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1329</v>
      </c>
      <c r="L92" s="2" t="s">
        <v>1330</v>
      </c>
      <c r="M92" s="3" t="s">
        <v>612</v>
      </c>
      <c r="O92" s="3" t="s">
        <v>64</v>
      </c>
      <c r="P92" s="3" t="s">
        <v>1315</v>
      </c>
      <c r="R92" s="3" t="s">
        <v>1042</v>
      </c>
      <c r="S92" s="4">
        <v>2</v>
      </c>
      <c r="T92" s="4">
        <v>2</v>
      </c>
      <c r="U92" s="5" t="s">
        <v>1331</v>
      </c>
      <c r="V92" s="5" t="s">
        <v>1331</v>
      </c>
      <c r="W92" s="5" t="s">
        <v>1331</v>
      </c>
      <c r="X92" s="5" t="s">
        <v>1331</v>
      </c>
      <c r="Y92" s="4">
        <v>644</v>
      </c>
      <c r="Z92" s="4">
        <v>561</v>
      </c>
      <c r="AA92" s="4">
        <v>566</v>
      </c>
      <c r="AB92" s="4">
        <v>4</v>
      </c>
      <c r="AC92" s="4">
        <v>4</v>
      </c>
      <c r="AD92" s="4">
        <v>13</v>
      </c>
      <c r="AE92" s="4">
        <v>13</v>
      </c>
      <c r="AF92" s="4">
        <v>3</v>
      </c>
      <c r="AG92" s="4">
        <v>3</v>
      </c>
      <c r="AH92" s="4">
        <v>4</v>
      </c>
      <c r="AI92" s="4">
        <v>4</v>
      </c>
      <c r="AJ92" s="4">
        <v>5</v>
      </c>
      <c r="AK92" s="4">
        <v>5</v>
      </c>
      <c r="AL92" s="4">
        <v>3</v>
      </c>
      <c r="AM92" s="4">
        <v>3</v>
      </c>
      <c r="AN92" s="4">
        <v>0</v>
      </c>
      <c r="AO92" s="4">
        <v>0</v>
      </c>
      <c r="AP92" s="3" t="s">
        <v>58</v>
      </c>
      <c r="AQ92" s="3" t="s">
        <v>58</v>
      </c>
      <c r="AS92" s="6" t="str">
        <f>HYPERLINK("https://creighton-primo.hosted.exlibrisgroup.com/primo-explore/search?tab=default_tab&amp;search_scope=EVERYTHING&amp;vid=01CRU&amp;lang=en_US&amp;offset=0&amp;query=any,contains,991003597119702656","Catalog Record")</f>
        <v>Catalog Record</v>
      </c>
      <c r="AT92" s="6" t="str">
        <f>HYPERLINK("http://www.worldcat.org/oclc/41488728","WorldCat Record")</f>
        <v>WorldCat Record</v>
      </c>
      <c r="AU92" s="3" t="s">
        <v>1332</v>
      </c>
      <c r="AV92" s="3" t="s">
        <v>1333</v>
      </c>
      <c r="AW92" s="3" t="s">
        <v>1334</v>
      </c>
      <c r="AX92" s="3" t="s">
        <v>1334</v>
      </c>
      <c r="AY92" s="3" t="s">
        <v>1335</v>
      </c>
      <c r="AZ92" s="3" t="s">
        <v>73</v>
      </c>
      <c r="BB92" s="3" t="s">
        <v>1336</v>
      </c>
      <c r="BC92" s="3" t="s">
        <v>1337</v>
      </c>
      <c r="BD92" s="3" t="s">
        <v>1338</v>
      </c>
    </row>
    <row r="93" spans="1:56" ht="41.25" customHeight="1" x14ac:dyDescent="0.25">
      <c r="A93" s="7" t="s">
        <v>58</v>
      </c>
      <c r="B93" s="2" t="s">
        <v>1339</v>
      </c>
      <c r="C93" s="2" t="s">
        <v>1340</v>
      </c>
      <c r="D93" s="2" t="s">
        <v>1341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1342</v>
      </c>
      <c r="L93" s="2" t="s">
        <v>1343</v>
      </c>
      <c r="M93" s="3" t="s">
        <v>582</v>
      </c>
      <c r="O93" s="3" t="s">
        <v>64</v>
      </c>
      <c r="P93" s="3" t="s">
        <v>65</v>
      </c>
      <c r="R93" s="3" t="s">
        <v>1042</v>
      </c>
      <c r="S93" s="4">
        <v>11</v>
      </c>
      <c r="T93" s="4">
        <v>11</v>
      </c>
      <c r="U93" s="5" t="s">
        <v>1300</v>
      </c>
      <c r="V93" s="5" t="s">
        <v>1300</v>
      </c>
      <c r="W93" s="5" t="s">
        <v>1344</v>
      </c>
      <c r="X93" s="5" t="s">
        <v>1344</v>
      </c>
      <c r="Y93" s="4">
        <v>526</v>
      </c>
      <c r="Z93" s="4">
        <v>496</v>
      </c>
      <c r="AA93" s="4">
        <v>574</v>
      </c>
      <c r="AB93" s="4">
        <v>4</v>
      </c>
      <c r="AC93" s="4">
        <v>6</v>
      </c>
      <c r="AD93" s="4">
        <v>21</v>
      </c>
      <c r="AE93" s="4">
        <v>24</v>
      </c>
      <c r="AF93" s="4">
        <v>10</v>
      </c>
      <c r="AG93" s="4">
        <v>10</v>
      </c>
      <c r="AH93" s="4">
        <v>6</v>
      </c>
      <c r="AI93" s="4">
        <v>6</v>
      </c>
      <c r="AJ93" s="4">
        <v>7</v>
      </c>
      <c r="AK93" s="4">
        <v>9</v>
      </c>
      <c r="AL93" s="4">
        <v>2</v>
      </c>
      <c r="AM93" s="4">
        <v>3</v>
      </c>
      <c r="AN93" s="4">
        <v>0</v>
      </c>
      <c r="AO93" s="4">
        <v>0</v>
      </c>
      <c r="AP93" s="3" t="s">
        <v>58</v>
      </c>
      <c r="AQ93" s="3" t="s">
        <v>58</v>
      </c>
      <c r="AS93" s="6" t="str">
        <f>HYPERLINK("https://creighton-primo.hosted.exlibrisgroup.com/primo-explore/search?tab=default_tab&amp;search_scope=EVERYTHING&amp;vid=01CRU&amp;lang=en_US&amp;offset=0&amp;query=any,contains,991002471459702656","Catalog Record")</f>
        <v>Catalog Record</v>
      </c>
      <c r="AT93" s="6" t="str">
        <f>HYPERLINK("http://www.worldcat.org/oclc/32190392","WorldCat Record")</f>
        <v>WorldCat Record</v>
      </c>
      <c r="AU93" s="3" t="s">
        <v>1345</v>
      </c>
      <c r="AV93" s="3" t="s">
        <v>1346</v>
      </c>
      <c r="AW93" s="3" t="s">
        <v>1347</v>
      </c>
      <c r="AX93" s="3" t="s">
        <v>1347</v>
      </c>
      <c r="AY93" s="3" t="s">
        <v>1348</v>
      </c>
      <c r="AZ93" s="3" t="s">
        <v>73</v>
      </c>
      <c r="BB93" s="3" t="s">
        <v>1349</v>
      </c>
      <c r="BC93" s="3" t="s">
        <v>1350</v>
      </c>
      <c r="BD93" s="3" t="s">
        <v>1351</v>
      </c>
    </row>
    <row r="94" spans="1:56" ht="41.25" customHeight="1" x14ac:dyDescent="0.25">
      <c r="A94" s="7" t="s">
        <v>58</v>
      </c>
      <c r="B94" s="2" t="s">
        <v>1352</v>
      </c>
      <c r="C94" s="2" t="s">
        <v>1353</v>
      </c>
      <c r="D94" s="2" t="s">
        <v>1354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1355</v>
      </c>
      <c r="L94" s="2" t="s">
        <v>1356</v>
      </c>
      <c r="M94" s="3" t="s">
        <v>868</v>
      </c>
      <c r="N94" s="2" t="s">
        <v>528</v>
      </c>
      <c r="O94" s="3" t="s">
        <v>64</v>
      </c>
      <c r="P94" s="3" t="s">
        <v>65</v>
      </c>
      <c r="R94" s="3" t="s">
        <v>1042</v>
      </c>
      <c r="S94" s="4">
        <v>9</v>
      </c>
      <c r="T94" s="4">
        <v>9</v>
      </c>
      <c r="U94" s="5" t="s">
        <v>1357</v>
      </c>
      <c r="V94" s="5" t="s">
        <v>1357</v>
      </c>
      <c r="W94" s="5" t="s">
        <v>1358</v>
      </c>
      <c r="X94" s="5" t="s">
        <v>1358</v>
      </c>
      <c r="Y94" s="4">
        <v>123</v>
      </c>
      <c r="Z94" s="4">
        <v>94</v>
      </c>
      <c r="AA94" s="4">
        <v>233</v>
      </c>
      <c r="AB94" s="4">
        <v>1</v>
      </c>
      <c r="AC94" s="4">
        <v>1</v>
      </c>
      <c r="AD94" s="4">
        <v>1</v>
      </c>
      <c r="AE94" s="4">
        <v>6</v>
      </c>
      <c r="AF94" s="4">
        <v>0</v>
      </c>
      <c r="AG94" s="4">
        <v>3</v>
      </c>
      <c r="AH94" s="4">
        <v>0</v>
      </c>
      <c r="AI94" s="4">
        <v>1</v>
      </c>
      <c r="AJ94" s="4">
        <v>1</v>
      </c>
      <c r="AK94" s="4">
        <v>3</v>
      </c>
      <c r="AL94" s="4">
        <v>0</v>
      </c>
      <c r="AM94" s="4">
        <v>0</v>
      </c>
      <c r="AN94" s="4">
        <v>0</v>
      </c>
      <c r="AO94" s="4">
        <v>0</v>
      </c>
      <c r="AP94" s="3" t="s">
        <v>58</v>
      </c>
      <c r="AQ94" s="3" t="s">
        <v>85</v>
      </c>
      <c r="AR94" s="6" t="str">
        <f>HYPERLINK("http://catalog.hathitrust.org/Record/004430938","HathiTrust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HYPERLINK("https://creighton-primo.hosted.exlibrisgroup.com/primo-explore/search?tab=default_tab&amp;search_scope=EVERYTHING&amp;vid=01CRU&amp;lang=en_US&amp;offset=0&amp;query=any,contains,991005410189702656","Catalog Record")</f>
        <v>Catalog Record</v>
      </c>
      <c r="AT94" s="6" t="str">
        <f>HYPERLINK("http://www.worldcat.org/oclc/18668089","WorldCat Record")</f>
        <v>WorldCat Record</v>
      </c>
      <c r="AU94" s="3" t="s">
        <v>1359</v>
      </c>
      <c r="AV94" s="3" t="s">
        <v>1360</v>
      </c>
      <c r="AW94" s="3" t="s">
        <v>1361</v>
      </c>
      <c r="AX94" s="3" t="s">
        <v>1361</v>
      </c>
      <c r="AY94" s="3" t="s">
        <v>1362</v>
      </c>
      <c r="AZ94" s="3" t="s">
        <v>73</v>
      </c>
      <c r="BB94" s="3" t="s">
        <v>1363</v>
      </c>
      <c r="BC94" s="3" t="s">
        <v>1364</v>
      </c>
      <c r="BD94" s="3" t="s">
        <v>1365</v>
      </c>
    </row>
    <row r="95" spans="1:56" ht="41.25" customHeight="1" x14ac:dyDescent="0.25">
      <c r="A95" s="7" t="s">
        <v>58</v>
      </c>
      <c r="B95" s="2" t="s">
        <v>1366</v>
      </c>
      <c r="C95" s="2" t="s">
        <v>1367</v>
      </c>
      <c r="D95" s="2" t="s">
        <v>1368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1369</v>
      </c>
      <c r="L95" s="2" t="s">
        <v>1370</v>
      </c>
      <c r="M95" s="3" t="s">
        <v>1129</v>
      </c>
      <c r="O95" s="3" t="s">
        <v>64</v>
      </c>
      <c r="P95" s="3" t="s">
        <v>65</v>
      </c>
      <c r="R95" s="3" t="s">
        <v>1042</v>
      </c>
      <c r="S95" s="4">
        <v>12</v>
      </c>
      <c r="T95" s="4">
        <v>12</v>
      </c>
      <c r="U95" s="5" t="s">
        <v>1371</v>
      </c>
      <c r="V95" s="5" t="s">
        <v>1371</v>
      </c>
      <c r="W95" s="5" t="s">
        <v>1044</v>
      </c>
      <c r="X95" s="5" t="s">
        <v>1044</v>
      </c>
      <c r="Y95" s="4">
        <v>609</v>
      </c>
      <c r="Z95" s="4">
        <v>558</v>
      </c>
      <c r="AA95" s="4">
        <v>623</v>
      </c>
      <c r="AB95" s="4">
        <v>6</v>
      </c>
      <c r="AC95" s="4">
        <v>7</v>
      </c>
      <c r="AD95" s="4">
        <v>15</v>
      </c>
      <c r="AE95" s="4">
        <v>17</v>
      </c>
      <c r="AF95" s="4">
        <v>5</v>
      </c>
      <c r="AG95" s="4">
        <v>6</v>
      </c>
      <c r="AH95" s="4">
        <v>6</v>
      </c>
      <c r="AI95" s="4">
        <v>6</v>
      </c>
      <c r="AJ95" s="4">
        <v>4</v>
      </c>
      <c r="AK95" s="4">
        <v>4</v>
      </c>
      <c r="AL95" s="4">
        <v>4</v>
      </c>
      <c r="AM95" s="4">
        <v>5</v>
      </c>
      <c r="AN95" s="4">
        <v>0</v>
      </c>
      <c r="AO95" s="4">
        <v>0</v>
      </c>
      <c r="AP95" s="3" t="s">
        <v>58</v>
      </c>
      <c r="AQ95" s="3" t="s">
        <v>85</v>
      </c>
      <c r="AR95" s="6" t="str">
        <f>HYPERLINK("http://catalog.hathitrust.org/Record/000554548","HathiTrust Record")</f>
        <v>HathiTrust Record</v>
      </c>
      <c r="AS95" s="6" t="str">
        <f>HYPERLINK("https://creighton-primo.hosted.exlibrisgroup.com/primo-explore/search?tab=default_tab&amp;search_scope=EVERYTHING&amp;vid=01CRU&amp;lang=en_US&amp;offset=0&amp;query=any,contains,991004850509702656","Catalog Record")</f>
        <v>Catalog Record</v>
      </c>
      <c r="AT95" s="6" t="str">
        <f>HYPERLINK("http://www.worldcat.org/oclc/5607848","WorldCat Record")</f>
        <v>WorldCat Record</v>
      </c>
      <c r="AU95" s="3" t="s">
        <v>1372</v>
      </c>
      <c r="AV95" s="3" t="s">
        <v>1373</v>
      </c>
      <c r="AW95" s="3" t="s">
        <v>1374</v>
      </c>
      <c r="AX95" s="3" t="s">
        <v>1374</v>
      </c>
      <c r="AY95" s="3" t="s">
        <v>1375</v>
      </c>
      <c r="AZ95" s="3" t="s">
        <v>73</v>
      </c>
      <c r="BB95" s="3" t="s">
        <v>1376</v>
      </c>
      <c r="BC95" s="3" t="s">
        <v>1377</v>
      </c>
      <c r="BD95" s="3" t="s">
        <v>1378</v>
      </c>
    </row>
    <row r="96" spans="1:56" ht="41.25" customHeight="1" x14ac:dyDescent="0.25">
      <c r="A96" s="7" t="s">
        <v>58</v>
      </c>
      <c r="B96" s="2" t="s">
        <v>1379</v>
      </c>
      <c r="C96" s="2" t="s">
        <v>1380</v>
      </c>
      <c r="D96" s="2" t="s">
        <v>1381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1382</v>
      </c>
      <c r="L96" s="2" t="s">
        <v>1383</v>
      </c>
      <c r="M96" s="3" t="s">
        <v>262</v>
      </c>
      <c r="O96" s="3" t="s">
        <v>64</v>
      </c>
      <c r="P96" s="3" t="s">
        <v>65</v>
      </c>
      <c r="R96" s="3" t="s">
        <v>1042</v>
      </c>
      <c r="S96" s="4">
        <v>22</v>
      </c>
      <c r="T96" s="4">
        <v>22</v>
      </c>
      <c r="U96" s="5" t="s">
        <v>1384</v>
      </c>
      <c r="V96" s="5" t="s">
        <v>1384</v>
      </c>
      <c r="W96" s="5" t="s">
        <v>1385</v>
      </c>
      <c r="X96" s="5" t="s">
        <v>1385</v>
      </c>
      <c r="Y96" s="4">
        <v>512</v>
      </c>
      <c r="Z96" s="4">
        <v>460</v>
      </c>
      <c r="AA96" s="4">
        <v>508</v>
      </c>
      <c r="AB96" s="4">
        <v>8</v>
      </c>
      <c r="AC96" s="4">
        <v>8</v>
      </c>
      <c r="AD96" s="4">
        <v>18</v>
      </c>
      <c r="AE96" s="4">
        <v>20</v>
      </c>
      <c r="AF96" s="4">
        <v>6</v>
      </c>
      <c r="AG96" s="4">
        <v>7</v>
      </c>
      <c r="AH96" s="4">
        <v>3</v>
      </c>
      <c r="AI96" s="4">
        <v>4</v>
      </c>
      <c r="AJ96" s="4">
        <v>5</v>
      </c>
      <c r="AK96" s="4">
        <v>5</v>
      </c>
      <c r="AL96" s="4">
        <v>7</v>
      </c>
      <c r="AM96" s="4">
        <v>7</v>
      </c>
      <c r="AN96" s="4">
        <v>0</v>
      </c>
      <c r="AO96" s="4">
        <v>0</v>
      </c>
      <c r="AP96" s="3" t="s">
        <v>58</v>
      </c>
      <c r="AQ96" s="3" t="s">
        <v>85</v>
      </c>
      <c r="AR96" s="6" t="str">
        <f>HYPERLINK("http://catalog.hathitrust.org/Record/009095011","HathiTrust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HYPERLINK("https://creighton-primo.hosted.exlibrisgroup.com/primo-explore/search?tab=default_tab&amp;search_scope=EVERYTHING&amp;vid=01CRU&amp;lang=en_US&amp;offset=0&amp;query=any,contains,991003759319702656","Catalog Record")</f>
        <v>Catalog Record</v>
      </c>
      <c r="AT96" s="6" t="str">
        <f>HYPERLINK("http://www.worldcat.org/oclc/1443968","WorldCat Record")</f>
        <v>WorldCat Record</v>
      </c>
      <c r="AU96" s="3" t="s">
        <v>1386</v>
      </c>
      <c r="AV96" s="3" t="s">
        <v>1387</v>
      </c>
      <c r="AW96" s="3" t="s">
        <v>1388</v>
      </c>
      <c r="AX96" s="3" t="s">
        <v>1388</v>
      </c>
      <c r="AY96" s="3" t="s">
        <v>1389</v>
      </c>
      <c r="AZ96" s="3" t="s">
        <v>73</v>
      </c>
      <c r="BB96" s="3" t="s">
        <v>1390</v>
      </c>
      <c r="BC96" s="3" t="s">
        <v>1391</v>
      </c>
      <c r="BD96" s="3" t="s">
        <v>1392</v>
      </c>
    </row>
    <row r="97" spans="1:56" ht="41.25" customHeight="1" x14ac:dyDescent="0.25">
      <c r="A97" s="7" t="s">
        <v>58</v>
      </c>
      <c r="B97" s="2" t="s">
        <v>1393</v>
      </c>
      <c r="C97" s="2" t="s">
        <v>1394</v>
      </c>
      <c r="D97" s="2" t="s">
        <v>1395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1396</v>
      </c>
      <c r="L97" s="2" t="s">
        <v>1397</v>
      </c>
      <c r="M97" s="3" t="s">
        <v>685</v>
      </c>
      <c r="O97" s="3" t="s">
        <v>64</v>
      </c>
      <c r="P97" s="3" t="s">
        <v>65</v>
      </c>
      <c r="R97" s="3" t="s">
        <v>1042</v>
      </c>
      <c r="S97" s="4">
        <v>8</v>
      </c>
      <c r="T97" s="4">
        <v>8</v>
      </c>
      <c r="U97" s="5" t="s">
        <v>1398</v>
      </c>
      <c r="V97" s="5" t="s">
        <v>1398</v>
      </c>
      <c r="W97" s="5" t="s">
        <v>1399</v>
      </c>
      <c r="X97" s="5" t="s">
        <v>1399</v>
      </c>
      <c r="Y97" s="4">
        <v>827</v>
      </c>
      <c r="Z97" s="4">
        <v>788</v>
      </c>
      <c r="AA97" s="4">
        <v>1092</v>
      </c>
      <c r="AB97" s="4">
        <v>10</v>
      </c>
      <c r="AC97" s="4">
        <v>12</v>
      </c>
      <c r="AD97" s="4">
        <v>31</v>
      </c>
      <c r="AE97" s="4">
        <v>40</v>
      </c>
      <c r="AF97" s="4">
        <v>9</v>
      </c>
      <c r="AG97" s="4">
        <v>15</v>
      </c>
      <c r="AH97" s="4">
        <v>5</v>
      </c>
      <c r="AI97" s="4">
        <v>6</v>
      </c>
      <c r="AJ97" s="4">
        <v>12</v>
      </c>
      <c r="AK97" s="4">
        <v>15</v>
      </c>
      <c r="AL97" s="4">
        <v>9</v>
      </c>
      <c r="AM97" s="4">
        <v>11</v>
      </c>
      <c r="AN97" s="4">
        <v>0</v>
      </c>
      <c r="AO97" s="4">
        <v>0</v>
      </c>
      <c r="AP97" s="3" t="s">
        <v>58</v>
      </c>
      <c r="AQ97" s="3" t="s">
        <v>58</v>
      </c>
      <c r="AS97" s="6" t="str">
        <f>HYPERLINK("https://creighton-primo.hosted.exlibrisgroup.com/primo-explore/search?tab=default_tab&amp;search_scope=EVERYTHING&amp;vid=01CRU&amp;lang=en_US&amp;offset=0&amp;query=any,contains,991002998539702656","Catalog Record")</f>
        <v>Catalog Record</v>
      </c>
      <c r="AT97" s="6" t="str">
        <f>HYPERLINK("http://www.worldcat.org/oclc/566717","WorldCat Record")</f>
        <v>WorldCat Record</v>
      </c>
      <c r="AU97" s="3" t="s">
        <v>1400</v>
      </c>
      <c r="AV97" s="3" t="s">
        <v>1401</v>
      </c>
      <c r="AW97" s="3" t="s">
        <v>1402</v>
      </c>
      <c r="AX97" s="3" t="s">
        <v>1402</v>
      </c>
      <c r="AY97" s="3" t="s">
        <v>1403</v>
      </c>
      <c r="AZ97" s="3" t="s">
        <v>73</v>
      </c>
      <c r="BC97" s="3" t="s">
        <v>1404</v>
      </c>
      <c r="BD97" s="3" t="s">
        <v>1405</v>
      </c>
    </row>
    <row r="98" spans="1:56" ht="41.25" customHeight="1" x14ac:dyDescent="0.25">
      <c r="A98" s="7" t="s">
        <v>58</v>
      </c>
      <c r="B98" s="2" t="s">
        <v>1406</v>
      </c>
      <c r="C98" s="2" t="s">
        <v>1407</v>
      </c>
      <c r="D98" s="2" t="s">
        <v>1408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1396</v>
      </c>
      <c r="L98" s="2" t="s">
        <v>1409</v>
      </c>
      <c r="M98" s="3" t="s">
        <v>1172</v>
      </c>
      <c r="O98" s="3" t="s">
        <v>64</v>
      </c>
      <c r="P98" s="3" t="s">
        <v>231</v>
      </c>
      <c r="R98" s="3" t="s">
        <v>1042</v>
      </c>
      <c r="S98" s="4">
        <v>11</v>
      </c>
      <c r="T98" s="4">
        <v>11</v>
      </c>
      <c r="U98" s="5" t="s">
        <v>1410</v>
      </c>
      <c r="V98" s="5" t="s">
        <v>1410</v>
      </c>
      <c r="W98" s="5" t="s">
        <v>1358</v>
      </c>
      <c r="X98" s="5" t="s">
        <v>1358</v>
      </c>
      <c r="Y98" s="4">
        <v>423</v>
      </c>
      <c r="Z98" s="4">
        <v>190</v>
      </c>
      <c r="AA98" s="4">
        <v>1023</v>
      </c>
      <c r="AB98" s="4">
        <v>1</v>
      </c>
      <c r="AC98" s="4">
        <v>8</v>
      </c>
      <c r="AD98" s="4">
        <v>7</v>
      </c>
      <c r="AE98" s="4">
        <v>33</v>
      </c>
      <c r="AF98" s="4">
        <v>5</v>
      </c>
      <c r="AG98" s="4">
        <v>14</v>
      </c>
      <c r="AH98" s="4">
        <v>1</v>
      </c>
      <c r="AI98" s="4">
        <v>6</v>
      </c>
      <c r="AJ98" s="4">
        <v>4</v>
      </c>
      <c r="AK98" s="4">
        <v>14</v>
      </c>
      <c r="AL98" s="4">
        <v>0</v>
      </c>
      <c r="AM98" s="4">
        <v>7</v>
      </c>
      <c r="AN98" s="4">
        <v>0</v>
      </c>
      <c r="AO98" s="4">
        <v>0</v>
      </c>
      <c r="AP98" s="3" t="s">
        <v>58</v>
      </c>
      <c r="AQ98" s="3" t="s">
        <v>58</v>
      </c>
      <c r="AS98" s="6" t="str">
        <f>HYPERLINK("https://creighton-primo.hosted.exlibrisgroup.com/primo-explore/search?tab=default_tab&amp;search_scope=EVERYTHING&amp;vid=01CRU&amp;lang=en_US&amp;offset=0&amp;query=any,contains,991000098189702656","Catalog Record")</f>
        <v>Catalog Record</v>
      </c>
      <c r="AT98" s="6" t="str">
        <f>HYPERLINK("http://www.worldcat.org/oclc/43015","WorldCat Record")</f>
        <v>WorldCat Record</v>
      </c>
      <c r="AU98" s="3" t="s">
        <v>1411</v>
      </c>
      <c r="AV98" s="3" t="s">
        <v>1412</v>
      </c>
      <c r="AW98" s="3" t="s">
        <v>1413</v>
      </c>
      <c r="AX98" s="3" t="s">
        <v>1413</v>
      </c>
      <c r="AY98" s="3" t="s">
        <v>1414</v>
      </c>
      <c r="AZ98" s="3" t="s">
        <v>73</v>
      </c>
      <c r="BB98" s="3" t="s">
        <v>1415</v>
      </c>
      <c r="BC98" s="3" t="s">
        <v>1416</v>
      </c>
      <c r="BD98" s="3" t="s">
        <v>1417</v>
      </c>
    </row>
    <row r="99" spans="1:56" ht="41.25" customHeight="1" x14ac:dyDescent="0.25">
      <c r="A99" s="7" t="s">
        <v>58</v>
      </c>
      <c r="B99" s="2" t="s">
        <v>1418</v>
      </c>
      <c r="C99" s="2" t="s">
        <v>1419</v>
      </c>
      <c r="D99" s="2" t="s">
        <v>1420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1421</v>
      </c>
      <c r="L99" s="2" t="s">
        <v>1422</v>
      </c>
      <c r="M99" s="3" t="s">
        <v>1423</v>
      </c>
      <c r="N99" s="2" t="s">
        <v>528</v>
      </c>
      <c r="O99" s="3" t="s">
        <v>64</v>
      </c>
      <c r="P99" s="3" t="s">
        <v>65</v>
      </c>
      <c r="R99" s="3" t="s">
        <v>1042</v>
      </c>
      <c r="S99" s="4">
        <v>3</v>
      </c>
      <c r="T99" s="4">
        <v>3</v>
      </c>
      <c r="U99" s="5" t="s">
        <v>1424</v>
      </c>
      <c r="V99" s="5" t="s">
        <v>1424</v>
      </c>
      <c r="W99" s="5" t="s">
        <v>1425</v>
      </c>
      <c r="X99" s="5" t="s">
        <v>1425</v>
      </c>
      <c r="Y99" s="4">
        <v>756</v>
      </c>
      <c r="Z99" s="4">
        <v>710</v>
      </c>
      <c r="AA99" s="4">
        <v>710</v>
      </c>
      <c r="AB99" s="4">
        <v>4</v>
      </c>
      <c r="AC99" s="4">
        <v>4</v>
      </c>
      <c r="AD99" s="4">
        <v>13</v>
      </c>
      <c r="AE99" s="4">
        <v>13</v>
      </c>
      <c r="AF99" s="4">
        <v>5</v>
      </c>
      <c r="AG99" s="4">
        <v>5</v>
      </c>
      <c r="AH99" s="4">
        <v>2</v>
      </c>
      <c r="AI99" s="4">
        <v>2</v>
      </c>
      <c r="AJ99" s="4">
        <v>8</v>
      </c>
      <c r="AK99" s="4">
        <v>8</v>
      </c>
      <c r="AL99" s="4">
        <v>1</v>
      </c>
      <c r="AM99" s="4">
        <v>1</v>
      </c>
      <c r="AN99" s="4">
        <v>0</v>
      </c>
      <c r="AO99" s="4">
        <v>0</v>
      </c>
      <c r="AP99" s="3" t="s">
        <v>58</v>
      </c>
      <c r="AQ99" s="3" t="s">
        <v>58</v>
      </c>
      <c r="AS99" s="6" t="str">
        <f>HYPERLINK("https://creighton-primo.hosted.exlibrisgroup.com/primo-explore/search?tab=default_tab&amp;search_scope=EVERYTHING&amp;vid=01CRU&amp;lang=en_US&amp;offset=0&amp;query=any,contains,991004002399702656","Catalog Record")</f>
        <v>Catalog Record</v>
      </c>
      <c r="AT99" s="6" t="str">
        <f>HYPERLINK("http://www.worldcat.org/oclc/49260717","WorldCat Record")</f>
        <v>WorldCat Record</v>
      </c>
      <c r="AU99" s="3" t="s">
        <v>1426</v>
      </c>
      <c r="AV99" s="3" t="s">
        <v>1427</v>
      </c>
      <c r="AW99" s="3" t="s">
        <v>1428</v>
      </c>
      <c r="AX99" s="3" t="s">
        <v>1428</v>
      </c>
      <c r="AY99" s="3" t="s">
        <v>1429</v>
      </c>
      <c r="AZ99" s="3" t="s">
        <v>73</v>
      </c>
      <c r="BB99" s="3" t="s">
        <v>1430</v>
      </c>
      <c r="BC99" s="3" t="s">
        <v>1431</v>
      </c>
      <c r="BD99" s="3" t="s">
        <v>1432</v>
      </c>
    </row>
    <row r="100" spans="1:56" ht="41.25" customHeight="1" x14ac:dyDescent="0.25">
      <c r="A100" s="7" t="s">
        <v>58</v>
      </c>
      <c r="B100" s="2" t="s">
        <v>1433</v>
      </c>
      <c r="C100" s="2" t="s">
        <v>1434</v>
      </c>
      <c r="D100" s="2" t="s">
        <v>1435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1436</v>
      </c>
      <c r="L100" s="2" t="s">
        <v>1437</v>
      </c>
      <c r="M100" s="3" t="s">
        <v>1025</v>
      </c>
      <c r="O100" s="3" t="s">
        <v>64</v>
      </c>
      <c r="P100" s="3" t="s">
        <v>65</v>
      </c>
      <c r="R100" s="3" t="s">
        <v>1042</v>
      </c>
      <c r="S100" s="4">
        <v>8</v>
      </c>
      <c r="T100" s="4">
        <v>8</v>
      </c>
      <c r="U100" s="5" t="s">
        <v>1438</v>
      </c>
      <c r="V100" s="5" t="s">
        <v>1438</v>
      </c>
      <c r="W100" s="5" t="s">
        <v>1439</v>
      </c>
      <c r="X100" s="5" t="s">
        <v>1439</v>
      </c>
      <c r="Y100" s="4">
        <v>651</v>
      </c>
      <c r="Z100" s="4">
        <v>588</v>
      </c>
      <c r="AA100" s="4">
        <v>624</v>
      </c>
      <c r="AB100" s="4">
        <v>7</v>
      </c>
      <c r="AC100" s="4">
        <v>7</v>
      </c>
      <c r="AD100" s="4">
        <v>7</v>
      </c>
      <c r="AE100" s="4">
        <v>8</v>
      </c>
      <c r="AF100" s="4">
        <v>3</v>
      </c>
      <c r="AG100" s="4">
        <v>4</v>
      </c>
      <c r="AH100" s="4">
        <v>1</v>
      </c>
      <c r="AI100" s="4">
        <v>1</v>
      </c>
      <c r="AJ100" s="4">
        <v>2</v>
      </c>
      <c r="AK100" s="4">
        <v>2</v>
      </c>
      <c r="AL100" s="4">
        <v>2</v>
      </c>
      <c r="AM100" s="4">
        <v>2</v>
      </c>
      <c r="AN100" s="4">
        <v>0</v>
      </c>
      <c r="AO100" s="4">
        <v>0</v>
      </c>
      <c r="AP100" s="3" t="s">
        <v>58</v>
      </c>
      <c r="AQ100" s="3" t="s">
        <v>58</v>
      </c>
      <c r="AS100" s="6" t="str">
        <f>HYPERLINK("https://creighton-primo.hosted.exlibrisgroup.com/primo-explore/search?tab=default_tab&amp;search_scope=EVERYTHING&amp;vid=01CRU&amp;lang=en_US&amp;offset=0&amp;query=any,contains,991002330369702656","Catalog Record")</f>
        <v>Catalog Record</v>
      </c>
      <c r="AT100" s="6" t="str">
        <f>HYPERLINK("http://www.worldcat.org/oclc/30321777","WorldCat Record")</f>
        <v>WorldCat Record</v>
      </c>
      <c r="AU100" s="3" t="s">
        <v>1440</v>
      </c>
      <c r="AV100" s="3" t="s">
        <v>1441</v>
      </c>
      <c r="AW100" s="3" t="s">
        <v>1442</v>
      </c>
      <c r="AX100" s="3" t="s">
        <v>1442</v>
      </c>
      <c r="AY100" s="3" t="s">
        <v>1443</v>
      </c>
      <c r="AZ100" s="3" t="s">
        <v>73</v>
      </c>
      <c r="BB100" s="3" t="s">
        <v>1444</v>
      </c>
      <c r="BC100" s="3" t="s">
        <v>1445</v>
      </c>
      <c r="BD100" s="3" t="s">
        <v>1446</v>
      </c>
    </row>
    <row r="101" spans="1:56" ht="41.25" customHeight="1" x14ac:dyDescent="0.25">
      <c r="A101" s="7" t="s">
        <v>58</v>
      </c>
      <c r="B101" s="2" t="s">
        <v>1447</v>
      </c>
      <c r="C101" s="2" t="s">
        <v>1448</v>
      </c>
      <c r="D101" s="2" t="s">
        <v>1449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1450</v>
      </c>
      <c r="L101" s="2" t="s">
        <v>1451</v>
      </c>
      <c r="M101" s="3" t="s">
        <v>754</v>
      </c>
      <c r="N101" s="2" t="s">
        <v>528</v>
      </c>
      <c r="O101" s="3" t="s">
        <v>64</v>
      </c>
      <c r="P101" s="3" t="s">
        <v>65</v>
      </c>
      <c r="R101" s="3" t="s">
        <v>1042</v>
      </c>
      <c r="S101" s="4">
        <v>3</v>
      </c>
      <c r="T101" s="4">
        <v>3</v>
      </c>
      <c r="U101" s="5" t="s">
        <v>1452</v>
      </c>
      <c r="V101" s="5" t="s">
        <v>1452</v>
      </c>
      <c r="W101" s="5" t="s">
        <v>1453</v>
      </c>
      <c r="X101" s="5" t="s">
        <v>1453</v>
      </c>
      <c r="Y101" s="4">
        <v>922</v>
      </c>
      <c r="Z101" s="4">
        <v>869</v>
      </c>
      <c r="AA101" s="4">
        <v>1013</v>
      </c>
      <c r="AB101" s="4">
        <v>4</v>
      </c>
      <c r="AC101" s="4">
        <v>5</v>
      </c>
      <c r="AD101" s="4">
        <v>13</v>
      </c>
      <c r="AE101" s="4">
        <v>15</v>
      </c>
      <c r="AF101" s="4">
        <v>5</v>
      </c>
      <c r="AG101" s="4">
        <v>6</v>
      </c>
      <c r="AH101" s="4">
        <v>4</v>
      </c>
      <c r="AI101" s="4">
        <v>4</v>
      </c>
      <c r="AJ101" s="4">
        <v>3</v>
      </c>
      <c r="AK101" s="4">
        <v>3</v>
      </c>
      <c r="AL101" s="4">
        <v>1</v>
      </c>
      <c r="AM101" s="4">
        <v>2</v>
      </c>
      <c r="AN101" s="4">
        <v>1</v>
      </c>
      <c r="AO101" s="4">
        <v>1</v>
      </c>
      <c r="AP101" s="3" t="s">
        <v>58</v>
      </c>
      <c r="AQ101" s="3" t="s">
        <v>85</v>
      </c>
      <c r="AR101" s="6" t="str">
        <f>HYPERLINK("http://catalog.hathitrust.org/Record/000785253","HathiTrust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HYPERLINK("https://creighton-primo.hosted.exlibrisgroup.com/primo-explore/search?tab=default_tab&amp;search_scope=EVERYTHING&amp;vid=01CRU&amp;lang=en_US&amp;offset=0&amp;query=any,contains,991000400939702656","Catalog Record")</f>
        <v>Catalog Record</v>
      </c>
      <c r="AT101" s="6" t="str">
        <f>HYPERLINK("http://www.worldcat.org/oclc/10606379","WorldCat Record")</f>
        <v>WorldCat Record</v>
      </c>
      <c r="AU101" s="3" t="s">
        <v>1454</v>
      </c>
      <c r="AV101" s="3" t="s">
        <v>1455</v>
      </c>
      <c r="AW101" s="3" t="s">
        <v>1456</v>
      </c>
      <c r="AX101" s="3" t="s">
        <v>1456</v>
      </c>
      <c r="AY101" s="3" t="s">
        <v>1457</v>
      </c>
      <c r="AZ101" s="3" t="s">
        <v>73</v>
      </c>
      <c r="BB101" s="3" t="s">
        <v>1458</v>
      </c>
      <c r="BC101" s="3" t="s">
        <v>1459</v>
      </c>
      <c r="BD101" s="3" t="s">
        <v>1460</v>
      </c>
    </row>
    <row r="102" spans="1:56" ht="41.25" customHeight="1" x14ac:dyDescent="0.25">
      <c r="A102" s="7" t="s">
        <v>58</v>
      </c>
      <c r="B102" s="2" t="s">
        <v>1461</v>
      </c>
      <c r="C102" s="2" t="s">
        <v>1462</v>
      </c>
      <c r="D102" s="2" t="s">
        <v>1463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1464</v>
      </c>
      <c r="L102" s="2" t="s">
        <v>1465</v>
      </c>
      <c r="M102" s="3" t="s">
        <v>685</v>
      </c>
      <c r="N102" s="2" t="s">
        <v>497</v>
      </c>
      <c r="O102" s="3" t="s">
        <v>64</v>
      </c>
      <c r="P102" s="3" t="s">
        <v>65</v>
      </c>
      <c r="R102" s="3" t="s">
        <v>1042</v>
      </c>
      <c r="S102" s="4">
        <v>7</v>
      </c>
      <c r="T102" s="4">
        <v>7</v>
      </c>
      <c r="U102" s="5" t="s">
        <v>1466</v>
      </c>
      <c r="V102" s="5" t="s">
        <v>1466</v>
      </c>
      <c r="W102" s="5" t="s">
        <v>1467</v>
      </c>
      <c r="X102" s="5" t="s">
        <v>1467</v>
      </c>
      <c r="Y102" s="4">
        <v>317</v>
      </c>
      <c r="Z102" s="4">
        <v>299</v>
      </c>
      <c r="AA102" s="4">
        <v>505</v>
      </c>
      <c r="AB102" s="4">
        <v>3</v>
      </c>
      <c r="AC102" s="4">
        <v>4</v>
      </c>
      <c r="AD102" s="4">
        <v>7</v>
      </c>
      <c r="AE102" s="4">
        <v>8</v>
      </c>
      <c r="AF102" s="4">
        <v>3</v>
      </c>
      <c r="AG102" s="4">
        <v>3</v>
      </c>
      <c r="AH102" s="4">
        <v>1</v>
      </c>
      <c r="AI102" s="4">
        <v>2</v>
      </c>
      <c r="AJ102" s="4">
        <v>0</v>
      </c>
      <c r="AK102" s="4">
        <v>1</v>
      </c>
      <c r="AL102" s="4">
        <v>3</v>
      </c>
      <c r="AM102" s="4">
        <v>3</v>
      </c>
      <c r="AN102" s="4">
        <v>0</v>
      </c>
      <c r="AO102" s="4">
        <v>0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HYPERLINK("https://creighton-primo.hosted.exlibrisgroup.com/primo-explore/search?tab=default_tab&amp;search_scope=EVERYTHING&amp;vid=01CRU&amp;lang=en_US&amp;offset=0&amp;query=any,contains,991002367439702656","Catalog Record")</f>
        <v>Catalog Record</v>
      </c>
      <c r="AT102" s="6" t="str">
        <f>HYPERLINK("http://www.worldcat.org/oclc/326714","WorldCat Record")</f>
        <v>WorldCat Record</v>
      </c>
      <c r="AU102" s="3" t="s">
        <v>1468</v>
      </c>
      <c r="AV102" s="3" t="s">
        <v>1469</v>
      </c>
      <c r="AW102" s="3" t="s">
        <v>1470</v>
      </c>
      <c r="AX102" s="3" t="s">
        <v>1470</v>
      </c>
      <c r="AY102" s="3" t="s">
        <v>1471</v>
      </c>
      <c r="AZ102" s="3" t="s">
        <v>73</v>
      </c>
      <c r="BC102" s="3" t="s">
        <v>1472</v>
      </c>
      <c r="BD102" s="3" t="s">
        <v>1473</v>
      </c>
    </row>
    <row r="103" spans="1:56" ht="41.25" customHeight="1" x14ac:dyDescent="0.25">
      <c r="A103" s="7" t="s">
        <v>58</v>
      </c>
      <c r="B103" s="2" t="s">
        <v>1474</v>
      </c>
      <c r="C103" s="2" t="s">
        <v>1475</v>
      </c>
      <c r="D103" s="2" t="s">
        <v>1476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K103" s="2" t="s">
        <v>1477</v>
      </c>
      <c r="L103" s="2" t="s">
        <v>1478</v>
      </c>
      <c r="M103" s="3" t="s">
        <v>754</v>
      </c>
      <c r="O103" s="3" t="s">
        <v>64</v>
      </c>
      <c r="P103" s="3" t="s">
        <v>231</v>
      </c>
      <c r="R103" s="3" t="s">
        <v>1042</v>
      </c>
      <c r="S103" s="4">
        <v>6</v>
      </c>
      <c r="T103" s="4">
        <v>6</v>
      </c>
      <c r="U103" s="5" t="s">
        <v>1479</v>
      </c>
      <c r="V103" s="5" t="s">
        <v>1479</v>
      </c>
      <c r="W103" s="5" t="s">
        <v>1480</v>
      </c>
      <c r="X103" s="5" t="s">
        <v>1480</v>
      </c>
      <c r="Y103" s="4">
        <v>180</v>
      </c>
      <c r="Z103" s="4">
        <v>121</v>
      </c>
      <c r="AA103" s="4">
        <v>121</v>
      </c>
      <c r="AB103" s="4">
        <v>2</v>
      </c>
      <c r="AC103" s="4">
        <v>2</v>
      </c>
      <c r="AD103" s="4">
        <v>3</v>
      </c>
      <c r="AE103" s="4">
        <v>3</v>
      </c>
      <c r="AF103" s="4">
        <v>0</v>
      </c>
      <c r="AG103" s="4">
        <v>0</v>
      </c>
      <c r="AH103" s="4">
        <v>0</v>
      </c>
      <c r="AI103" s="4">
        <v>0</v>
      </c>
      <c r="AJ103" s="4">
        <v>2</v>
      </c>
      <c r="AK103" s="4">
        <v>2</v>
      </c>
      <c r="AL103" s="4">
        <v>1</v>
      </c>
      <c r="AM103" s="4">
        <v>1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HYPERLINK("https://creighton-primo.hosted.exlibrisgroup.com/primo-explore/search?tab=default_tab&amp;search_scope=EVERYTHING&amp;vid=01CRU&amp;lang=en_US&amp;offset=0&amp;query=any,contains,991000604689702656","Catalog Record")</f>
        <v>Catalog Record</v>
      </c>
      <c r="AT103" s="6" t="str">
        <f>HYPERLINK("http://www.worldcat.org/oclc/11859677","WorldCat Record")</f>
        <v>WorldCat Record</v>
      </c>
      <c r="AU103" s="3" t="s">
        <v>1481</v>
      </c>
      <c r="AV103" s="3" t="s">
        <v>1482</v>
      </c>
      <c r="AW103" s="3" t="s">
        <v>1483</v>
      </c>
      <c r="AX103" s="3" t="s">
        <v>1483</v>
      </c>
      <c r="AY103" s="3" t="s">
        <v>1484</v>
      </c>
      <c r="AZ103" s="3" t="s">
        <v>73</v>
      </c>
      <c r="BB103" s="3" t="s">
        <v>1485</v>
      </c>
      <c r="BC103" s="3" t="s">
        <v>1486</v>
      </c>
      <c r="BD103" s="3" t="s">
        <v>1487</v>
      </c>
    </row>
    <row r="104" spans="1:56" ht="41.25" customHeight="1" x14ac:dyDescent="0.25">
      <c r="A104" s="7" t="s">
        <v>58</v>
      </c>
      <c r="B104" s="2" t="s">
        <v>1488</v>
      </c>
      <c r="C104" s="2" t="s">
        <v>1489</v>
      </c>
      <c r="D104" s="2" t="s">
        <v>1490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1491</v>
      </c>
      <c r="L104" s="2" t="s">
        <v>1492</v>
      </c>
      <c r="M104" s="3" t="s">
        <v>754</v>
      </c>
      <c r="O104" s="3" t="s">
        <v>64</v>
      </c>
      <c r="P104" s="3" t="s">
        <v>65</v>
      </c>
      <c r="R104" s="3" t="s">
        <v>1042</v>
      </c>
      <c r="S104" s="4">
        <v>17</v>
      </c>
      <c r="T104" s="4">
        <v>17</v>
      </c>
      <c r="U104" s="5" t="s">
        <v>1493</v>
      </c>
      <c r="V104" s="5" t="s">
        <v>1493</v>
      </c>
      <c r="W104" s="5" t="s">
        <v>1467</v>
      </c>
      <c r="X104" s="5" t="s">
        <v>1467</v>
      </c>
      <c r="Y104" s="4">
        <v>491</v>
      </c>
      <c r="Z104" s="4">
        <v>472</v>
      </c>
      <c r="AA104" s="4">
        <v>596</v>
      </c>
      <c r="AB104" s="4">
        <v>6</v>
      </c>
      <c r="AC104" s="4">
        <v>6</v>
      </c>
      <c r="AD104" s="4">
        <v>9</v>
      </c>
      <c r="AE104" s="4">
        <v>11</v>
      </c>
      <c r="AF104" s="4">
        <v>4</v>
      </c>
      <c r="AG104" s="4">
        <v>5</v>
      </c>
      <c r="AH104" s="4">
        <v>0</v>
      </c>
      <c r="AI104" s="4">
        <v>0</v>
      </c>
      <c r="AJ104" s="4">
        <v>3</v>
      </c>
      <c r="AK104" s="4">
        <v>3</v>
      </c>
      <c r="AL104" s="4">
        <v>3</v>
      </c>
      <c r="AM104" s="4">
        <v>3</v>
      </c>
      <c r="AN104" s="4">
        <v>0</v>
      </c>
      <c r="AO104" s="4">
        <v>1</v>
      </c>
      <c r="AP104" s="3" t="s">
        <v>58</v>
      </c>
      <c r="AQ104" s="3" t="s">
        <v>85</v>
      </c>
      <c r="AR104" s="6" t="str">
        <f>HYPERLINK("http://catalog.hathitrust.org/Record/000377416","HathiTrust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HYPERLINK("https://creighton-primo.hosted.exlibrisgroup.com/primo-explore/search?tab=default_tab&amp;search_scope=EVERYTHING&amp;vid=01CRU&amp;lang=en_US&amp;offset=0&amp;query=any,contains,991000333489702656","Catalog Record")</f>
        <v>Catalog Record</v>
      </c>
      <c r="AT104" s="6" t="str">
        <f>HYPERLINK("http://www.worldcat.org/oclc/10208421","WorldCat Record")</f>
        <v>WorldCat Record</v>
      </c>
      <c r="AU104" s="3" t="s">
        <v>1494</v>
      </c>
      <c r="AV104" s="3" t="s">
        <v>1495</v>
      </c>
      <c r="AW104" s="3" t="s">
        <v>1496</v>
      </c>
      <c r="AX104" s="3" t="s">
        <v>1496</v>
      </c>
      <c r="AY104" s="3" t="s">
        <v>1497</v>
      </c>
      <c r="AZ104" s="3" t="s">
        <v>73</v>
      </c>
      <c r="BB104" s="3" t="s">
        <v>1498</v>
      </c>
      <c r="BC104" s="3" t="s">
        <v>1499</v>
      </c>
      <c r="BD104" s="3" t="s">
        <v>1500</v>
      </c>
    </row>
    <row r="105" spans="1:56" ht="41.25" customHeight="1" x14ac:dyDescent="0.25">
      <c r="A105" s="7" t="s">
        <v>58</v>
      </c>
      <c r="B105" s="2" t="s">
        <v>1501</v>
      </c>
      <c r="C105" s="2" t="s">
        <v>1502</v>
      </c>
      <c r="D105" s="2" t="s">
        <v>1503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1504</v>
      </c>
      <c r="L105" s="2" t="s">
        <v>1505</v>
      </c>
      <c r="M105" s="3" t="s">
        <v>685</v>
      </c>
      <c r="O105" s="3" t="s">
        <v>64</v>
      </c>
      <c r="P105" s="3" t="s">
        <v>388</v>
      </c>
      <c r="R105" s="3" t="s">
        <v>1042</v>
      </c>
      <c r="S105" s="4">
        <v>1</v>
      </c>
      <c r="T105" s="4">
        <v>1</v>
      </c>
      <c r="U105" s="5" t="s">
        <v>1506</v>
      </c>
      <c r="V105" s="5" t="s">
        <v>1506</v>
      </c>
      <c r="W105" s="5" t="s">
        <v>799</v>
      </c>
      <c r="X105" s="5" t="s">
        <v>799</v>
      </c>
      <c r="Y105" s="4">
        <v>126</v>
      </c>
      <c r="Z105" s="4">
        <v>121</v>
      </c>
      <c r="AA105" s="4">
        <v>122</v>
      </c>
      <c r="AB105" s="4">
        <v>3</v>
      </c>
      <c r="AC105" s="4">
        <v>3</v>
      </c>
      <c r="AD105" s="4">
        <v>2</v>
      </c>
      <c r="AE105" s="4">
        <v>2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2</v>
      </c>
      <c r="AM105" s="4">
        <v>2</v>
      </c>
      <c r="AN105" s="4">
        <v>0</v>
      </c>
      <c r="AO105" s="4">
        <v>0</v>
      </c>
      <c r="AP105" s="3" t="s">
        <v>58</v>
      </c>
      <c r="AQ105" s="3" t="s">
        <v>85</v>
      </c>
      <c r="AR105" s="6" t="str">
        <f>HYPERLINK("http://catalog.hathitrust.org/Record/009058991","HathiTrust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HYPERLINK("https://creighton-primo.hosted.exlibrisgroup.com/primo-explore/search?tab=default_tab&amp;search_scope=EVERYTHING&amp;vid=01CRU&amp;lang=en_US&amp;offset=0&amp;query=any,contains,991003659189702656","Catalog Record")</f>
        <v>Catalog Record</v>
      </c>
      <c r="AT105" s="6" t="str">
        <f>HYPERLINK("http://www.worldcat.org/oclc/1283995","WorldCat Record")</f>
        <v>WorldCat Record</v>
      </c>
      <c r="AU105" s="3" t="s">
        <v>1507</v>
      </c>
      <c r="AV105" s="3" t="s">
        <v>1508</v>
      </c>
      <c r="AW105" s="3" t="s">
        <v>1509</v>
      </c>
      <c r="AX105" s="3" t="s">
        <v>1509</v>
      </c>
      <c r="AY105" s="3" t="s">
        <v>1510</v>
      </c>
      <c r="AZ105" s="3" t="s">
        <v>73</v>
      </c>
      <c r="BC105" s="3" t="s">
        <v>1511</v>
      </c>
      <c r="BD105" s="3" t="s">
        <v>1512</v>
      </c>
    </row>
    <row r="106" spans="1:56" ht="41.25" customHeight="1" x14ac:dyDescent="0.25">
      <c r="A106" s="7" t="s">
        <v>58</v>
      </c>
      <c r="B106" s="2" t="s">
        <v>1513</v>
      </c>
      <c r="C106" s="2" t="s">
        <v>1514</v>
      </c>
      <c r="D106" s="2" t="s">
        <v>1515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1516</v>
      </c>
      <c r="L106" s="2" t="s">
        <v>1517</v>
      </c>
      <c r="M106" s="3" t="s">
        <v>1518</v>
      </c>
      <c r="O106" s="3" t="s">
        <v>64</v>
      </c>
      <c r="P106" s="3" t="s">
        <v>65</v>
      </c>
      <c r="R106" s="3" t="s">
        <v>1042</v>
      </c>
      <c r="S106" s="4">
        <v>4</v>
      </c>
      <c r="T106" s="4">
        <v>4</v>
      </c>
      <c r="U106" s="5" t="s">
        <v>1519</v>
      </c>
      <c r="V106" s="5" t="s">
        <v>1519</v>
      </c>
      <c r="W106" s="5" t="s">
        <v>1520</v>
      </c>
      <c r="X106" s="5" t="s">
        <v>1520</v>
      </c>
      <c r="Y106" s="4">
        <v>504</v>
      </c>
      <c r="Z106" s="4">
        <v>424</v>
      </c>
      <c r="AA106" s="4">
        <v>429</v>
      </c>
      <c r="AB106" s="4">
        <v>5</v>
      </c>
      <c r="AC106" s="4">
        <v>5</v>
      </c>
      <c r="AD106" s="4">
        <v>15</v>
      </c>
      <c r="AE106" s="4">
        <v>15</v>
      </c>
      <c r="AF106" s="4">
        <v>7</v>
      </c>
      <c r="AG106" s="4">
        <v>7</v>
      </c>
      <c r="AH106" s="4">
        <v>1</v>
      </c>
      <c r="AI106" s="4">
        <v>1</v>
      </c>
      <c r="AJ106" s="4">
        <v>3</v>
      </c>
      <c r="AK106" s="4">
        <v>3</v>
      </c>
      <c r="AL106" s="4">
        <v>4</v>
      </c>
      <c r="AM106" s="4">
        <v>4</v>
      </c>
      <c r="AN106" s="4">
        <v>0</v>
      </c>
      <c r="AO106" s="4">
        <v>0</v>
      </c>
      <c r="AP106" s="3" t="s">
        <v>58</v>
      </c>
      <c r="AQ106" s="3" t="s">
        <v>58</v>
      </c>
      <c r="AS106" s="6" t="str">
        <f>HYPERLINK("https://creighton-primo.hosted.exlibrisgroup.com/primo-explore/search?tab=default_tab&amp;search_scope=EVERYTHING&amp;vid=01CRU&amp;lang=en_US&amp;offset=0&amp;query=any,contains,991002872849702656","Catalog Record")</f>
        <v>Catalog Record</v>
      </c>
      <c r="AT106" s="6" t="str">
        <f>HYPERLINK("http://www.worldcat.org/oclc/500788","WorldCat Record")</f>
        <v>WorldCat Record</v>
      </c>
      <c r="AU106" s="3" t="s">
        <v>1521</v>
      </c>
      <c r="AV106" s="3" t="s">
        <v>1522</v>
      </c>
      <c r="AW106" s="3" t="s">
        <v>1523</v>
      </c>
      <c r="AX106" s="3" t="s">
        <v>1523</v>
      </c>
      <c r="AY106" s="3" t="s">
        <v>1524</v>
      </c>
      <c r="AZ106" s="3" t="s">
        <v>73</v>
      </c>
      <c r="BC106" s="3" t="s">
        <v>1525</v>
      </c>
      <c r="BD106" s="3" t="s">
        <v>1526</v>
      </c>
    </row>
    <row r="107" spans="1:56" ht="41.25" customHeight="1" x14ac:dyDescent="0.25">
      <c r="A107" s="7" t="s">
        <v>58</v>
      </c>
      <c r="B107" s="2" t="s">
        <v>1527</v>
      </c>
      <c r="C107" s="2" t="s">
        <v>1528</v>
      </c>
      <c r="D107" s="2" t="s">
        <v>1529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1530</v>
      </c>
      <c r="L107" s="2" t="s">
        <v>1531</v>
      </c>
      <c r="M107" s="3" t="s">
        <v>81</v>
      </c>
      <c r="O107" s="3" t="s">
        <v>64</v>
      </c>
      <c r="P107" s="3" t="s">
        <v>65</v>
      </c>
      <c r="R107" s="3" t="s">
        <v>1042</v>
      </c>
      <c r="S107" s="4">
        <v>4</v>
      </c>
      <c r="T107" s="4">
        <v>4</v>
      </c>
      <c r="U107" s="5" t="s">
        <v>1532</v>
      </c>
      <c r="V107" s="5" t="s">
        <v>1532</v>
      </c>
      <c r="W107" s="5" t="s">
        <v>1533</v>
      </c>
      <c r="X107" s="5" t="s">
        <v>1533</v>
      </c>
      <c r="Y107" s="4">
        <v>601</v>
      </c>
      <c r="Z107" s="4">
        <v>467</v>
      </c>
      <c r="AA107" s="4">
        <v>469</v>
      </c>
      <c r="AB107" s="4">
        <v>3</v>
      </c>
      <c r="AC107" s="4">
        <v>3</v>
      </c>
      <c r="AD107" s="4">
        <v>8</v>
      </c>
      <c r="AE107" s="4">
        <v>8</v>
      </c>
      <c r="AF107" s="4">
        <v>2</v>
      </c>
      <c r="AG107" s="4">
        <v>2</v>
      </c>
      <c r="AH107" s="4">
        <v>2</v>
      </c>
      <c r="AI107" s="4">
        <v>2</v>
      </c>
      <c r="AJ107" s="4">
        <v>3</v>
      </c>
      <c r="AK107" s="4">
        <v>3</v>
      </c>
      <c r="AL107" s="4">
        <v>2</v>
      </c>
      <c r="AM107" s="4">
        <v>2</v>
      </c>
      <c r="AN107" s="4">
        <v>0</v>
      </c>
      <c r="AO107" s="4">
        <v>0</v>
      </c>
      <c r="AP107" s="3" t="s">
        <v>58</v>
      </c>
      <c r="AQ107" s="3" t="s">
        <v>85</v>
      </c>
      <c r="AR107" s="6" t="str">
        <f>HYPERLINK("http://catalog.hathitrust.org/Record/000251436","HathiTrust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HYPERLINK("https://creighton-primo.hosted.exlibrisgroup.com/primo-explore/search?tab=default_tab&amp;search_scope=EVERYTHING&amp;vid=01CRU&amp;lang=en_US&amp;offset=0&amp;query=any,contains,991004315689702656","Catalog Record")</f>
        <v>Catalog Record</v>
      </c>
      <c r="AT107" s="6" t="str">
        <f>HYPERLINK("http://www.worldcat.org/oclc/3003691","WorldCat Record")</f>
        <v>WorldCat Record</v>
      </c>
      <c r="AU107" s="3" t="s">
        <v>1534</v>
      </c>
      <c r="AV107" s="3" t="s">
        <v>1535</v>
      </c>
      <c r="AW107" s="3" t="s">
        <v>1536</v>
      </c>
      <c r="AX107" s="3" t="s">
        <v>1536</v>
      </c>
      <c r="AY107" s="3" t="s">
        <v>1537</v>
      </c>
      <c r="AZ107" s="3" t="s">
        <v>73</v>
      </c>
      <c r="BB107" s="3" t="s">
        <v>1538</v>
      </c>
      <c r="BC107" s="3" t="s">
        <v>1539</v>
      </c>
      <c r="BD107" s="3" t="s">
        <v>1540</v>
      </c>
    </row>
    <row r="108" spans="1:56" ht="41.25" customHeight="1" x14ac:dyDescent="0.25">
      <c r="A108" s="7" t="s">
        <v>58</v>
      </c>
      <c r="B108" s="2" t="s">
        <v>1541</v>
      </c>
      <c r="C108" s="2" t="s">
        <v>1542</v>
      </c>
      <c r="D108" s="2" t="s">
        <v>1543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1530</v>
      </c>
      <c r="L108" s="2" t="s">
        <v>1544</v>
      </c>
      <c r="M108" s="3" t="s">
        <v>437</v>
      </c>
      <c r="O108" s="3" t="s">
        <v>64</v>
      </c>
      <c r="P108" s="3" t="s">
        <v>65</v>
      </c>
      <c r="R108" s="3" t="s">
        <v>1042</v>
      </c>
      <c r="S108" s="4">
        <v>5</v>
      </c>
      <c r="T108" s="4">
        <v>5</v>
      </c>
      <c r="U108" s="5" t="s">
        <v>1532</v>
      </c>
      <c r="V108" s="5" t="s">
        <v>1532</v>
      </c>
      <c r="W108" s="5" t="s">
        <v>1545</v>
      </c>
      <c r="X108" s="5" t="s">
        <v>1545</v>
      </c>
      <c r="Y108" s="4">
        <v>429</v>
      </c>
      <c r="Z108" s="4">
        <v>331</v>
      </c>
      <c r="AA108" s="4">
        <v>332</v>
      </c>
      <c r="AB108" s="4">
        <v>4</v>
      </c>
      <c r="AC108" s="4">
        <v>4</v>
      </c>
      <c r="AD108" s="4">
        <v>8</v>
      </c>
      <c r="AE108" s="4">
        <v>8</v>
      </c>
      <c r="AF108" s="4">
        <v>2</v>
      </c>
      <c r="AG108" s="4">
        <v>2</v>
      </c>
      <c r="AH108" s="4">
        <v>0</v>
      </c>
      <c r="AI108" s="4">
        <v>0</v>
      </c>
      <c r="AJ108" s="4">
        <v>3</v>
      </c>
      <c r="AK108" s="4">
        <v>3</v>
      </c>
      <c r="AL108" s="4">
        <v>3</v>
      </c>
      <c r="AM108" s="4">
        <v>3</v>
      </c>
      <c r="AN108" s="4">
        <v>0</v>
      </c>
      <c r="AO108" s="4">
        <v>0</v>
      </c>
      <c r="AP108" s="3" t="s">
        <v>58</v>
      </c>
      <c r="AQ108" s="3" t="s">
        <v>58</v>
      </c>
      <c r="AS108" s="6" t="str">
        <f>HYPERLINK("https://creighton-primo.hosted.exlibrisgroup.com/primo-explore/search?tab=default_tab&amp;search_scope=EVERYTHING&amp;vid=01CRU&amp;lang=en_US&amp;offset=0&amp;query=any,contains,991005209899702656","Catalog Record")</f>
        <v>Catalog Record</v>
      </c>
      <c r="AT108" s="6" t="str">
        <f>HYPERLINK("http://www.worldcat.org/oclc/8157049","WorldCat Record")</f>
        <v>WorldCat Record</v>
      </c>
      <c r="AU108" s="3" t="s">
        <v>1546</v>
      </c>
      <c r="AV108" s="3" t="s">
        <v>1547</v>
      </c>
      <c r="AW108" s="3" t="s">
        <v>1548</v>
      </c>
      <c r="AX108" s="3" t="s">
        <v>1548</v>
      </c>
      <c r="AY108" s="3" t="s">
        <v>1549</v>
      </c>
      <c r="AZ108" s="3" t="s">
        <v>73</v>
      </c>
      <c r="BB108" s="3" t="s">
        <v>1550</v>
      </c>
      <c r="BC108" s="3" t="s">
        <v>1551</v>
      </c>
      <c r="BD108" s="3" t="s">
        <v>1552</v>
      </c>
    </row>
    <row r="109" spans="1:56" ht="41.25" customHeight="1" x14ac:dyDescent="0.25">
      <c r="A109" s="7" t="s">
        <v>58</v>
      </c>
      <c r="B109" s="2" t="s">
        <v>1553</v>
      </c>
      <c r="C109" s="2" t="s">
        <v>1554</v>
      </c>
      <c r="D109" s="2" t="s">
        <v>1555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1556</v>
      </c>
      <c r="L109" s="2" t="s">
        <v>1557</v>
      </c>
      <c r="M109" s="3" t="s">
        <v>1558</v>
      </c>
      <c r="N109" s="2" t="s">
        <v>1559</v>
      </c>
      <c r="O109" s="3" t="s">
        <v>64</v>
      </c>
      <c r="P109" s="3" t="s">
        <v>334</v>
      </c>
      <c r="R109" s="3" t="s">
        <v>1042</v>
      </c>
      <c r="S109" s="4">
        <v>9</v>
      </c>
      <c r="T109" s="4">
        <v>9</v>
      </c>
      <c r="U109" s="5" t="s">
        <v>1560</v>
      </c>
      <c r="V109" s="5" t="s">
        <v>1560</v>
      </c>
      <c r="W109" s="5" t="s">
        <v>1561</v>
      </c>
      <c r="X109" s="5" t="s">
        <v>1561</v>
      </c>
      <c r="Y109" s="4">
        <v>348</v>
      </c>
      <c r="Z109" s="4">
        <v>339</v>
      </c>
      <c r="AA109" s="4">
        <v>1081</v>
      </c>
      <c r="AB109" s="4">
        <v>2</v>
      </c>
      <c r="AC109" s="4">
        <v>12</v>
      </c>
      <c r="AD109" s="4">
        <v>1</v>
      </c>
      <c r="AE109" s="4">
        <v>17</v>
      </c>
      <c r="AF109" s="4">
        <v>0</v>
      </c>
      <c r="AG109" s="4">
        <v>7</v>
      </c>
      <c r="AH109" s="4">
        <v>1</v>
      </c>
      <c r="AI109" s="4">
        <v>3</v>
      </c>
      <c r="AJ109" s="4">
        <v>0</v>
      </c>
      <c r="AK109" s="4">
        <v>4</v>
      </c>
      <c r="AL109" s="4">
        <v>0</v>
      </c>
      <c r="AM109" s="4">
        <v>5</v>
      </c>
      <c r="AN109" s="4">
        <v>0</v>
      </c>
      <c r="AO109" s="4">
        <v>0</v>
      </c>
      <c r="AP109" s="3" t="s">
        <v>58</v>
      </c>
      <c r="AQ109" s="3" t="s">
        <v>58</v>
      </c>
      <c r="AS109" s="6" t="str">
        <f>HYPERLINK("https://creighton-primo.hosted.exlibrisgroup.com/primo-explore/search?tab=default_tab&amp;search_scope=EVERYTHING&amp;vid=01CRU&amp;lang=en_US&amp;offset=0&amp;query=any,contains,991002251789702656","Catalog Record")</f>
        <v>Catalog Record</v>
      </c>
      <c r="AT109" s="6" t="str">
        <f>HYPERLINK("http://www.worldcat.org/oclc/29181784","WorldCat Record")</f>
        <v>WorldCat Record</v>
      </c>
      <c r="AU109" s="3" t="s">
        <v>1562</v>
      </c>
      <c r="AV109" s="3" t="s">
        <v>1563</v>
      </c>
      <c r="AW109" s="3" t="s">
        <v>1564</v>
      </c>
      <c r="AX109" s="3" t="s">
        <v>1564</v>
      </c>
      <c r="AY109" s="3" t="s">
        <v>1565</v>
      </c>
      <c r="AZ109" s="3" t="s">
        <v>73</v>
      </c>
      <c r="BB109" s="3" t="s">
        <v>1566</v>
      </c>
      <c r="BC109" s="3" t="s">
        <v>1567</v>
      </c>
      <c r="BD109" s="3" t="s">
        <v>1568</v>
      </c>
    </row>
    <row r="110" spans="1:56" ht="41.25" customHeight="1" x14ac:dyDescent="0.25">
      <c r="A110" s="7" t="s">
        <v>58</v>
      </c>
      <c r="B110" s="2" t="s">
        <v>1569</v>
      </c>
      <c r="C110" s="2" t="s">
        <v>1570</v>
      </c>
      <c r="D110" s="2" t="s">
        <v>1571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1572</v>
      </c>
      <c r="L110" s="2" t="s">
        <v>1573</v>
      </c>
      <c r="M110" s="3" t="s">
        <v>1258</v>
      </c>
      <c r="O110" s="3" t="s">
        <v>64</v>
      </c>
      <c r="P110" s="3" t="s">
        <v>1574</v>
      </c>
      <c r="R110" s="3" t="s">
        <v>1042</v>
      </c>
      <c r="S110" s="4">
        <v>13</v>
      </c>
      <c r="T110" s="4">
        <v>13</v>
      </c>
      <c r="U110" s="5" t="s">
        <v>1575</v>
      </c>
      <c r="V110" s="5" t="s">
        <v>1575</v>
      </c>
      <c r="W110" s="5" t="s">
        <v>1576</v>
      </c>
      <c r="X110" s="5" t="s">
        <v>1576</v>
      </c>
      <c r="Y110" s="4">
        <v>279</v>
      </c>
      <c r="Z110" s="4">
        <v>187</v>
      </c>
      <c r="AA110" s="4">
        <v>190</v>
      </c>
      <c r="AB110" s="4">
        <v>3</v>
      </c>
      <c r="AC110" s="4">
        <v>3</v>
      </c>
      <c r="AD110" s="4">
        <v>9</v>
      </c>
      <c r="AE110" s="4">
        <v>9</v>
      </c>
      <c r="AF110" s="4">
        <v>3</v>
      </c>
      <c r="AG110" s="4">
        <v>3</v>
      </c>
      <c r="AH110" s="4">
        <v>4</v>
      </c>
      <c r="AI110" s="4">
        <v>4</v>
      </c>
      <c r="AJ110" s="4">
        <v>3</v>
      </c>
      <c r="AK110" s="4">
        <v>3</v>
      </c>
      <c r="AL110" s="4">
        <v>2</v>
      </c>
      <c r="AM110" s="4">
        <v>2</v>
      </c>
      <c r="AN110" s="4">
        <v>0</v>
      </c>
      <c r="AO110" s="4">
        <v>0</v>
      </c>
      <c r="AP110" s="3" t="s">
        <v>58</v>
      </c>
      <c r="AQ110" s="3" t="s">
        <v>58</v>
      </c>
      <c r="AS110" s="6" t="str">
        <f>HYPERLINK("https://creighton-primo.hosted.exlibrisgroup.com/primo-explore/search?tab=default_tab&amp;search_scope=EVERYTHING&amp;vid=01CRU&amp;lang=en_US&amp;offset=0&amp;query=any,contains,991002648309702656","Catalog Record")</f>
        <v>Catalog Record</v>
      </c>
      <c r="AT110" s="6" t="str">
        <f>HYPERLINK("http://www.worldcat.org/oclc/35207958","WorldCat Record")</f>
        <v>WorldCat Record</v>
      </c>
      <c r="AU110" s="3" t="s">
        <v>1577</v>
      </c>
      <c r="AV110" s="3" t="s">
        <v>1578</v>
      </c>
      <c r="AW110" s="3" t="s">
        <v>1579</v>
      </c>
      <c r="AX110" s="3" t="s">
        <v>1579</v>
      </c>
      <c r="AY110" s="3" t="s">
        <v>1580</v>
      </c>
      <c r="AZ110" s="3" t="s">
        <v>73</v>
      </c>
      <c r="BB110" s="3" t="s">
        <v>1581</v>
      </c>
      <c r="BC110" s="3" t="s">
        <v>1582</v>
      </c>
      <c r="BD110" s="3" t="s">
        <v>1583</v>
      </c>
    </row>
    <row r="111" spans="1:56" ht="41.25" customHeight="1" x14ac:dyDescent="0.25">
      <c r="A111" s="7" t="s">
        <v>58</v>
      </c>
      <c r="B111" s="2" t="s">
        <v>1584</v>
      </c>
      <c r="C111" s="2" t="s">
        <v>1585</v>
      </c>
      <c r="D111" s="2" t="s">
        <v>1586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1587</v>
      </c>
      <c r="L111" s="2" t="s">
        <v>1588</v>
      </c>
      <c r="M111" s="3" t="s">
        <v>626</v>
      </c>
      <c r="N111" s="2" t="s">
        <v>1589</v>
      </c>
      <c r="O111" s="3" t="s">
        <v>64</v>
      </c>
      <c r="P111" s="3" t="s">
        <v>1574</v>
      </c>
      <c r="R111" s="3" t="s">
        <v>1042</v>
      </c>
      <c r="S111" s="4">
        <v>12</v>
      </c>
      <c r="T111" s="4">
        <v>12</v>
      </c>
      <c r="U111" s="5" t="s">
        <v>1173</v>
      </c>
      <c r="V111" s="5" t="s">
        <v>1173</v>
      </c>
      <c r="W111" s="5" t="s">
        <v>1590</v>
      </c>
      <c r="X111" s="5" t="s">
        <v>1590</v>
      </c>
      <c r="Y111" s="4">
        <v>898</v>
      </c>
      <c r="Z111" s="4">
        <v>805</v>
      </c>
      <c r="AA111" s="4">
        <v>1317</v>
      </c>
      <c r="AB111" s="4">
        <v>8</v>
      </c>
      <c r="AC111" s="4">
        <v>11</v>
      </c>
      <c r="AD111" s="4">
        <v>27</v>
      </c>
      <c r="AE111" s="4">
        <v>35</v>
      </c>
      <c r="AF111" s="4">
        <v>12</v>
      </c>
      <c r="AG111" s="4">
        <v>17</v>
      </c>
      <c r="AH111" s="4">
        <v>5</v>
      </c>
      <c r="AI111" s="4">
        <v>7</v>
      </c>
      <c r="AJ111" s="4">
        <v>10</v>
      </c>
      <c r="AK111" s="4">
        <v>13</v>
      </c>
      <c r="AL111" s="4">
        <v>7</v>
      </c>
      <c r="AM111" s="4">
        <v>7</v>
      </c>
      <c r="AN111" s="4">
        <v>0</v>
      </c>
      <c r="AO111" s="4">
        <v>0</v>
      </c>
      <c r="AP111" s="3" t="s">
        <v>58</v>
      </c>
      <c r="AQ111" s="3" t="s">
        <v>85</v>
      </c>
      <c r="AR111" s="6" t="str">
        <f>HYPERLINK("http://catalog.hathitrust.org/Record/002589989","HathiTrust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HYPERLINK("https://creighton-primo.hosted.exlibrisgroup.com/primo-explore/search?tab=default_tab&amp;search_scope=EVERYTHING&amp;vid=01CRU&amp;lang=en_US&amp;offset=0&amp;query=any,contains,991002021949702656","Catalog Record")</f>
        <v>Catalog Record</v>
      </c>
      <c r="AT111" s="6" t="str">
        <f>HYPERLINK("http://www.worldcat.org/oclc/25713499","WorldCat Record")</f>
        <v>WorldCat Record</v>
      </c>
      <c r="AU111" s="3" t="s">
        <v>1591</v>
      </c>
      <c r="AV111" s="3" t="s">
        <v>1592</v>
      </c>
      <c r="AW111" s="3" t="s">
        <v>1593</v>
      </c>
      <c r="AX111" s="3" t="s">
        <v>1593</v>
      </c>
      <c r="AY111" s="3" t="s">
        <v>1594</v>
      </c>
      <c r="AZ111" s="3" t="s">
        <v>73</v>
      </c>
      <c r="BB111" s="3" t="s">
        <v>1595</v>
      </c>
      <c r="BC111" s="3" t="s">
        <v>1596</v>
      </c>
      <c r="BD111" s="3" t="s">
        <v>1597</v>
      </c>
    </row>
    <row r="112" spans="1:56" ht="41.25" customHeight="1" x14ac:dyDescent="0.25">
      <c r="A112" s="7" t="s">
        <v>58</v>
      </c>
      <c r="B112" s="2" t="s">
        <v>1598</v>
      </c>
      <c r="C112" s="2" t="s">
        <v>1599</v>
      </c>
      <c r="D112" s="2" t="s">
        <v>1600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1587</v>
      </c>
      <c r="L112" s="2" t="s">
        <v>1588</v>
      </c>
      <c r="M112" s="3" t="s">
        <v>626</v>
      </c>
      <c r="N112" s="2" t="s">
        <v>1601</v>
      </c>
      <c r="O112" s="3" t="s">
        <v>64</v>
      </c>
      <c r="P112" s="3" t="s">
        <v>1574</v>
      </c>
      <c r="R112" s="3" t="s">
        <v>1042</v>
      </c>
      <c r="S112" s="4">
        <v>12</v>
      </c>
      <c r="T112" s="4">
        <v>12</v>
      </c>
      <c r="U112" s="5" t="s">
        <v>116</v>
      </c>
      <c r="V112" s="5" t="s">
        <v>116</v>
      </c>
      <c r="W112" s="5" t="s">
        <v>1590</v>
      </c>
      <c r="X112" s="5" t="s">
        <v>1590</v>
      </c>
      <c r="Y112" s="4">
        <v>576</v>
      </c>
      <c r="Z112" s="4">
        <v>514</v>
      </c>
      <c r="AA112" s="4">
        <v>522</v>
      </c>
      <c r="AB112" s="4">
        <v>4</v>
      </c>
      <c r="AC112" s="4">
        <v>4</v>
      </c>
      <c r="AD112" s="4">
        <v>14</v>
      </c>
      <c r="AE112" s="4">
        <v>15</v>
      </c>
      <c r="AF112" s="4">
        <v>5</v>
      </c>
      <c r="AG112" s="4">
        <v>6</v>
      </c>
      <c r="AH112" s="4">
        <v>4</v>
      </c>
      <c r="AI112" s="4">
        <v>4</v>
      </c>
      <c r="AJ112" s="4">
        <v>5</v>
      </c>
      <c r="AK112" s="4">
        <v>6</v>
      </c>
      <c r="AL112" s="4">
        <v>3</v>
      </c>
      <c r="AM112" s="4">
        <v>3</v>
      </c>
      <c r="AN112" s="4">
        <v>0</v>
      </c>
      <c r="AO112" s="4">
        <v>0</v>
      </c>
      <c r="AP112" s="3" t="s">
        <v>58</v>
      </c>
      <c r="AQ112" s="3" t="s">
        <v>85</v>
      </c>
      <c r="AR112" s="6" t="str">
        <f>HYPERLINK("http://catalog.hathitrust.org/Record/004525337","HathiTrust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HYPERLINK("https://creighton-primo.hosted.exlibrisgroup.com/primo-explore/search?tab=default_tab&amp;search_scope=EVERYTHING&amp;vid=01CRU&amp;lang=en_US&amp;offset=0&amp;query=any,contains,991002023969702656","Catalog Record")</f>
        <v>Catalog Record</v>
      </c>
      <c r="AT112" s="6" t="str">
        <f>HYPERLINK("http://www.worldcat.org/oclc/25747583","WorldCat Record")</f>
        <v>WorldCat Record</v>
      </c>
      <c r="AU112" s="3" t="s">
        <v>1602</v>
      </c>
      <c r="AV112" s="3" t="s">
        <v>1603</v>
      </c>
      <c r="AW112" s="3" t="s">
        <v>1604</v>
      </c>
      <c r="AX112" s="3" t="s">
        <v>1604</v>
      </c>
      <c r="AY112" s="3" t="s">
        <v>1605</v>
      </c>
      <c r="AZ112" s="3" t="s">
        <v>73</v>
      </c>
      <c r="BB112" s="3" t="s">
        <v>1606</v>
      </c>
      <c r="BC112" s="3" t="s">
        <v>1607</v>
      </c>
      <c r="BD112" s="3" t="s">
        <v>1608</v>
      </c>
    </row>
    <row r="113" spans="1:56" ht="41.25" customHeight="1" x14ac:dyDescent="0.25">
      <c r="A113" s="7" t="s">
        <v>58</v>
      </c>
      <c r="B113" s="2" t="s">
        <v>1609</v>
      </c>
      <c r="C113" s="2" t="s">
        <v>1610</v>
      </c>
      <c r="D113" s="2" t="s">
        <v>1611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1612</v>
      </c>
      <c r="L113" s="2" t="s">
        <v>1613</v>
      </c>
      <c r="M113" s="3" t="s">
        <v>114</v>
      </c>
      <c r="O113" s="3" t="s">
        <v>64</v>
      </c>
      <c r="P113" s="3" t="s">
        <v>1614</v>
      </c>
      <c r="R113" s="3" t="s">
        <v>1042</v>
      </c>
      <c r="S113" s="4">
        <v>3</v>
      </c>
      <c r="T113" s="4">
        <v>3</v>
      </c>
      <c r="U113" s="5" t="s">
        <v>1615</v>
      </c>
      <c r="V113" s="5" t="s">
        <v>1615</v>
      </c>
      <c r="W113" s="5" t="s">
        <v>1616</v>
      </c>
      <c r="X113" s="5" t="s">
        <v>1616</v>
      </c>
      <c r="Y113" s="4">
        <v>33</v>
      </c>
      <c r="Z113" s="4">
        <v>30</v>
      </c>
      <c r="AA113" s="4">
        <v>30</v>
      </c>
      <c r="AB113" s="4">
        <v>1</v>
      </c>
      <c r="AC113" s="4">
        <v>1</v>
      </c>
      <c r="AD113" s="4">
        <v>1</v>
      </c>
      <c r="AE113" s="4">
        <v>1</v>
      </c>
      <c r="AF113" s="4">
        <v>0</v>
      </c>
      <c r="AG113" s="4">
        <v>0</v>
      </c>
      <c r="AH113" s="4">
        <v>0</v>
      </c>
      <c r="AI113" s="4">
        <v>0</v>
      </c>
      <c r="AJ113" s="4">
        <v>1</v>
      </c>
      <c r="AK113" s="4">
        <v>1</v>
      </c>
      <c r="AL113" s="4">
        <v>0</v>
      </c>
      <c r="AM113" s="4">
        <v>0</v>
      </c>
      <c r="AN113" s="4">
        <v>0</v>
      </c>
      <c r="AO113" s="4">
        <v>0</v>
      </c>
      <c r="AP113" s="3" t="s">
        <v>58</v>
      </c>
      <c r="AQ113" s="3" t="s">
        <v>58</v>
      </c>
      <c r="AS113" s="6" t="str">
        <f>HYPERLINK("https://creighton-primo.hosted.exlibrisgroup.com/primo-explore/search?tab=default_tab&amp;search_scope=EVERYTHING&amp;vid=01CRU&amp;lang=en_US&amp;offset=0&amp;query=any,contains,991005237009702656","Catalog Record")</f>
        <v>Catalog Record</v>
      </c>
      <c r="AT113" s="6" t="str">
        <f>HYPERLINK("http://www.worldcat.org/oclc/8387678","WorldCat Record")</f>
        <v>WorldCat Record</v>
      </c>
      <c r="AU113" s="3" t="s">
        <v>1617</v>
      </c>
      <c r="AV113" s="3" t="s">
        <v>1618</v>
      </c>
      <c r="AW113" s="3" t="s">
        <v>1619</v>
      </c>
      <c r="AX113" s="3" t="s">
        <v>1619</v>
      </c>
      <c r="AY113" s="3" t="s">
        <v>1620</v>
      </c>
      <c r="AZ113" s="3" t="s">
        <v>73</v>
      </c>
      <c r="BB113" s="3" t="s">
        <v>1621</v>
      </c>
      <c r="BC113" s="3" t="s">
        <v>1622</v>
      </c>
      <c r="BD113" s="3" t="s">
        <v>1623</v>
      </c>
    </row>
    <row r="114" spans="1:56" ht="41.25" customHeight="1" x14ac:dyDescent="0.25">
      <c r="A114" s="7" t="s">
        <v>58</v>
      </c>
      <c r="B114" s="2" t="s">
        <v>1624</v>
      </c>
      <c r="C114" s="2" t="s">
        <v>1625</v>
      </c>
      <c r="D114" s="2" t="s">
        <v>1626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1627</v>
      </c>
      <c r="L114" s="2" t="s">
        <v>1628</v>
      </c>
      <c r="M114" s="3" t="s">
        <v>403</v>
      </c>
      <c r="O114" s="3" t="s">
        <v>64</v>
      </c>
      <c r="P114" s="3" t="s">
        <v>65</v>
      </c>
      <c r="Q114" s="2" t="s">
        <v>1629</v>
      </c>
      <c r="R114" s="3" t="s">
        <v>1042</v>
      </c>
      <c r="S114" s="4">
        <v>5</v>
      </c>
      <c r="T114" s="4">
        <v>5</v>
      </c>
      <c r="U114" s="5" t="s">
        <v>1630</v>
      </c>
      <c r="V114" s="5" t="s">
        <v>1630</v>
      </c>
      <c r="W114" s="5" t="s">
        <v>1631</v>
      </c>
      <c r="X114" s="5" t="s">
        <v>1631</v>
      </c>
      <c r="Y114" s="4">
        <v>250</v>
      </c>
      <c r="Z114" s="4">
        <v>219</v>
      </c>
      <c r="AA114" s="4">
        <v>223</v>
      </c>
      <c r="AB114" s="4">
        <v>4</v>
      </c>
      <c r="AC114" s="4">
        <v>4</v>
      </c>
      <c r="AD114" s="4">
        <v>9</v>
      </c>
      <c r="AE114" s="4">
        <v>9</v>
      </c>
      <c r="AF114" s="4">
        <v>2</v>
      </c>
      <c r="AG114" s="4">
        <v>2</v>
      </c>
      <c r="AH114" s="4">
        <v>3</v>
      </c>
      <c r="AI114" s="4">
        <v>3</v>
      </c>
      <c r="AJ114" s="4">
        <v>4</v>
      </c>
      <c r="AK114" s="4">
        <v>4</v>
      </c>
      <c r="AL114" s="4">
        <v>3</v>
      </c>
      <c r="AM114" s="4">
        <v>3</v>
      </c>
      <c r="AN114" s="4">
        <v>0</v>
      </c>
      <c r="AO114" s="4">
        <v>0</v>
      </c>
      <c r="AP114" s="3" t="s">
        <v>58</v>
      </c>
      <c r="AQ114" s="3" t="s">
        <v>58</v>
      </c>
      <c r="AS114" s="6" t="str">
        <f>HYPERLINK("https://creighton-primo.hosted.exlibrisgroup.com/primo-explore/search?tab=default_tab&amp;search_scope=EVERYTHING&amp;vid=01CRU&amp;lang=en_US&amp;offset=0&amp;query=any,contains,991004812859702656","Catalog Record")</f>
        <v>Catalog Record</v>
      </c>
      <c r="AT114" s="6" t="str">
        <f>HYPERLINK("http://www.worldcat.org/oclc/5286372","WorldCat Record")</f>
        <v>WorldCat Record</v>
      </c>
      <c r="AU114" s="3" t="s">
        <v>1632</v>
      </c>
      <c r="AV114" s="3" t="s">
        <v>1633</v>
      </c>
      <c r="AW114" s="3" t="s">
        <v>1634</v>
      </c>
      <c r="AX114" s="3" t="s">
        <v>1634</v>
      </c>
      <c r="AY114" s="3" t="s">
        <v>1635</v>
      </c>
      <c r="AZ114" s="3" t="s">
        <v>73</v>
      </c>
      <c r="BB114" s="3" t="s">
        <v>1636</v>
      </c>
      <c r="BC114" s="3" t="s">
        <v>1637</v>
      </c>
      <c r="BD114" s="3" t="s">
        <v>1638</v>
      </c>
    </row>
    <row r="115" spans="1:56" ht="41.25" customHeight="1" x14ac:dyDescent="0.25">
      <c r="A115" s="7" t="s">
        <v>58</v>
      </c>
      <c r="B115" s="2" t="s">
        <v>1639</v>
      </c>
      <c r="C115" s="2" t="s">
        <v>1640</v>
      </c>
      <c r="D115" s="2" t="s">
        <v>1641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1642</v>
      </c>
      <c r="L115" s="2" t="s">
        <v>1643</v>
      </c>
      <c r="M115" s="3" t="s">
        <v>1644</v>
      </c>
      <c r="O115" s="3" t="s">
        <v>64</v>
      </c>
      <c r="P115" s="3" t="s">
        <v>65</v>
      </c>
      <c r="R115" s="3" t="s">
        <v>1042</v>
      </c>
      <c r="S115" s="4">
        <v>3</v>
      </c>
      <c r="T115" s="4">
        <v>3</v>
      </c>
      <c r="U115" s="5" t="s">
        <v>1645</v>
      </c>
      <c r="V115" s="5" t="s">
        <v>1645</v>
      </c>
      <c r="W115" s="5" t="s">
        <v>799</v>
      </c>
      <c r="X115" s="5" t="s">
        <v>799</v>
      </c>
      <c r="Y115" s="4">
        <v>268</v>
      </c>
      <c r="Z115" s="4">
        <v>236</v>
      </c>
      <c r="AA115" s="4">
        <v>245</v>
      </c>
      <c r="AB115" s="4">
        <v>4</v>
      </c>
      <c r="AC115" s="4">
        <v>4</v>
      </c>
      <c r="AD115" s="4">
        <v>10</v>
      </c>
      <c r="AE115" s="4">
        <v>10</v>
      </c>
      <c r="AF115" s="4">
        <v>1</v>
      </c>
      <c r="AG115" s="4">
        <v>1</v>
      </c>
      <c r="AH115" s="4">
        <v>2</v>
      </c>
      <c r="AI115" s="4">
        <v>2</v>
      </c>
      <c r="AJ115" s="4">
        <v>5</v>
      </c>
      <c r="AK115" s="4">
        <v>5</v>
      </c>
      <c r="AL115" s="4">
        <v>3</v>
      </c>
      <c r="AM115" s="4">
        <v>3</v>
      </c>
      <c r="AN115" s="4">
        <v>0</v>
      </c>
      <c r="AO115" s="4">
        <v>0</v>
      </c>
      <c r="AP115" s="3" t="s">
        <v>85</v>
      </c>
      <c r="AQ115" s="3" t="s">
        <v>58</v>
      </c>
      <c r="AR115" s="6" t="str">
        <f>HYPERLINK("http://catalog.hathitrust.org/Record/000967740","HathiTrust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HYPERLINK("https://creighton-primo.hosted.exlibrisgroup.com/primo-explore/search?tab=default_tab&amp;search_scope=EVERYTHING&amp;vid=01CRU&amp;lang=en_US&amp;offset=0&amp;query=any,contains,991004034799702656","Catalog Record")</f>
        <v>Catalog Record</v>
      </c>
      <c r="AT115" s="6" t="str">
        <f>HYPERLINK("http://www.worldcat.org/oclc/2167082","WorldCat Record")</f>
        <v>WorldCat Record</v>
      </c>
      <c r="AU115" s="3" t="s">
        <v>1646</v>
      </c>
      <c r="AV115" s="3" t="s">
        <v>1647</v>
      </c>
      <c r="AW115" s="3" t="s">
        <v>1648</v>
      </c>
      <c r="AX115" s="3" t="s">
        <v>1648</v>
      </c>
      <c r="AY115" s="3" t="s">
        <v>1649</v>
      </c>
      <c r="AZ115" s="3" t="s">
        <v>73</v>
      </c>
      <c r="BC115" s="3" t="s">
        <v>1650</v>
      </c>
      <c r="BD115" s="3" t="s">
        <v>1651</v>
      </c>
    </row>
    <row r="116" spans="1:56" ht="41.25" customHeight="1" x14ac:dyDescent="0.25">
      <c r="A116" s="7" t="s">
        <v>58</v>
      </c>
      <c r="B116" s="2" t="s">
        <v>1652</v>
      </c>
      <c r="C116" s="2" t="s">
        <v>1653</v>
      </c>
      <c r="D116" s="2" t="s">
        <v>1654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1655</v>
      </c>
      <c r="L116" s="2" t="s">
        <v>1656</v>
      </c>
      <c r="M116" s="3" t="s">
        <v>1558</v>
      </c>
      <c r="O116" s="3" t="s">
        <v>64</v>
      </c>
      <c r="P116" s="3" t="s">
        <v>65</v>
      </c>
      <c r="R116" s="3" t="s">
        <v>1042</v>
      </c>
      <c r="S116" s="4">
        <v>11</v>
      </c>
      <c r="T116" s="4">
        <v>11</v>
      </c>
      <c r="U116" s="5" t="s">
        <v>1657</v>
      </c>
      <c r="V116" s="5" t="s">
        <v>1657</v>
      </c>
      <c r="W116" s="5" t="s">
        <v>1658</v>
      </c>
      <c r="X116" s="5" t="s">
        <v>1658</v>
      </c>
      <c r="Y116" s="4">
        <v>471</v>
      </c>
      <c r="Z116" s="4">
        <v>379</v>
      </c>
      <c r="AA116" s="4">
        <v>607</v>
      </c>
      <c r="AB116" s="4">
        <v>4</v>
      </c>
      <c r="AC116" s="4">
        <v>5</v>
      </c>
      <c r="AD116" s="4">
        <v>14</v>
      </c>
      <c r="AE116" s="4">
        <v>25</v>
      </c>
      <c r="AF116" s="4">
        <v>7</v>
      </c>
      <c r="AG116" s="4">
        <v>13</v>
      </c>
      <c r="AH116" s="4">
        <v>1</v>
      </c>
      <c r="AI116" s="4">
        <v>3</v>
      </c>
      <c r="AJ116" s="4">
        <v>6</v>
      </c>
      <c r="AK116" s="4">
        <v>11</v>
      </c>
      <c r="AL116" s="4">
        <v>3</v>
      </c>
      <c r="AM116" s="4">
        <v>4</v>
      </c>
      <c r="AN116" s="4">
        <v>0</v>
      </c>
      <c r="AO116" s="4">
        <v>0</v>
      </c>
      <c r="AP116" s="3" t="s">
        <v>58</v>
      </c>
      <c r="AQ116" s="3" t="s">
        <v>85</v>
      </c>
      <c r="AR116" s="6" t="str">
        <f>HYPERLINK("http://catalog.hathitrust.org/Record/002698610","HathiTrust Record")</f>
        <v>HathiTrust Record</v>
      </c>
      <c r="AS116" s="6" t="str">
        <f>HYPERLINK("https://creighton-primo.hosted.exlibrisgroup.com/primo-explore/search?tab=default_tab&amp;search_scope=EVERYTHING&amp;vid=01CRU&amp;lang=en_US&amp;offset=0&amp;query=any,contains,991002109709702656","Catalog Record")</f>
        <v>Catalog Record</v>
      </c>
      <c r="AT116" s="6" t="str">
        <f>HYPERLINK("http://www.worldcat.org/oclc/27035587","WorldCat Record")</f>
        <v>WorldCat Record</v>
      </c>
      <c r="AU116" s="3" t="s">
        <v>1659</v>
      </c>
      <c r="AV116" s="3" t="s">
        <v>1660</v>
      </c>
      <c r="AW116" s="3" t="s">
        <v>1661</v>
      </c>
      <c r="AX116" s="3" t="s">
        <v>1661</v>
      </c>
      <c r="AY116" s="3" t="s">
        <v>1662</v>
      </c>
      <c r="AZ116" s="3" t="s">
        <v>73</v>
      </c>
      <c r="BB116" s="3" t="s">
        <v>1663</v>
      </c>
      <c r="BC116" s="3" t="s">
        <v>1664</v>
      </c>
      <c r="BD116" s="3" t="s">
        <v>1665</v>
      </c>
    </row>
    <row r="117" spans="1:56" ht="41.25" customHeight="1" x14ac:dyDescent="0.25">
      <c r="A117" s="7" t="s">
        <v>58</v>
      </c>
      <c r="B117" s="2" t="s">
        <v>1666</v>
      </c>
      <c r="C117" s="2" t="s">
        <v>1667</v>
      </c>
      <c r="D117" s="2" t="s">
        <v>1668</v>
      </c>
      <c r="E117" s="3" t="s">
        <v>124</v>
      </c>
      <c r="F117" s="3" t="s">
        <v>85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1669</v>
      </c>
      <c r="L117" s="2" t="s">
        <v>1670</v>
      </c>
      <c r="M117" s="3" t="s">
        <v>437</v>
      </c>
      <c r="O117" s="3" t="s">
        <v>64</v>
      </c>
      <c r="P117" s="3" t="s">
        <v>373</v>
      </c>
      <c r="R117" s="3" t="s">
        <v>1042</v>
      </c>
      <c r="S117" s="4">
        <v>9</v>
      </c>
      <c r="T117" s="4">
        <v>19</v>
      </c>
      <c r="U117" s="5" t="s">
        <v>1671</v>
      </c>
      <c r="V117" s="5" t="s">
        <v>1300</v>
      </c>
      <c r="W117" s="5" t="s">
        <v>1044</v>
      </c>
      <c r="X117" s="5" t="s">
        <v>1672</v>
      </c>
      <c r="Y117" s="4">
        <v>560</v>
      </c>
      <c r="Z117" s="4">
        <v>526</v>
      </c>
      <c r="AA117" s="4">
        <v>530</v>
      </c>
      <c r="AB117" s="4">
        <v>8</v>
      </c>
      <c r="AC117" s="4">
        <v>8</v>
      </c>
      <c r="AD117" s="4">
        <v>19</v>
      </c>
      <c r="AE117" s="4">
        <v>19</v>
      </c>
      <c r="AF117" s="4">
        <v>8</v>
      </c>
      <c r="AG117" s="4">
        <v>8</v>
      </c>
      <c r="AH117" s="4">
        <v>5</v>
      </c>
      <c r="AI117" s="4">
        <v>5</v>
      </c>
      <c r="AJ117" s="4">
        <v>5</v>
      </c>
      <c r="AK117" s="4">
        <v>5</v>
      </c>
      <c r="AL117" s="4">
        <v>6</v>
      </c>
      <c r="AM117" s="4">
        <v>6</v>
      </c>
      <c r="AN117" s="4">
        <v>0</v>
      </c>
      <c r="AO117" s="4">
        <v>0</v>
      </c>
      <c r="AP117" s="3" t="s">
        <v>58</v>
      </c>
      <c r="AQ117" s="3" t="s">
        <v>85</v>
      </c>
      <c r="AR117" s="6" t="str">
        <f>HYPERLINK("http://catalog.hathitrust.org/Record/000100899","HathiTrust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HYPERLINK("https://creighton-primo.hosted.exlibrisgroup.com/primo-explore/search?tab=default_tab&amp;search_scope=EVERYTHING&amp;vid=01CRU&amp;lang=en_US&amp;offset=0&amp;query=any,contains,991005128689702656","Catalog Record")</f>
        <v>Catalog Record</v>
      </c>
      <c r="AT117" s="6" t="str">
        <f>HYPERLINK("http://www.worldcat.org/oclc/7555469","WorldCat Record")</f>
        <v>WorldCat Record</v>
      </c>
      <c r="AU117" s="3" t="s">
        <v>1673</v>
      </c>
      <c r="AV117" s="3" t="s">
        <v>1674</v>
      </c>
      <c r="AW117" s="3" t="s">
        <v>1675</v>
      </c>
      <c r="AX117" s="3" t="s">
        <v>1675</v>
      </c>
      <c r="AY117" s="3" t="s">
        <v>1676</v>
      </c>
      <c r="AZ117" s="3" t="s">
        <v>73</v>
      </c>
      <c r="BB117" s="3" t="s">
        <v>1677</v>
      </c>
      <c r="BC117" s="3" t="s">
        <v>1678</v>
      </c>
      <c r="BD117" s="3" t="s">
        <v>1679</v>
      </c>
    </row>
    <row r="118" spans="1:56" ht="41.25" customHeight="1" x14ac:dyDescent="0.25">
      <c r="A118" s="7" t="s">
        <v>58</v>
      </c>
      <c r="B118" s="2" t="s">
        <v>1666</v>
      </c>
      <c r="C118" s="2" t="s">
        <v>1667</v>
      </c>
      <c r="D118" s="2" t="s">
        <v>1668</v>
      </c>
      <c r="E118" s="3" t="s">
        <v>111</v>
      </c>
      <c r="F118" s="3" t="s">
        <v>85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1669</v>
      </c>
      <c r="L118" s="2" t="s">
        <v>1670</v>
      </c>
      <c r="M118" s="3" t="s">
        <v>437</v>
      </c>
      <c r="O118" s="3" t="s">
        <v>64</v>
      </c>
      <c r="P118" s="3" t="s">
        <v>373</v>
      </c>
      <c r="R118" s="3" t="s">
        <v>1042</v>
      </c>
      <c r="S118" s="4">
        <v>10</v>
      </c>
      <c r="T118" s="4">
        <v>19</v>
      </c>
      <c r="U118" s="5" t="s">
        <v>1300</v>
      </c>
      <c r="V118" s="5" t="s">
        <v>1300</v>
      </c>
      <c r="W118" s="5" t="s">
        <v>1672</v>
      </c>
      <c r="X118" s="5" t="s">
        <v>1672</v>
      </c>
      <c r="Y118" s="4">
        <v>560</v>
      </c>
      <c r="Z118" s="4">
        <v>526</v>
      </c>
      <c r="AA118" s="4">
        <v>530</v>
      </c>
      <c r="AB118" s="4">
        <v>8</v>
      </c>
      <c r="AC118" s="4">
        <v>8</v>
      </c>
      <c r="AD118" s="4">
        <v>19</v>
      </c>
      <c r="AE118" s="4">
        <v>19</v>
      </c>
      <c r="AF118" s="4">
        <v>8</v>
      </c>
      <c r="AG118" s="4">
        <v>8</v>
      </c>
      <c r="AH118" s="4">
        <v>5</v>
      </c>
      <c r="AI118" s="4">
        <v>5</v>
      </c>
      <c r="AJ118" s="4">
        <v>5</v>
      </c>
      <c r="AK118" s="4">
        <v>5</v>
      </c>
      <c r="AL118" s="4">
        <v>6</v>
      </c>
      <c r="AM118" s="4">
        <v>6</v>
      </c>
      <c r="AN118" s="4">
        <v>0</v>
      </c>
      <c r="AO118" s="4">
        <v>0</v>
      </c>
      <c r="AP118" s="3" t="s">
        <v>58</v>
      </c>
      <c r="AQ118" s="3" t="s">
        <v>85</v>
      </c>
      <c r="AR118" s="6" t="str">
        <f>HYPERLINK("http://catalog.hathitrust.org/Record/000100899","HathiTrust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HYPERLINK("https://creighton-primo.hosted.exlibrisgroup.com/primo-explore/search?tab=default_tab&amp;search_scope=EVERYTHING&amp;vid=01CRU&amp;lang=en_US&amp;offset=0&amp;query=any,contains,991005128689702656","Catalog Record")</f>
        <v>Catalog Record</v>
      </c>
      <c r="AT118" s="6" t="str">
        <f>HYPERLINK("http://www.worldcat.org/oclc/7555469","WorldCat Record")</f>
        <v>WorldCat Record</v>
      </c>
      <c r="AU118" s="3" t="s">
        <v>1673</v>
      </c>
      <c r="AV118" s="3" t="s">
        <v>1674</v>
      </c>
      <c r="AW118" s="3" t="s">
        <v>1675</v>
      </c>
      <c r="AX118" s="3" t="s">
        <v>1675</v>
      </c>
      <c r="AY118" s="3" t="s">
        <v>1676</v>
      </c>
      <c r="AZ118" s="3" t="s">
        <v>73</v>
      </c>
      <c r="BB118" s="3" t="s">
        <v>1677</v>
      </c>
      <c r="BC118" s="3" t="s">
        <v>1680</v>
      </c>
      <c r="BD118" s="3" t="s">
        <v>1681</v>
      </c>
    </row>
    <row r="119" spans="1:56" ht="41.25" customHeight="1" x14ac:dyDescent="0.25">
      <c r="A119" s="7" t="s">
        <v>58</v>
      </c>
      <c r="B119" s="2" t="s">
        <v>1682</v>
      </c>
      <c r="C119" s="2" t="s">
        <v>1683</v>
      </c>
      <c r="D119" s="2" t="s">
        <v>1684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K119" s="2" t="s">
        <v>1685</v>
      </c>
      <c r="L119" s="2" t="s">
        <v>1686</v>
      </c>
      <c r="M119" s="3" t="s">
        <v>146</v>
      </c>
      <c r="N119" s="2" t="s">
        <v>1057</v>
      </c>
      <c r="O119" s="3" t="s">
        <v>64</v>
      </c>
      <c r="P119" s="3" t="s">
        <v>65</v>
      </c>
      <c r="R119" s="3" t="s">
        <v>1042</v>
      </c>
      <c r="S119" s="4">
        <v>5</v>
      </c>
      <c r="T119" s="4">
        <v>5</v>
      </c>
      <c r="U119" s="5" t="s">
        <v>1300</v>
      </c>
      <c r="V119" s="5" t="s">
        <v>1300</v>
      </c>
      <c r="W119" s="5" t="s">
        <v>1687</v>
      </c>
      <c r="X119" s="5" t="s">
        <v>1687</v>
      </c>
      <c r="Y119" s="4">
        <v>204</v>
      </c>
      <c r="Z119" s="4">
        <v>176</v>
      </c>
      <c r="AA119" s="4">
        <v>335</v>
      </c>
      <c r="AB119" s="4">
        <v>2</v>
      </c>
      <c r="AC119" s="4">
        <v>3</v>
      </c>
      <c r="AD119" s="4">
        <v>2</v>
      </c>
      <c r="AE119" s="4">
        <v>8</v>
      </c>
      <c r="AF119" s="4">
        <v>1</v>
      </c>
      <c r="AG119" s="4">
        <v>3</v>
      </c>
      <c r="AH119" s="4">
        <v>0</v>
      </c>
      <c r="AI119" s="4">
        <v>1</v>
      </c>
      <c r="AJ119" s="4">
        <v>0</v>
      </c>
      <c r="AK119" s="4">
        <v>2</v>
      </c>
      <c r="AL119" s="4">
        <v>1</v>
      </c>
      <c r="AM119" s="4">
        <v>2</v>
      </c>
      <c r="AN119" s="4">
        <v>0</v>
      </c>
      <c r="AO119" s="4">
        <v>0</v>
      </c>
      <c r="AP119" s="3" t="s">
        <v>58</v>
      </c>
      <c r="AQ119" s="3" t="s">
        <v>58</v>
      </c>
      <c r="AS119" s="6" t="str">
        <f>HYPERLINK("https://creighton-primo.hosted.exlibrisgroup.com/primo-explore/search?tab=default_tab&amp;search_scope=EVERYTHING&amp;vid=01CRU&amp;lang=en_US&amp;offset=0&amp;query=any,contains,991000206709702656","Catalog Record")</f>
        <v>Catalog Record</v>
      </c>
      <c r="AT119" s="6" t="str">
        <f>HYPERLINK("http://www.worldcat.org/oclc/9500168","WorldCat Record")</f>
        <v>WorldCat Record</v>
      </c>
      <c r="AU119" s="3" t="s">
        <v>1688</v>
      </c>
      <c r="AV119" s="3" t="s">
        <v>1689</v>
      </c>
      <c r="AW119" s="3" t="s">
        <v>1690</v>
      </c>
      <c r="AX119" s="3" t="s">
        <v>1690</v>
      </c>
      <c r="AY119" s="3" t="s">
        <v>1691</v>
      </c>
      <c r="AZ119" s="3" t="s">
        <v>73</v>
      </c>
      <c r="BB119" s="3" t="s">
        <v>1692</v>
      </c>
      <c r="BC119" s="3" t="s">
        <v>1693</v>
      </c>
      <c r="BD119" s="3" t="s">
        <v>1694</v>
      </c>
    </row>
    <row r="120" spans="1:56" ht="41.25" customHeight="1" x14ac:dyDescent="0.25">
      <c r="A120" s="7" t="s">
        <v>58</v>
      </c>
      <c r="B120" s="2" t="s">
        <v>1695</v>
      </c>
      <c r="C120" s="2" t="s">
        <v>1696</v>
      </c>
      <c r="D120" s="2" t="s">
        <v>1697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1698</v>
      </c>
      <c r="L120" s="2" t="s">
        <v>1699</v>
      </c>
      <c r="M120" s="3" t="s">
        <v>1558</v>
      </c>
      <c r="N120" s="2" t="s">
        <v>1700</v>
      </c>
      <c r="O120" s="3" t="s">
        <v>64</v>
      </c>
      <c r="P120" s="3" t="s">
        <v>334</v>
      </c>
      <c r="R120" s="3" t="s">
        <v>1042</v>
      </c>
      <c r="S120" s="4">
        <v>8</v>
      </c>
      <c r="T120" s="4">
        <v>8</v>
      </c>
      <c r="U120" s="5" t="s">
        <v>1701</v>
      </c>
      <c r="V120" s="5" t="s">
        <v>1701</v>
      </c>
      <c r="W120" s="5" t="s">
        <v>1702</v>
      </c>
      <c r="X120" s="5" t="s">
        <v>1702</v>
      </c>
      <c r="Y120" s="4">
        <v>149</v>
      </c>
      <c r="Z120" s="4">
        <v>130</v>
      </c>
      <c r="AA120" s="4">
        <v>165</v>
      </c>
      <c r="AB120" s="4">
        <v>2</v>
      </c>
      <c r="AC120" s="4">
        <v>2</v>
      </c>
      <c r="AD120" s="4">
        <v>5</v>
      </c>
      <c r="AE120" s="4">
        <v>5</v>
      </c>
      <c r="AF120" s="4">
        <v>2</v>
      </c>
      <c r="AG120" s="4">
        <v>2</v>
      </c>
      <c r="AH120" s="4">
        <v>2</v>
      </c>
      <c r="AI120" s="4">
        <v>2</v>
      </c>
      <c r="AJ120" s="4">
        <v>2</v>
      </c>
      <c r="AK120" s="4">
        <v>2</v>
      </c>
      <c r="AL120" s="4">
        <v>1</v>
      </c>
      <c r="AM120" s="4">
        <v>1</v>
      </c>
      <c r="AN120" s="4">
        <v>0</v>
      </c>
      <c r="AO120" s="4">
        <v>0</v>
      </c>
      <c r="AP120" s="3" t="s">
        <v>58</v>
      </c>
      <c r="AQ120" s="3" t="s">
        <v>85</v>
      </c>
      <c r="AR120" s="6" t="str">
        <f>HYPERLINK("http://catalog.hathitrust.org/Record/006807246","HathiTrust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HYPERLINK("https://creighton-primo.hosted.exlibrisgroup.com/primo-explore/search?tab=default_tab&amp;search_scope=EVERYTHING&amp;vid=01CRU&amp;lang=en_US&amp;offset=0&amp;query=any,contains,991002200829702656","Catalog Record")</f>
        <v>Catalog Record</v>
      </c>
      <c r="AT120" s="6" t="str">
        <f>HYPERLINK("http://www.worldcat.org/oclc/28294709","WorldCat Record")</f>
        <v>WorldCat Record</v>
      </c>
      <c r="AU120" s="3" t="s">
        <v>1703</v>
      </c>
      <c r="AV120" s="3" t="s">
        <v>1704</v>
      </c>
      <c r="AW120" s="3" t="s">
        <v>1705</v>
      </c>
      <c r="AX120" s="3" t="s">
        <v>1705</v>
      </c>
      <c r="AY120" s="3" t="s">
        <v>1706</v>
      </c>
      <c r="AZ120" s="3" t="s">
        <v>73</v>
      </c>
      <c r="BB120" s="3" t="s">
        <v>1707</v>
      </c>
      <c r="BC120" s="3" t="s">
        <v>1708</v>
      </c>
      <c r="BD120" s="3" t="s">
        <v>1709</v>
      </c>
    </row>
    <row r="121" spans="1:56" ht="41.25" customHeight="1" x14ac:dyDescent="0.25">
      <c r="A121" s="7" t="s">
        <v>58</v>
      </c>
      <c r="B121" s="2" t="s">
        <v>1710</v>
      </c>
      <c r="C121" s="2" t="s">
        <v>1711</v>
      </c>
      <c r="D121" s="2" t="s">
        <v>1712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1713</v>
      </c>
      <c r="L121" s="2" t="s">
        <v>1714</v>
      </c>
      <c r="M121" s="3" t="s">
        <v>1558</v>
      </c>
      <c r="O121" s="3" t="s">
        <v>64</v>
      </c>
      <c r="P121" s="3" t="s">
        <v>334</v>
      </c>
      <c r="R121" s="3" t="s">
        <v>1042</v>
      </c>
      <c r="S121" s="4">
        <v>1</v>
      </c>
      <c r="T121" s="4">
        <v>1</v>
      </c>
      <c r="U121" s="5" t="s">
        <v>1715</v>
      </c>
      <c r="V121" s="5" t="s">
        <v>1715</v>
      </c>
      <c r="W121" s="5" t="s">
        <v>1716</v>
      </c>
      <c r="X121" s="5" t="s">
        <v>1716</v>
      </c>
      <c r="Y121" s="4">
        <v>19</v>
      </c>
      <c r="Z121" s="4">
        <v>16</v>
      </c>
      <c r="AA121" s="4">
        <v>16</v>
      </c>
      <c r="AB121" s="4">
        <v>1</v>
      </c>
      <c r="AC121" s="4">
        <v>1</v>
      </c>
      <c r="AD121" s="4">
        <v>1</v>
      </c>
      <c r="AE121" s="4">
        <v>1</v>
      </c>
      <c r="AF121" s="4">
        <v>1</v>
      </c>
      <c r="AG121" s="4">
        <v>1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3" t="s">
        <v>58</v>
      </c>
      <c r="AQ121" s="3" t="s">
        <v>58</v>
      </c>
      <c r="AS121" s="6" t="str">
        <f>HYPERLINK("https://creighton-primo.hosted.exlibrisgroup.com/primo-explore/search?tab=default_tab&amp;search_scope=EVERYTHING&amp;vid=01CRU&amp;lang=en_US&amp;offset=0&amp;query=any,contains,991002397549702656","Catalog Record")</f>
        <v>Catalog Record</v>
      </c>
      <c r="AT121" s="6" t="str">
        <f>HYPERLINK("http://www.worldcat.org/oclc/31149680","WorldCat Record")</f>
        <v>WorldCat Record</v>
      </c>
      <c r="AU121" s="3" t="s">
        <v>1717</v>
      </c>
      <c r="AV121" s="3" t="s">
        <v>1718</v>
      </c>
      <c r="AW121" s="3" t="s">
        <v>1719</v>
      </c>
      <c r="AX121" s="3" t="s">
        <v>1719</v>
      </c>
      <c r="AY121" s="3" t="s">
        <v>1720</v>
      </c>
      <c r="AZ121" s="3" t="s">
        <v>73</v>
      </c>
      <c r="BB121" s="3" t="s">
        <v>1721</v>
      </c>
      <c r="BC121" s="3" t="s">
        <v>1722</v>
      </c>
      <c r="BD121" s="3" t="s">
        <v>1723</v>
      </c>
    </row>
    <row r="122" spans="1:56" ht="41.25" customHeight="1" x14ac:dyDescent="0.25">
      <c r="A122" s="7" t="s">
        <v>58</v>
      </c>
      <c r="B122" s="2" t="s">
        <v>1724</v>
      </c>
      <c r="C122" s="2" t="s">
        <v>1725</v>
      </c>
      <c r="D122" s="2" t="s">
        <v>1726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1727</v>
      </c>
      <c r="L122" s="2" t="s">
        <v>1728</v>
      </c>
      <c r="M122" s="3" t="s">
        <v>372</v>
      </c>
      <c r="N122" s="2" t="s">
        <v>1729</v>
      </c>
      <c r="O122" s="3" t="s">
        <v>64</v>
      </c>
      <c r="P122" s="3" t="s">
        <v>334</v>
      </c>
      <c r="R122" s="3" t="s">
        <v>1042</v>
      </c>
      <c r="S122" s="4">
        <v>1</v>
      </c>
      <c r="T122" s="4">
        <v>1</v>
      </c>
      <c r="U122" s="5" t="s">
        <v>1715</v>
      </c>
      <c r="V122" s="5" t="s">
        <v>1715</v>
      </c>
      <c r="W122" s="5" t="s">
        <v>1702</v>
      </c>
      <c r="X122" s="5" t="s">
        <v>1702</v>
      </c>
      <c r="Y122" s="4">
        <v>131</v>
      </c>
      <c r="Z122" s="4">
        <v>112</v>
      </c>
      <c r="AA122" s="4">
        <v>114</v>
      </c>
      <c r="AB122" s="4">
        <v>1</v>
      </c>
      <c r="AC122" s="4">
        <v>1</v>
      </c>
      <c r="AD122" s="4">
        <v>3</v>
      </c>
      <c r="AE122" s="4">
        <v>3</v>
      </c>
      <c r="AF122" s="4">
        <v>0</v>
      </c>
      <c r="AG122" s="4">
        <v>0</v>
      </c>
      <c r="AH122" s="4">
        <v>2</v>
      </c>
      <c r="AI122" s="4">
        <v>2</v>
      </c>
      <c r="AJ122" s="4">
        <v>2</v>
      </c>
      <c r="AK122" s="4">
        <v>2</v>
      </c>
      <c r="AL122" s="4">
        <v>0</v>
      </c>
      <c r="AM122" s="4">
        <v>0</v>
      </c>
      <c r="AN122" s="4">
        <v>0</v>
      </c>
      <c r="AO122" s="4">
        <v>0</v>
      </c>
      <c r="AP122" s="3" t="s">
        <v>58</v>
      </c>
      <c r="AQ122" s="3" t="s">
        <v>85</v>
      </c>
      <c r="AR122" s="6" t="str">
        <f>HYPERLINK("http://catalog.hathitrust.org/Record/009095053","HathiTrust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HYPERLINK("https://creighton-primo.hosted.exlibrisgroup.com/primo-explore/search?tab=default_tab&amp;search_scope=EVERYTHING&amp;vid=01CRU&amp;lang=en_US&amp;offset=0&amp;query=any,contains,991001688209702656","Catalog Record")</f>
        <v>Catalog Record</v>
      </c>
      <c r="AT122" s="6" t="str">
        <f>HYPERLINK("http://www.worldcat.org/oclc/21410038","WorldCat Record")</f>
        <v>WorldCat Record</v>
      </c>
      <c r="AU122" s="3" t="s">
        <v>1730</v>
      </c>
      <c r="AV122" s="3" t="s">
        <v>1731</v>
      </c>
      <c r="AW122" s="3" t="s">
        <v>1732</v>
      </c>
      <c r="AX122" s="3" t="s">
        <v>1732</v>
      </c>
      <c r="AY122" s="3" t="s">
        <v>1733</v>
      </c>
      <c r="AZ122" s="3" t="s">
        <v>73</v>
      </c>
      <c r="BB122" s="3" t="s">
        <v>1734</v>
      </c>
      <c r="BC122" s="3" t="s">
        <v>1735</v>
      </c>
      <c r="BD122" s="3" t="s">
        <v>1736</v>
      </c>
    </row>
    <row r="123" spans="1:56" ht="41.25" customHeight="1" x14ac:dyDescent="0.25">
      <c r="A123" s="7" t="s">
        <v>58</v>
      </c>
      <c r="B123" s="2" t="s">
        <v>1737</v>
      </c>
      <c r="C123" s="2" t="s">
        <v>1738</v>
      </c>
      <c r="D123" s="2" t="s">
        <v>1739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1740</v>
      </c>
      <c r="L123" s="2" t="s">
        <v>1741</v>
      </c>
      <c r="M123" s="3" t="s">
        <v>1258</v>
      </c>
      <c r="O123" s="3" t="s">
        <v>64</v>
      </c>
      <c r="P123" s="3" t="s">
        <v>334</v>
      </c>
      <c r="R123" s="3" t="s">
        <v>1042</v>
      </c>
      <c r="S123" s="4">
        <v>2</v>
      </c>
      <c r="T123" s="4">
        <v>2</v>
      </c>
      <c r="U123" s="5" t="s">
        <v>1742</v>
      </c>
      <c r="V123" s="5" t="s">
        <v>1742</v>
      </c>
      <c r="W123" s="5" t="s">
        <v>1742</v>
      </c>
      <c r="X123" s="5" t="s">
        <v>1742</v>
      </c>
      <c r="Y123" s="4">
        <v>388</v>
      </c>
      <c r="Z123" s="4">
        <v>334</v>
      </c>
      <c r="AA123" s="4">
        <v>336</v>
      </c>
      <c r="AB123" s="4">
        <v>5</v>
      </c>
      <c r="AC123" s="4">
        <v>5</v>
      </c>
      <c r="AD123" s="4">
        <v>14</v>
      </c>
      <c r="AE123" s="4">
        <v>14</v>
      </c>
      <c r="AF123" s="4">
        <v>10</v>
      </c>
      <c r="AG123" s="4">
        <v>10</v>
      </c>
      <c r="AH123" s="4">
        <v>2</v>
      </c>
      <c r="AI123" s="4">
        <v>2</v>
      </c>
      <c r="AJ123" s="4">
        <v>3</v>
      </c>
      <c r="AK123" s="4">
        <v>3</v>
      </c>
      <c r="AL123" s="4">
        <v>2</v>
      </c>
      <c r="AM123" s="4">
        <v>2</v>
      </c>
      <c r="AN123" s="4">
        <v>0</v>
      </c>
      <c r="AO123" s="4">
        <v>0</v>
      </c>
      <c r="AP123" s="3" t="s">
        <v>58</v>
      </c>
      <c r="AQ123" s="3" t="s">
        <v>85</v>
      </c>
      <c r="AR123" s="6" t="str">
        <f>HYPERLINK("http://catalog.hathitrust.org/Record/009095054","HathiTrust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HYPERLINK("https://creighton-primo.hosted.exlibrisgroup.com/primo-explore/search?tab=default_tab&amp;search_scope=EVERYTHING&amp;vid=01CRU&amp;lang=en_US&amp;offset=0&amp;query=any,contains,991005126109702656","Catalog Record")</f>
        <v>Catalog Record</v>
      </c>
      <c r="AT123" s="6" t="str">
        <f>HYPERLINK("http://www.worldcat.org/oclc/33861888","WorldCat Record")</f>
        <v>WorldCat Record</v>
      </c>
      <c r="AU123" s="3" t="s">
        <v>1743</v>
      </c>
      <c r="AV123" s="3" t="s">
        <v>1744</v>
      </c>
      <c r="AW123" s="3" t="s">
        <v>1745</v>
      </c>
      <c r="AX123" s="3" t="s">
        <v>1745</v>
      </c>
      <c r="AY123" s="3" t="s">
        <v>1746</v>
      </c>
      <c r="AZ123" s="3" t="s">
        <v>73</v>
      </c>
      <c r="BB123" s="3" t="s">
        <v>1747</v>
      </c>
      <c r="BC123" s="3" t="s">
        <v>1748</v>
      </c>
      <c r="BD123" s="3" t="s">
        <v>1749</v>
      </c>
    </row>
    <row r="124" spans="1:56" ht="41.25" customHeight="1" x14ac:dyDescent="0.25">
      <c r="A124" s="7" t="s">
        <v>58</v>
      </c>
      <c r="B124" s="2" t="s">
        <v>1750</v>
      </c>
      <c r="C124" s="2" t="s">
        <v>1751</v>
      </c>
      <c r="D124" s="2" t="s">
        <v>1752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L124" s="2" t="s">
        <v>1753</v>
      </c>
      <c r="M124" s="3" t="s">
        <v>1754</v>
      </c>
      <c r="O124" s="3" t="s">
        <v>64</v>
      </c>
      <c r="P124" s="3" t="s">
        <v>65</v>
      </c>
      <c r="R124" s="3" t="s">
        <v>1042</v>
      </c>
      <c r="S124" s="4">
        <v>5</v>
      </c>
      <c r="T124" s="4">
        <v>5</v>
      </c>
      <c r="U124" s="5" t="s">
        <v>1755</v>
      </c>
      <c r="V124" s="5" t="s">
        <v>1755</v>
      </c>
      <c r="W124" s="5" t="s">
        <v>1590</v>
      </c>
      <c r="X124" s="5" t="s">
        <v>1590</v>
      </c>
      <c r="Y124" s="4">
        <v>363</v>
      </c>
      <c r="Z124" s="4">
        <v>319</v>
      </c>
      <c r="AA124" s="4">
        <v>323</v>
      </c>
      <c r="AB124" s="4">
        <v>5</v>
      </c>
      <c r="AC124" s="4">
        <v>5</v>
      </c>
      <c r="AD124" s="4">
        <v>7</v>
      </c>
      <c r="AE124" s="4">
        <v>7</v>
      </c>
      <c r="AF124" s="4">
        <v>3</v>
      </c>
      <c r="AG124" s="4">
        <v>3</v>
      </c>
      <c r="AH124" s="4">
        <v>2</v>
      </c>
      <c r="AI124" s="4">
        <v>2</v>
      </c>
      <c r="AJ124" s="4">
        <v>2</v>
      </c>
      <c r="AK124" s="4">
        <v>2</v>
      </c>
      <c r="AL124" s="4">
        <v>1</v>
      </c>
      <c r="AM124" s="4">
        <v>1</v>
      </c>
      <c r="AN124" s="4">
        <v>0</v>
      </c>
      <c r="AO124" s="4">
        <v>0</v>
      </c>
      <c r="AP124" s="3" t="s">
        <v>58</v>
      </c>
      <c r="AQ124" s="3" t="s">
        <v>58</v>
      </c>
      <c r="AS124" s="6" t="str">
        <f>HYPERLINK("https://creighton-primo.hosted.exlibrisgroup.com/primo-explore/search?tab=default_tab&amp;search_scope=EVERYTHING&amp;vid=01CRU&amp;lang=en_US&amp;offset=0&amp;query=any,contains,991001261069702656","Catalog Record")</f>
        <v>Catalog Record</v>
      </c>
      <c r="AT124" s="6" t="str">
        <f>HYPERLINK("http://www.worldcat.org/oclc/17767864","WorldCat Record")</f>
        <v>WorldCat Record</v>
      </c>
      <c r="AU124" s="3" t="s">
        <v>1756</v>
      </c>
      <c r="AV124" s="3" t="s">
        <v>1757</v>
      </c>
      <c r="AW124" s="3" t="s">
        <v>1758</v>
      </c>
      <c r="AX124" s="3" t="s">
        <v>1758</v>
      </c>
      <c r="AY124" s="3" t="s">
        <v>1759</v>
      </c>
      <c r="AZ124" s="3" t="s">
        <v>73</v>
      </c>
      <c r="BB124" s="3" t="s">
        <v>1760</v>
      </c>
      <c r="BC124" s="3" t="s">
        <v>1761</v>
      </c>
      <c r="BD124" s="3" t="s">
        <v>1762</v>
      </c>
    </row>
    <row r="125" spans="1:56" ht="41.25" customHeight="1" x14ac:dyDescent="0.25">
      <c r="A125" s="7" t="s">
        <v>58</v>
      </c>
      <c r="B125" s="2" t="s">
        <v>1763</v>
      </c>
      <c r="C125" s="2" t="s">
        <v>1764</v>
      </c>
      <c r="D125" s="2" t="s">
        <v>1765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1766</v>
      </c>
      <c r="L125" s="2" t="s">
        <v>1767</v>
      </c>
      <c r="M125" s="3" t="s">
        <v>176</v>
      </c>
      <c r="O125" s="3" t="s">
        <v>64</v>
      </c>
      <c r="P125" s="3" t="s">
        <v>65</v>
      </c>
      <c r="R125" s="3" t="s">
        <v>1042</v>
      </c>
      <c r="S125" s="4">
        <v>2</v>
      </c>
      <c r="T125" s="4">
        <v>2</v>
      </c>
      <c r="U125" s="5" t="s">
        <v>1575</v>
      </c>
      <c r="V125" s="5" t="s">
        <v>1575</v>
      </c>
      <c r="W125" s="5" t="s">
        <v>799</v>
      </c>
      <c r="X125" s="5" t="s">
        <v>799</v>
      </c>
      <c r="Y125" s="4">
        <v>711</v>
      </c>
      <c r="Z125" s="4">
        <v>670</v>
      </c>
      <c r="AA125" s="4">
        <v>679</v>
      </c>
      <c r="AB125" s="4">
        <v>5</v>
      </c>
      <c r="AC125" s="4">
        <v>5</v>
      </c>
      <c r="AD125" s="4">
        <v>2</v>
      </c>
      <c r="AE125" s="4">
        <v>2</v>
      </c>
      <c r="AF125" s="4">
        <v>1</v>
      </c>
      <c r="AG125" s="4">
        <v>1</v>
      </c>
      <c r="AH125" s="4">
        <v>0</v>
      </c>
      <c r="AI125" s="4">
        <v>0</v>
      </c>
      <c r="AJ125" s="4">
        <v>0</v>
      </c>
      <c r="AK125" s="4">
        <v>0</v>
      </c>
      <c r="AL125" s="4">
        <v>1</v>
      </c>
      <c r="AM125" s="4">
        <v>1</v>
      </c>
      <c r="AN125" s="4">
        <v>0</v>
      </c>
      <c r="AO125" s="4">
        <v>0</v>
      </c>
      <c r="AP125" s="3" t="s">
        <v>58</v>
      </c>
      <c r="AQ125" s="3" t="s">
        <v>85</v>
      </c>
      <c r="AR125" s="6" t="str">
        <f>HYPERLINK("http://catalog.hathitrust.org/Record/001046070","HathiTrust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HYPERLINK("https://creighton-primo.hosted.exlibrisgroup.com/primo-explore/search?tab=default_tab&amp;search_scope=EVERYTHING&amp;vid=01CRU&amp;lang=en_US&amp;offset=0&amp;query=any,contains,991000518259702656","Catalog Record")</f>
        <v>Catalog Record</v>
      </c>
      <c r="AT125" s="6" t="str">
        <f>HYPERLINK("http://www.worldcat.org/oclc/86996","WorldCat Record")</f>
        <v>WorldCat Record</v>
      </c>
      <c r="AU125" s="3" t="s">
        <v>1768</v>
      </c>
      <c r="AV125" s="3" t="s">
        <v>1769</v>
      </c>
      <c r="AW125" s="3" t="s">
        <v>1770</v>
      </c>
      <c r="AX125" s="3" t="s">
        <v>1770</v>
      </c>
      <c r="AY125" s="3" t="s">
        <v>1771</v>
      </c>
      <c r="AZ125" s="3" t="s">
        <v>73</v>
      </c>
      <c r="BC125" s="3" t="s">
        <v>1772</v>
      </c>
      <c r="BD125" s="3" t="s">
        <v>1773</v>
      </c>
    </row>
    <row r="126" spans="1:56" ht="41.25" customHeight="1" x14ac:dyDescent="0.25">
      <c r="A126" s="7" t="s">
        <v>58</v>
      </c>
      <c r="B126" s="2" t="s">
        <v>1774</v>
      </c>
      <c r="C126" s="2" t="s">
        <v>1775</v>
      </c>
      <c r="D126" s="2" t="s">
        <v>1776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K126" s="2" t="s">
        <v>1777</v>
      </c>
      <c r="L126" s="2" t="s">
        <v>1778</v>
      </c>
      <c r="M126" s="3" t="s">
        <v>262</v>
      </c>
      <c r="O126" s="3" t="s">
        <v>64</v>
      </c>
      <c r="P126" s="3" t="s">
        <v>65</v>
      </c>
      <c r="R126" s="3" t="s">
        <v>1042</v>
      </c>
      <c r="S126" s="4">
        <v>1</v>
      </c>
      <c r="T126" s="4">
        <v>1</v>
      </c>
      <c r="U126" s="5" t="s">
        <v>1779</v>
      </c>
      <c r="V126" s="5" t="s">
        <v>1779</v>
      </c>
      <c r="W126" s="5" t="s">
        <v>799</v>
      </c>
      <c r="X126" s="5" t="s">
        <v>799</v>
      </c>
      <c r="Y126" s="4">
        <v>410</v>
      </c>
      <c r="Z126" s="4">
        <v>378</v>
      </c>
      <c r="AA126" s="4">
        <v>401</v>
      </c>
      <c r="AB126" s="4">
        <v>2</v>
      </c>
      <c r="AC126" s="4">
        <v>2</v>
      </c>
      <c r="AD126" s="4">
        <v>13</v>
      </c>
      <c r="AE126" s="4">
        <v>13</v>
      </c>
      <c r="AF126" s="4">
        <v>8</v>
      </c>
      <c r="AG126" s="4">
        <v>8</v>
      </c>
      <c r="AH126" s="4">
        <v>3</v>
      </c>
      <c r="AI126" s="4">
        <v>3</v>
      </c>
      <c r="AJ126" s="4">
        <v>4</v>
      </c>
      <c r="AK126" s="4">
        <v>4</v>
      </c>
      <c r="AL126" s="4">
        <v>1</v>
      </c>
      <c r="AM126" s="4">
        <v>1</v>
      </c>
      <c r="AN126" s="4">
        <v>0</v>
      </c>
      <c r="AO126" s="4">
        <v>0</v>
      </c>
      <c r="AP126" s="3" t="s">
        <v>58</v>
      </c>
      <c r="AQ126" s="3" t="s">
        <v>58</v>
      </c>
      <c r="AS126" s="6" t="str">
        <f>HYPERLINK("https://creighton-primo.hosted.exlibrisgroup.com/primo-explore/search?tab=default_tab&amp;search_scope=EVERYTHING&amp;vid=01CRU&amp;lang=en_US&amp;offset=0&amp;query=any,contains,991003692529702656","Catalog Record")</f>
        <v>Catalog Record</v>
      </c>
      <c r="AT126" s="6" t="str">
        <f>HYPERLINK("http://www.worldcat.org/oclc/1323578","WorldCat Record")</f>
        <v>WorldCat Record</v>
      </c>
      <c r="AU126" s="3" t="s">
        <v>1780</v>
      </c>
      <c r="AV126" s="3" t="s">
        <v>1781</v>
      </c>
      <c r="AW126" s="3" t="s">
        <v>1782</v>
      </c>
      <c r="AX126" s="3" t="s">
        <v>1782</v>
      </c>
      <c r="AY126" s="3" t="s">
        <v>1783</v>
      </c>
      <c r="AZ126" s="3" t="s">
        <v>73</v>
      </c>
      <c r="BB126" s="3" t="s">
        <v>1784</v>
      </c>
      <c r="BC126" s="3" t="s">
        <v>1785</v>
      </c>
      <c r="BD126" s="3" t="s">
        <v>1786</v>
      </c>
    </row>
    <row r="127" spans="1:56" ht="41.25" customHeight="1" x14ac:dyDescent="0.25">
      <c r="A127" s="7" t="s">
        <v>58</v>
      </c>
      <c r="B127" s="2" t="s">
        <v>1787</v>
      </c>
      <c r="C127" s="2" t="s">
        <v>1788</v>
      </c>
      <c r="D127" s="2" t="s">
        <v>1789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1790</v>
      </c>
      <c r="L127" s="2" t="s">
        <v>1791</v>
      </c>
      <c r="M127" s="3" t="s">
        <v>466</v>
      </c>
      <c r="N127" s="2" t="s">
        <v>1700</v>
      </c>
      <c r="O127" s="3" t="s">
        <v>64</v>
      </c>
      <c r="P127" s="3" t="s">
        <v>1792</v>
      </c>
      <c r="R127" s="3" t="s">
        <v>1042</v>
      </c>
      <c r="S127" s="4">
        <v>2</v>
      </c>
      <c r="T127" s="4">
        <v>2</v>
      </c>
      <c r="U127" s="5" t="s">
        <v>811</v>
      </c>
      <c r="V127" s="5" t="s">
        <v>811</v>
      </c>
      <c r="W127" s="5" t="s">
        <v>1716</v>
      </c>
      <c r="X127" s="5" t="s">
        <v>1716</v>
      </c>
      <c r="Y127" s="4">
        <v>211</v>
      </c>
      <c r="Z127" s="4">
        <v>179</v>
      </c>
      <c r="AA127" s="4">
        <v>183</v>
      </c>
      <c r="AB127" s="4">
        <v>3</v>
      </c>
      <c r="AC127" s="4">
        <v>3</v>
      </c>
      <c r="AD127" s="4">
        <v>8</v>
      </c>
      <c r="AE127" s="4">
        <v>8</v>
      </c>
      <c r="AF127" s="4">
        <v>2</v>
      </c>
      <c r="AG127" s="4">
        <v>2</v>
      </c>
      <c r="AH127" s="4">
        <v>3</v>
      </c>
      <c r="AI127" s="4">
        <v>3</v>
      </c>
      <c r="AJ127" s="4">
        <v>3</v>
      </c>
      <c r="AK127" s="4">
        <v>3</v>
      </c>
      <c r="AL127" s="4">
        <v>2</v>
      </c>
      <c r="AM127" s="4">
        <v>2</v>
      </c>
      <c r="AN127" s="4">
        <v>0</v>
      </c>
      <c r="AO127" s="4">
        <v>0</v>
      </c>
      <c r="AP127" s="3" t="s">
        <v>58</v>
      </c>
      <c r="AQ127" s="3" t="s">
        <v>85</v>
      </c>
      <c r="AR127" s="6" t="str">
        <f>HYPERLINK("http://catalog.hathitrust.org/Record/009095065","HathiTrust Record")</f>
        <v>HathiTrust Record</v>
      </c>
      <c r="AS127" s="6" t="str">
        <f>HYPERLINK("https://creighton-primo.hosted.exlibrisgroup.com/primo-explore/search?tab=default_tab&amp;search_scope=EVERYTHING&amp;vid=01CRU&amp;lang=en_US&amp;offset=0&amp;query=any,contains,991001106859702656","Catalog Record")</f>
        <v>Catalog Record</v>
      </c>
      <c r="AT127" s="6" t="str">
        <f>HYPERLINK("http://www.worldcat.org/oclc/16405846","WorldCat Record")</f>
        <v>WorldCat Record</v>
      </c>
      <c r="AU127" s="3" t="s">
        <v>1793</v>
      </c>
      <c r="AV127" s="3" t="s">
        <v>1794</v>
      </c>
      <c r="AW127" s="3" t="s">
        <v>1795</v>
      </c>
      <c r="AX127" s="3" t="s">
        <v>1795</v>
      </c>
      <c r="AY127" s="3" t="s">
        <v>1796</v>
      </c>
      <c r="AZ127" s="3" t="s">
        <v>73</v>
      </c>
      <c r="BB127" s="3" t="s">
        <v>1797</v>
      </c>
      <c r="BC127" s="3" t="s">
        <v>1798</v>
      </c>
      <c r="BD127" s="3" t="s">
        <v>1799</v>
      </c>
    </row>
    <row r="128" spans="1:56" ht="41.25" customHeight="1" x14ac:dyDescent="0.25">
      <c r="A128" s="7" t="s">
        <v>58</v>
      </c>
      <c r="B128" s="2" t="s">
        <v>1800</v>
      </c>
      <c r="C128" s="2" t="s">
        <v>1801</v>
      </c>
      <c r="D128" s="2" t="s">
        <v>1802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1803</v>
      </c>
      <c r="L128" s="2" t="s">
        <v>1804</v>
      </c>
      <c r="M128" s="3" t="s">
        <v>839</v>
      </c>
      <c r="O128" s="3" t="s">
        <v>64</v>
      </c>
      <c r="P128" s="3" t="s">
        <v>670</v>
      </c>
      <c r="R128" s="3" t="s">
        <v>1042</v>
      </c>
      <c r="S128" s="4">
        <v>11</v>
      </c>
      <c r="T128" s="4">
        <v>11</v>
      </c>
      <c r="U128" s="5" t="s">
        <v>1805</v>
      </c>
      <c r="V128" s="5" t="s">
        <v>1805</v>
      </c>
      <c r="W128" s="5" t="s">
        <v>1806</v>
      </c>
      <c r="X128" s="5" t="s">
        <v>1806</v>
      </c>
      <c r="Y128" s="4">
        <v>72</v>
      </c>
      <c r="Z128" s="4">
        <v>64</v>
      </c>
      <c r="AA128" s="4">
        <v>66</v>
      </c>
      <c r="AB128" s="4">
        <v>2</v>
      </c>
      <c r="AC128" s="4">
        <v>2</v>
      </c>
      <c r="AD128" s="4">
        <v>2</v>
      </c>
      <c r="AE128" s="4">
        <v>2</v>
      </c>
      <c r="AF128" s="4">
        <v>1</v>
      </c>
      <c r="AG128" s="4">
        <v>1</v>
      </c>
      <c r="AH128" s="4">
        <v>0</v>
      </c>
      <c r="AI128" s="4">
        <v>0</v>
      </c>
      <c r="AJ128" s="4">
        <v>0</v>
      </c>
      <c r="AK128" s="4">
        <v>0</v>
      </c>
      <c r="AL128" s="4">
        <v>1</v>
      </c>
      <c r="AM128" s="4">
        <v>1</v>
      </c>
      <c r="AN128" s="4">
        <v>0</v>
      </c>
      <c r="AO128" s="4">
        <v>0</v>
      </c>
      <c r="AP128" s="3" t="s">
        <v>58</v>
      </c>
      <c r="AQ128" s="3" t="s">
        <v>58</v>
      </c>
      <c r="AS128" s="6" t="str">
        <f>HYPERLINK("https://creighton-primo.hosted.exlibrisgroup.com/primo-explore/search?tab=default_tab&amp;search_scope=EVERYTHING&amp;vid=01CRU&amp;lang=en_US&amp;offset=0&amp;query=any,contains,991000917119702656","Catalog Record")</f>
        <v>Catalog Record</v>
      </c>
      <c r="AT128" s="6" t="str">
        <f>HYPERLINK("http://www.worldcat.org/oclc/14187234","WorldCat Record")</f>
        <v>WorldCat Record</v>
      </c>
      <c r="AU128" s="3" t="s">
        <v>1807</v>
      </c>
      <c r="AV128" s="3" t="s">
        <v>1808</v>
      </c>
      <c r="AW128" s="3" t="s">
        <v>1809</v>
      </c>
      <c r="AX128" s="3" t="s">
        <v>1809</v>
      </c>
      <c r="AY128" s="3" t="s">
        <v>1810</v>
      </c>
      <c r="AZ128" s="3" t="s">
        <v>73</v>
      </c>
      <c r="BB128" s="3" t="s">
        <v>1811</v>
      </c>
      <c r="BC128" s="3" t="s">
        <v>1812</v>
      </c>
      <c r="BD128" s="3" t="s">
        <v>1813</v>
      </c>
    </row>
    <row r="129" spans="1:56" ht="41.25" customHeight="1" x14ac:dyDescent="0.25">
      <c r="A129" s="7" t="s">
        <v>58</v>
      </c>
      <c r="B129" s="2" t="s">
        <v>1814</v>
      </c>
      <c r="C129" s="2" t="s">
        <v>1815</v>
      </c>
      <c r="D129" s="2" t="s">
        <v>1816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1817</v>
      </c>
      <c r="L129" s="2" t="s">
        <v>1818</v>
      </c>
      <c r="M129" s="3" t="s">
        <v>1819</v>
      </c>
      <c r="O129" s="3" t="s">
        <v>64</v>
      </c>
      <c r="P129" s="3" t="s">
        <v>65</v>
      </c>
      <c r="R129" s="3" t="s">
        <v>1042</v>
      </c>
      <c r="S129" s="4">
        <v>14</v>
      </c>
      <c r="T129" s="4">
        <v>14</v>
      </c>
      <c r="U129" s="5" t="s">
        <v>1805</v>
      </c>
      <c r="V129" s="5" t="s">
        <v>1805</v>
      </c>
      <c r="W129" s="5" t="s">
        <v>1820</v>
      </c>
      <c r="X129" s="5" t="s">
        <v>1820</v>
      </c>
      <c r="Y129" s="4">
        <v>176</v>
      </c>
      <c r="Z129" s="4">
        <v>175</v>
      </c>
      <c r="AA129" s="4">
        <v>860</v>
      </c>
      <c r="AB129" s="4">
        <v>2</v>
      </c>
      <c r="AC129" s="4">
        <v>12</v>
      </c>
      <c r="AD129" s="4">
        <v>4</v>
      </c>
      <c r="AE129" s="4">
        <v>12</v>
      </c>
      <c r="AF129" s="4">
        <v>2</v>
      </c>
      <c r="AG129" s="4">
        <v>5</v>
      </c>
      <c r="AH129" s="4">
        <v>0</v>
      </c>
      <c r="AI129" s="4">
        <v>0</v>
      </c>
      <c r="AJ129" s="4">
        <v>2</v>
      </c>
      <c r="AK129" s="4">
        <v>5</v>
      </c>
      <c r="AL129" s="4">
        <v>0</v>
      </c>
      <c r="AM129" s="4">
        <v>1</v>
      </c>
      <c r="AN129" s="4">
        <v>1</v>
      </c>
      <c r="AO129" s="4">
        <v>3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HYPERLINK("https://creighton-primo.hosted.exlibrisgroup.com/primo-explore/search?tab=default_tab&amp;search_scope=EVERYTHING&amp;vid=01CRU&amp;lang=en_US&amp;offset=0&amp;query=any,contains,991004726229702656","Catalog Record")</f>
        <v>Catalog Record</v>
      </c>
      <c r="AT129" s="6" t="str">
        <f>HYPERLINK("http://www.worldcat.org/oclc/4814840","WorldCat Record")</f>
        <v>WorldCat Record</v>
      </c>
      <c r="AU129" s="3" t="s">
        <v>1821</v>
      </c>
      <c r="AV129" s="3" t="s">
        <v>1822</v>
      </c>
      <c r="AW129" s="3" t="s">
        <v>1823</v>
      </c>
      <c r="AX129" s="3" t="s">
        <v>1823</v>
      </c>
      <c r="AY129" s="3" t="s">
        <v>1824</v>
      </c>
      <c r="AZ129" s="3" t="s">
        <v>73</v>
      </c>
      <c r="BB129" s="3" t="s">
        <v>1825</v>
      </c>
      <c r="BC129" s="3" t="s">
        <v>1826</v>
      </c>
      <c r="BD129" s="3" t="s">
        <v>1827</v>
      </c>
    </row>
    <row r="130" spans="1:56" ht="41.25" customHeight="1" x14ac:dyDescent="0.25">
      <c r="A130" s="7" t="s">
        <v>58</v>
      </c>
      <c r="B130" s="2" t="s">
        <v>1828</v>
      </c>
      <c r="C130" s="2" t="s">
        <v>1829</v>
      </c>
      <c r="D130" s="2" t="s">
        <v>1830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1817</v>
      </c>
      <c r="L130" s="2" t="s">
        <v>1831</v>
      </c>
      <c r="M130" s="3" t="s">
        <v>1754</v>
      </c>
      <c r="O130" s="3" t="s">
        <v>64</v>
      </c>
      <c r="P130" s="3" t="s">
        <v>65</v>
      </c>
      <c r="R130" s="3" t="s">
        <v>1042</v>
      </c>
      <c r="S130" s="4">
        <v>19</v>
      </c>
      <c r="T130" s="4">
        <v>19</v>
      </c>
      <c r="U130" s="5" t="s">
        <v>1805</v>
      </c>
      <c r="V130" s="5" t="s">
        <v>1805</v>
      </c>
      <c r="W130" s="5" t="s">
        <v>1832</v>
      </c>
      <c r="X130" s="5" t="s">
        <v>1832</v>
      </c>
      <c r="Y130" s="4">
        <v>600</v>
      </c>
      <c r="Z130" s="4">
        <v>576</v>
      </c>
      <c r="AA130" s="4">
        <v>606</v>
      </c>
      <c r="AB130" s="4">
        <v>8</v>
      </c>
      <c r="AC130" s="4">
        <v>8</v>
      </c>
      <c r="AD130" s="4">
        <v>12</v>
      </c>
      <c r="AE130" s="4">
        <v>14</v>
      </c>
      <c r="AF130" s="4">
        <v>3</v>
      </c>
      <c r="AG130" s="4">
        <v>4</v>
      </c>
      <c r="AH130" s="4">
        <v>1</v>
      </c>
      <c r="AI130" s="4">
        <v>2</v>
      </c>
      <c r="AJ130" s="4">
        <v>4</v>
      </c>
      <c r="AK130" s="4">
        <v>4</v>
      </c>
      <c r="AL130" s="4">
        <v>5</v>
      </c>
      <c r="AM130" s="4">
        <v>5</v>
      </c>
      <c r="AN130" s="4">
        <v>0</v>
      </c>
      <c r="AO130" s="4">
        <v>0</v>
      </c>
      <c r="AP130" s="3" t="s">
        <v>58</v>
      </c>
      <c r="AQ130" s="3" t="s">
        <v>58</v>
      </c>
      <c r="AS130" s="6" t="str">
        <f>HYPERLINK("https://creighton-primo.hosted.exlibrisgroup.com/primo-explore/search?tab=default_tab&amp;search_scope=EVERYTHING&amp;vid=01CRU&amp;lang=en_US&amp;offset=0&amp;query=any,contains,991001006629702656","Catalog Record")</f>
        <v>Catalog Record</v>
      </c>
      <c r="AT130" s="6" t="str">
        <f>HYPERLINK("http://www.worldcat.org/oclc/15251679","WorldCat Record")</f>
        <v>WorldCat Record</v>
      </c>
      <c r="AU130" s="3" t="s">
        <v>1833</v>
      </c>
      <c r="AV130" s="3" t="s">
        <v>1834</v>
      </c>
      <c r="AW130" s="3" t="s">
        <v>1835</v>
      </c>
      <c r="AX130" s="3" t="s">
        <v>1835</v>
      </c>
      <c r="AY130" s="3" t="s">
        <v>1836</v>
      </c>
      <c r="AZ130" s="3" t="s">
        <v>73</v>
      </c>
      <c r="BB130" s="3" t="s">
        <v>1837</v>
      </c>
      <c r="BC130" s="3" t="s">
        <v>1838</v>
      </c>
      <c r="BD130" s="3" t="s">
        <v>1839</v>
      </c>
    </row>
    <row r="131" spans="1:56" ht="41.25" customHeight="1" x14ac:dyDescent="0.25">
      <c r="A131" s="7" t="s">
        <v>58</v>
      </c>
      <c r="B131" s="2" t="s">
        <v>1840</v>
      </c>
      <c r="C131" s="2" t="s">
        <v>1841</v>
      </c>
      <c r="D131" s="2" t="s">
        <v>1842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1587</v>
      </c>
      <c r="L131" s="2" t="s">
        <v>1843</v>
      </c>
      <c r="M131" s="3" t="s">
        <v>1129</v>
      </c>
      <c r="O131" s="3" t="s">
        <v>64</v>
      </c>
      <c r="P131" s="3" t="s">
        <v>698</v>
      </c>
      <c r="Q131" s="2" t="s">
        <v>1844</v>
      </c>
      <c r="R131" s="3" t="s">
        <v>1042</v>
      </c>
      <c r="S131" s="4">
        <v>5</v>
      </c>
      <c r="T131" s="4">
        <v>5</v>
      </c>
      <c r="U131" s="5" t="s">
        <v>1845</v>
      </c>
      <c r="V131" s="5" t="s">
        <v>1845</v>
      </c>
      <c r="W131" s="5" t="s">
        <v>1846</v>
      </c>
      <c r="X131" s="5" t="s">
        <v>1846</v>
      </c>
      <c r="Y131" s="4">
        <v>953</v>
      </c>
      <c r="Z131" s="4">
        <v>845</v>
      </c>
      <c r="AA131" s="4">
        <v>853</v>
      </c>
      <c r="AB131" s="4">
        <v>8</v>
      </c>
      <c r="AC131" s="4">
        <v>8</v>
      </c>
      <c r="AD131" s="4">
        <v>22</v>
      </c>
      <c r="AE131" s="4">
        <v>22</v>
      </c>
      <c r="AF131" s="4">
        <v>7</v>
      </c>
      <c r="AG131" s="4">
        <v>7</v>
      </c>
      <c r="AH131" s="4">
        <v>5</v>
      </c>
      <c r="AI131" s="4">
        <v>5</v>
      </c>
      <c r="AJ131" s="4">
        <v>6</v>
      </c>
      <c r="AK131" s="4">
        <v>6</v>
      </c>
      <c r="AL131" s="4">
        <v>7</v>
      </c>
      <c r="AM131" s="4">
        <v>7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HYPERLINK("https://creighton-primo.hosted.exlibrisgroup.com/primo-explore/search?tab=default_tab&amp;search_scope=EVERYTHING&amp;vid=01CRU&amp;lang=en_US&amp;offset=0&amp;query=any,contains,991004762879702656","Catalog Record")</f>
        <v>Catalog Record</v>
      </c>
      <c r="AT131" s="6" t="str">
        <f>HYPERLINK("http://www.worldcat.org/oclc/5008371","WorldCat Record")</f>
        <v>WorldCat Record</v>
      </c>
      <c r="AU131" s="3" t="s">
        <v>1847</v>
      </c>
      <c r="AV131" s="3" t="s">
        <v>1848</v>
      </c>
      <c r="AW131" s="3" t="s">
        <v>1849</v>
      </c>
      <c r="AX131" s="3" t="s">
        <v>1849</v>
      </c>
      <c r="AY131" s="3" t="s">
        <v>1850</v>
      </c>
      <c r="AZ131" s="3" t="s">
        <v>73</v>
      </c>
      <c r="BB131" s="3" t="s">
        <v>1851</v>
      </c>
      <c r="BC131" s="3" t="s">
        <v>1852</v>
      </c>
      <c r="BD131" s="3" t="s">
        <v>1853</v>
      </c>
    </row>
    <row r="132" spans="1:56" ht="41.25" customHeight="1" x14ac:dyDescent="0.25">
      <c r="A132" s="7" t="s">
        <v>58</v>
      </c>
      <c r="B132" s="2" t="s">
        <v>1854</v>
      </c>
      <c r="C132" s="2" t="s">
        <v>1855</v>
      </c>
      <c r="D132" s="2" t="s">
        <v>1856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K132" s="2" t="s">
        <v>1857</v>
      </c>
      <c r="L132" s="2" t="s">
        <v>1858</v>
      </c>
      <c r="M132" s="3" t="s">
        <v>403</v>
      </c>
      <c r="O132" s="3" t="s">
        <v>64</v>
      </c>
      <c r="P132" s="3" t="s">
        <v>65</v>
      </c>
      <c r="R132" s="3" t="s">
        <v>1042</v>
      </c>
      <c r="S132" s="4">
        <v>9</v>
      </c>
      <c r="T132" s="4">
        <v>9</v>
      </c>
      <c r="U132" s="5" t="s">
        <v>1779</v>
      </c>
      <c r="V132" s="5" t="s">
        <v>1779</v>
      </c>
      <c r="W132" s="5" t="s">
        <v>1859</v>
      </c>
      <c r="X132" s="5" t="s">
        <v>1859</v>
      </c>
      <c r="Y132" s="4">
        <v>568</v>
      </c>
      <c r="Z132" s="4">
        <v>512</v>
      </c>
      <c r="AA132" s="4">
        <v>537</v>
      </c>
      <c r="AB132" s="4">
        <v>9</v>
      </c>
      <c r="AC132" s="4">
        <v>9</v>
      </c>
      <c r="AD132" s="4">
        <v>5</v>
      </c>
      <c r="AE132" s="4">
        <v>5</v>
      </c>
      <c r="AF132" s="4">
        <v>1</v>
      </c>
      <c r="AG132" s="4">
        <v>1</v>
      </c>
      <c r="AH132" s="4">
        <v>0</v>
      </c>
      <c r="AI132" s="4">
        <v>0</v>
      </c>
      <c r="AJ132" s="4">
        <v>0</v>
      </c>
      <c r="AK132" s="4">
        <v>0</v>
      </c>
      <c r="AL132" s="4">
        <v>4</v>
      </c>
      <c r="AM132" s="4">
        <v>4</v>
      </c>
      <c r="AN132" s="4">
        <v>0</v>
      </c>
      <c r="AO132" s="4">
        <v>0</v>
      </c>
      <c r="AP132" s="3" t="s">
        <v>58</v>
      </c>
      <c r="AQ132" s="3" t="s">
        <v>85</v>
      </c>
      <c r="AR132" s="6" t="str">
        <f>HYPERLINK("http://catalog.hathitrust.org/Record/009177854","HathiTrust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HYPERLINK("https://creighton-primo.hosted.exlibrisgroup.com/primo-explore/search?tab=default_tab&amp;search_scope=EVERYTHING&amp;vid=01CRU&amp;lang=en_US&amp;offset=0&amp;query=any,contains,991004653199702656","Catalog Record")</f>
        <v>Catalog Record</v>
      </c>
      <c r="AT132" s="6" t="str">
        <f>HYPERLINK("http://www.worldcat.org/oclc/4494561","WorldCat Record")</f>
        <v>WorldCat Record</v>
      </c>
      <c r="AU132" s="3" t="s">
        <v>1860</v>
      </c>
      <c r="AV132" s="3" t="s">
        <v>1861</v>
      </c>
      <c r="AW132" s="3" t="s">
        <v>1862</v>
      </c>
      <c r="AX132" s="3" t="s">
        <v>1862</v>
      </c>
      <c r="AY132" s="3" t="s">
        <v>1863</v>
      </c>
      <c r="AZ132" s="3" t="s">
        <v>73</v>
      </c>
      <c r="BB132" s="3" t="s">
        <v>1864</v>
      </c>
      <c r="BC132" s="3" t="s">
        <v>1865</v>
      </c>
      <c r="BD132" s="3" t="s">
        <v>1866</v>
      </c>
    </row>
    <row r="133" spans="1:56" ht="41.25" customHeight="1" x14ac:dyDescent="0.25">
      <c r="A133" s="7" t="s">
        <v>58</v>
      </c>
      <c r="B133" s="2" t="s">
        <v>1867</v>
      </c>
      <c r="C133" s="2" t="s">
        <v>1868</v>
      </c>
      <c r="D133" s="2" t="s">
        <v>1869</v>
      </c>
      <c r="F133" s="3" t="s">
        <v>58</v>
      </c>
      <c r="G133" s="3" t="s">
        <v>59</v>
      </c>
      <c r="H133" s="3" t="s">
        <v>58</v>
      </c>
      <c r="I133" s="3" t="s">
        <v>85</v>
      </c>
      <c r="J133" s="3" t="s">
        <v>60</v>
      </c>
      <c r="K133" s="2" t="s">
        <v>1870</v>
      </c>
      <c r="L133" s="2" t="s">
        <v>1871</v>
      </c>
      <c r="M133" s="3" t="s">
        <v>754</v>
      </c>
      <c r="O133" s="3" t="s">
        <v>64</v>
      </c>
      <c r="P133" s="3" t="s">
        <v>698</v>
      </c>
      <c r="R133" s="3" t="s">
        <v>1042</v>
      </c>
      <c r="S133" s="4">
        <v>14</v>
      </c>
      <c r="T133" s="4">
        <v>14</v>
      </c>
      <c r="U133" s="5" t="s">
        <v>1872</v>
      </c>
      <c r="V133" s="5" t="s">
        <v>1872</v>
      </c>
      <c r="W133" s="5" t="s">
        <v>1873</v>
      </c>
      <c r="X133" s="5" t="s">
        <v>1873</v>
      </c>
      <c r="Y133" s="4">
        <v>719</v>
      </c>
      <c r="Z133" s="4">
        <v>634</v>
      </c>
      <c r="AA133" s="4">
        <v>1106</v>
      </c>
      <c r="AB133" s="4">
        <v>5</v>
      </c>
      <c r="AC133" s="4">
        <v>9</v>
      </c>
      <c r="AD133" s="4">
        <v>4</v>
      </c>
      <c r="AE133" s="4">
        <v>21</v>
      </c>
      <c r="AF133" s="4">
        <v>1</v>
      </c>
      <c r="AG133" s="4">
        <v>10</v>
      </c>
      <c r="AH133" s="4">
        <v>1</v>
      </c>
      <c r="AI133" s="4">
        <v>4</v>
      </c>
      <c r="AJ133" s="4">
        <v>1</v>
      </c>
      <c r="AK133" s="4">
        <v>7</v>
      </c>
      <c r="AL133" s="4">
        <v>2</v>
      </c>
      <c r="AM133" s="4">
        <v>5</v>
      </c>
      <c r="AN133" s="4">
        <v>0</v>
      </c>
      <c r="AO133" s="4">
        <v>0</v>
      </c>
      <c r="AP133" s="3" t="s">
        <v>58</v>
      </c>
      <c r="AQ133" s="3" t="s">
        <v>85</v>
      </c>
      <c r="AR133" s="6" t="str">
        <f>HYPERLINK("http://catalog.hathitrust.org/Record/000325595","HathiTrust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HYPERLINK("https://creighton-primo.hosted.exlibrisgroup.com/primo-explore/search?tab=default_tab&amp;search_scope=EVERYTHING&amp;vid=01CRU&amp;lang=en_US&amp;offset=0&amp;query=any,contains,991000341419702656","Catalog Record")</f>
        <v>Catalog Record</v>
      </c>
      <c r="AT133" s="6" t="str">
        <f>HYPERLINK("http://www.worldcat.org/oclc/10273235","WorldCat Record")</f>
        <v>WorldCat Record</v>
      </c>
      <c r="AU133" s="3" t="s">
        <v>1874</v>
      </c>
      <c r="AV133" s="3" t="s">
        <v>1875</v>
      </c>
      <c r="AW133" s="3" t="s">
        <v>1876</v>
      </c>
      <c r="AX133" s="3" t="s">
        <v>1876</v>
      </c>
      <c r="AY133" s="3" t="s">
        <v>1877</v>
      </c>
      <c r="AZ133" s="3" t="s">
        <v>73</v>
      </c>
      <c r="BB133" s="3" t="s">
        <v>1878</v>
      </c>
      <c r="BC133" s="3" t="s">
        <v>1879</v>
      </c>
      <c r="BD133" s="3" t="s">
        <v>1880</v>
      </c>
    </row>
    <row r="134" spans="1:56" ht="41.25" customHeight="1" x14ac:dyDescent="0.25">
      <c r="A134" s="7" t="s">
        <v>58</v>
      </c>
      <c r="B134" s="2" t="s">
        <v>1881</v>
      </c>
      <c r="C134" s="2" t="s">
        <v>1882</v>
      </c>
      <c r="D134" s="2" t="s">
        <v>1869</v>
      </c>
      <c r="F134" s="3" t="s">
        <v>58</v>
      </c>
      <c r="G134" s="3" t="s">
        <v>59</v>
      </c>
      <c r="H134" s="3" t="s">
        <v>58</v>
      </c>
      <c r="I134" s="3" t="s">
        <v>85</v>
      </c>
      <c r="J134" s="3" t="s">
        <v>60</v>
      </c>
      <c r="K134" s="2" t="s">
        <v>1870</v>
      </c>
      <c r="L134" s="2" t="s">
        <v>1883</v>
      </c>
      <c r="M134" s="3" t="s">
        <v>1558</v>
      </c>
      <c r="N134" s="2" t="s">
        <v>1884</v>
      </c>
      <c r="O134" s="3" t="s">
        <v>64</v>
      </c>
      <c r="P134" s="3" t="s">
        <v>65</v>
      </c>
      <c r="R134" s="3" t="s">
        <v>1042</v>
      </c>
      <c r="S134" s="4">
        <v>12</v>
      </c>
      <c r="T134" s="4">
        <v>12</v>
      </c>
      <c r="U134" s="5" t="s">
        <v>1885</v>
      </c>
      <c r="V134" s="5" t="s">
        <v>1885</v>
      </c>
      <c r="W134" s="5" t="s">
        <v>1716</v>
      </c>
      <c r="X134" s="5" t="s">
        <v>1716</v>
      </c>
      <c r="Y134" s="4">
        <v>101</v>
      </c>
      <c r="Z134" s="4">
        <v>73</v>
      </c>
      <c r="AA134" s="4">
        <v>1106</v>
      </c>
      <c r="AB134" s="4">
        <v>2</v>
      </c>
      <c r="AC134" s="4">
        <v>9</v>
      </c>
      <c r="AD134" s="4">
        <v>1</v>
      </c>
      <c r="AE134" s="4">
        <v>21</v>
      </c>
      <c r="AF134" s="4">
        <v>1</v>
      </c>
      <c r="AG134" s="4">
        <v>10</v>
      </c>
      <c r="AH134" s="4">
        <v>1</v>
      </c>
      <c r="AI134" s="4">
        <v>4</v>
      </c>
      <c r="AJ134" s="4">
        <v>0</v>
      </c>
      <c r="AK134" s="4">
        <v>7</v>
      </c>
      <c r="AL134" s="4">
        <v>0</v>
      </c>
      <c r="AM134" s="4">
        <v>5</v>
      </c>
      <c r="AN134" s="4">
        <v>0</v>
      </c>
      <c r="AO134" s="4">
        <v>0</v>
      </c>
      <c r="AP134" s="3" t="s">
        <v>58</v>
      </c>
      <c r="AQ134" s="3" t="s">
        <v>58</v>
      </c>
      <c r="AS134" s="6" t="str">
        <f>HYPERLINK("https://creighton-primo.hosted.exlibrisgroup.com/primo-explore/search?tab=default_tab&amp;search_scope=EVERYTHING&amp;vid=01CRU&amp;lang=en_US&amp;offset=0&amp;query=any,contains,991002440009702656","Catalog Record")</f>
        <v>Catalog Record</v>
      </c>
      <c r="AT134" s="6" t="str">
        <f>HYPERLINK("http://www.worldcat.org/oclc/31811042","WorldCat Record")</f>
        <v>WorldCat Record</v>
      </c>
      <c r="AU134" s="3" t="s">
        <v>1874</v>
      </c>
      <c r="AV134" s="3" t="s">
        <v>1886</v>
      </c>
      <c r="AW134" s="3" t="s">
        <v>1887</v>
      </c>
      <c r="AX134" s="3" t="s">
        <v>1887</v>
      </c>
      <c r="AY134" s="3" t="s">
        <v>1888</v>
      </c>
      <c r="AZ134" s="3" t="s">
        <v>73</v>
      </c>
      <c r="BB134" s="3" t="s">
        <v>1889</v>
      </c>
      <c r="BC134" s="3" t="s">
        <v>1890</v>
      </c>
      <c r="BD134" s="3" t="s">
        <v>1891</v>
      </c>
    </row>
    <row r="135" spans="1:56" ht="41.25" customHeight="1" x14ac:dyDescent="0.25">
      <c r="A135" s="7" t="s">
        <v>58</v>
      </c>
      <c r="B135" s="2" t="s">
        <v>1892</v>
      </c>
      <c r="C135" s="2" t="s">
        <v>1893</v>
      </c>
      <c r="D135" s="2" t="s">
        <v>1894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1895</v>
      </c>
      <c r="L135" s="2" t="s">
        <v>1896</v>
      </c>
      <c r="M135" s="3" t="s">
        <v>626</v>
      </c>
      <c r="N135" s="2" t="s">
        <v>528</v>
      </c>
      <c r="O135" s="3" t="s">
        <v>64</v>
      </c>
      <c r="P135" s="3" t="s">
        <v>1897</v>
      </c>
      <c r="R135" s="3" t="s">
        <v>1042</v>
      </c>
      <c r="S135" s="4">
        <v>5</v>
      </c>
      <c r="T135" s="4">
        <v>5</v>
      </c>
      <c r="U135" s="5" t="s">
        <v>1657</v>
      </c>
      <c r="V135" s="5" t="s">
        <v>1657</v>
      </c>
      <c r="W135" s="5" t="s">
        <v>1590</v>
      </c>
      <c r="X135" s="5" t="s">
        <v>1590</v>
      </c>
      <c r="Y135" s="4">
        <v>537</v>
      </c>
      <c r="Z135" s="4">
        <v>476</v>
      </c>
      <c r="AA135" s="4">
        <v>481</v>
      </c>
      <c r="AB135" s="4">
        <v>6</v>
      </c>
      <c r="AC135" s="4">
        <v>6</v>
      </c>
      <c r="AD135" s="4">
        <v>4</v>
      </c>
      <c r="AE135" s="4">
        <v>4</v>
      </c>
      <c r="AF135" s="4">
        <v>2</v>
      </c>
      <c r="AG135" s="4">
        <v>2</v>
      </c>
      <c r="AH135" s="4">
        <v>2</v>
      </c>
      <c r="AI135" s="4">
        <v>2</v>
      </c>
      <c r="AJ135" s="4">
        <v>1</v>
      </c>
      <c r="AK135" s="4">
        <v>1</v>
      </c>
      <c r="AL135" s="4">
        <v>0</v>
      </c>
      <c r="AM135" s="4">
        <v>0</v>
      </c>
      <c r="AN135" s="4">
        <v>0</v>
      </c>
      <c r="AO135" s="4">
        <v>0</v>
      </c>
      <c r="AP135" s="3" t="s">
        <v>58</v>
      </c>
      <c r="AQ135" s="3" t="s">
        <v>58</v>
      </c>
      <c r="AS135" s="6" t="str">
        <f>HYPERLINK("https://creighton-primo.hosted.exlibrisgroup.com/primo-explore/search?tab=default_tab&amp;search_scope=EVERYTHING&amp;vid=01CRU&amp;lang=en_US&amp;offset=0&amp;query=any,contains,991002046739702656","Catalog Record")</f>
        <v>Catalog Record</v>
      </c>
      <c r="AT135" s="6" t="str">
        <f>HYPERLINK("http://www.worldcat.org/oclc/26129788","WorldCat Record")</f>
        <v>WorldCat Record</v>
      </c>
      <c r="AU135" s="3" t="s">
        <v>1898</v>
      </c>
      <c r="AV135" s="3" t="s">
        <v>1899</v>
      </c>
      <c r="AW135" s="3" t="s">
        <v>1900</v>
      </c>
      <c r="AX135" s="3" t="s">
        <v>1900</v>
      </c>
      <c r="AY135" s="3" t="s">
        <v>1901</v>
      </c>
      <c r="AZ135" s="3" t="s">
        <v>73</v>
      </c>
      <c r="BB135" s="3" t="s">
        <v>1902</v>
      </c>
      <c r="BC135" s="3" t="s">
        <v>1903</v>
      </c>
      <c r="BD135" s="3" t="s">
        <v>1904</v>
      </c>
    </row>
    <row r="136" spans="1:56" ht="41.25" customHeight="1" x14ac:dyDescent="0.25">
      <c r="A136" s="7" t="s">
        <v>58</v>
      </c>
      <c r="B136" s="2" t="s">
        <v>1905</v>
      </c>
      <c r="C136" s="2" t="s">
        <v>1906</v>
      </c>
      <c r="D136" s="2" t="s">
        <v>1907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1908</v>
      </c>
      <c r="L136" s="2" t="s">
        <v>1909</v>
      </c>
      <c r="M136" s="3" t="s">
        <v>626</v>
      </c>
      <c r="O136" s="3" t="s">
        <v>64</v>
      </c>
      <c r="P136" s="3" t="s">
        <v>334</v>
      </c>
      <c r="R136" s="3" t="s">
        <v>1042</v>
      </c>
      <c r="S136" s="4">
        <v>4</v>
      </c>
      <c r="T136" s="4">
        <v>4</v>
      </c>
      <c r="U136" s="5" t="s">
        <v>1910</v>
      </c>
      <c r="V136" s="5" t="s">
        <v>1910</v>
      </c>
      <c r="W136" s="5" t="s">
        <v>1702</v>
      </c>
      <c r="X136" s="5" t="s">
        <v>1702</v>
      </c>
      <c r="Y136" s="4">
        <v>180</v>
      </c>
      <c r="Z136" s="4">
        <v>150</v>
      </c>
      <c r="AA136" s="4">
        <v>151</v>
      </c>
      <c r="AB136" s="4">
        <v>3</v>
      </c>
      <c r="AC136" s="4">
        <v>3</v>
      </c>
      <c r="AD136" s="4">
        <v>9</v>
      </c>
      <c r="AE136" s="4">
        <v>9</v>
      </c>
      <c r="AF136" s="4">
        <v>3</v>
      </c>
      <c r="AG136" s="4">
        <v>3</v>
      </c>
      <c r="AH136" s="4">
        <v>3</v>
      </c>
      <c r="AI136" s="4">
        <v>3</v>
      </c>
      <c r="AJ136" s="4">
        <v>4</v>
      </c>
      <c r="AK136" s="4">
        <v>4</v>
      </c>
      <c r="AL136" s="4">
        <v>2</v>
      </c>
      <c r="AM136" s="4">
        <v>2</v>
      </c>
      <c r="AN136" s="4">
        <v>0</v>
      </c>
      <c r="AO136" s="4">
        <v>0</v>
      </c>
      <c r="AP136" s="3" t="s">
        <v>58</v>
      </c>
      <c r="AQ136" s="3" t="s">
        <v>85</v>
      </c>
      <c r="AR136" s="6" t="str">
        <f>HYPERLINK("http://catalog.hathitrust.org/Record/006807421","HathiTrust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HYPERLINK("https://creighton-primo.hosted.exlibrisgroup.com/primo-explore/search?tab=default_tab&amp;search_scope=EVERYTHING&amp;vid=01CRU&amp;lang=en_US&amp;offset=0&amp;query=any,contains,991002016409702656","Catalog Record")</f>
        <v>Catalog Record</v>
      </c>
      <c r="AT136" s="6" t="str">
        <f>HYPERLINK("http://www.worldcat.org/oclc/25632389","WorldCat Record")</f>
        <v>WorldCat Record</v>
      </c>
      <c r="AU136" s="3" t="s">
        <v>1911</v>
      </c>
      <c r="AV136" s="3" t="s">
        <v>1912</v>
      </c>
      <c r="AW136" s="3" t="s">
        <v>1913</v>
      </c>
      <c r="AX136" s="3" t="s">
        <v>1913</v>
      </c>
      <c r="AY136" s="3" t="s">
        <v>1914</v>
      </c>
      <c r="AZ136" s="3" t="s">
        <v>73</v>
      </c>
      <c r="BB136" s="3" t="s">
        <v>1915</v>
      </c>
      <c r="BC136" s="3" t="s">
        <v>1916</v>
      </c>
      <c r="BD136" s="3" t="s">
        <v>1917</v>
      </c>
    </row>
    <row r="137" spans="1:56" ht="41.25" customHeight="1" x14ac:dyDescent="0.25">
      <c r="A137" s="7" t="s">
        <v>58</v>
      </c>
      <c r="B137" s="2" t="s">
        <v>1918</v>
      </c>
      <c r="C137" s="2" t="s">
        <v>1919</v>
      </c>
      <c r="D137" s="2" t="s">
        <v>1920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1921</v>
      </c>
      <c r="L137" s="2" t="s">
        <v>1922</v>
      </c>
      <c r="M137" s="3" t="s">
        <v>527</v>
      </c>
      <c r="O137" s="3" t="s">
        <v>64</v>
      </c>
      <c r="P137" s="3" t="s">
        <v>231</v>
      </c>
      <c r="R137" s="3" t="s">
        <v>1042</v>
      </c>
      <c r="S137" s="4">
        <v>4</v>
      </c>
      <c r="T137" s="4">
        <v>4</v>
      </c>
      <c r="U137" s="5" t="s">
        <v>1923</v>
      </c>
      <c r="V137" s="5" t="s">
        <v>1923</v>
      </c>
      <c r="W137" s="5" t="s">
        <v>799</v>
      </c>
      <c r="X137" s="5" t="s">
        <v>799</v>
      </c>
      <c r="Y137" s="4">
        <v>27</v>
      </c>
      <c r="Z137" s="4">
        <v>27</v>
      </c>
      <c r="AA137" s="4">
        <v>59</v>
      </c>
      <c r="AB137" s="4">
        <v>2</v>
      </c>
      <c r="AC137" s="4">
        <v>3</v>
      </c>
      <c r="AD137" s="4">
        <v>2</v>
      </c>
      <c r="AE137" s="4">
        <v>5</v>
      </c>
      <c r="AF137" s="4">
        <v>1</v>
      </c>
      <c r="AG137" s="4">
        <v>3</v>
      </c>
      <c r="AH137" s="4">
        <v>0</v>
      </c>
      <c r="AI137" s="4">
        <v>0</v>
      </c>
      <c r="AJ137" s="4">
        <v>0</v>
      </c>
      <c r="AK137" s="4">
        <v>0</v>
      </c>
      <c r="AL137" s="4">
        <v>1</v>
      </c>
      <c r="AM137" s="4">
        <v>2</v>
      </c>
      <c r="AN137" s="4">
        <v>0</v>
      </c>
      <c r="AO137" s="4">
        <v>0</v>
      </c>
      <c r="AP137" s="3" t="s">
        <v>58</v>
      </c>
      <c r="AQ137" s="3" t="s">
        <v>58</v>
      </c>
      <c r="AS137" s="6" t="str">
        <f>HYPERLINK("https://creighton-primo.hosted.exlibrisgroup.com/primo-explore/search?tab=default_tab&amp;search_scope=EVERYTHING&amp;vid=01CRU&amp;lang=en_US&amp;offset=0&amp;query=any,contains,991000843419702656","Catalog Record")</f>
        <v>Catalog Record</v>
      </c>
      <c r="AT137" s="6" t="str">
        <f>HYPERLINK("http://www.worldcat.org/oclc/13530513","WorldCat Record")</f>
        <v>WorldCat Record</v>
      </c>
      <c r="AU137" s="3" t="s">
        <v>1924</v>
      </c>
      <c r="AV137" s="3" t="s">
        <v>1925</v>
      </c>
      <c r="AW137" s="3" t="s">
        <v>1926</v>
      </c>
      <c r="AX137" s="3" t="s">
        <v>1926</v>
      </c>
      <c r="AY137" s="3" t="s">
        <v>1927</v>
      </c>
      <c r="AZ137" s="3" t="s">
        <v>73</v>
      </c>
      <c r="BC137" s="3" t="s">
        <v>1928</v>
      </c>
      <c r="BD137" s="3" t="s">
        <v>1929</v>
      </c>
    </row>
    <row r="138" spans="1:56" ht="41.25" customHeight="1" x14ac:dyDescent="0.25">
      <c r="A138" s="7" t="s">
        <v>58</v>
      </c>
      <c r="B138" s="2" t="s">
        <v>1930</v>
      </c>
      <c r="C138" s="2" t="s">
        <v>1931</v>
      </c>
      <c r="D138" s="2" t="s">
        <v>1932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1933</v>
      </c>
      <c r="L138" s="2" t="s">
        <v>1934</v>
      </c>
      <c r="M138" s="3" t="s">
        <v>1172</v>
      </c>
      <c r="O138" s="3" t="s">
        <v>64</v>
      </c>
      <c r="P138" s="3" t="s">
        <v>65</v>
      </c>
      <c r="R138" s="3" t="s">
        <v>1042</v>
      </c>
      <c r="S138" s="4">
        <v>1</v>
      </c>
      <c r="T138" s="4">
        <v>1</v>
      </c>
      <c r="U138" s="5" t="s">
        <v>1935</v>
      </c>
      <c r="V138" s="5" t="s">
        <v>1935</v>
      </c>
      <c r="W138" s="5" t="s">
        <v>1936</v>
      </c>
      <c r="X138" s="5" t="s">
        <v>1936</v>
      </c>
      <c r="Y138" s="4">
        <v>415</v>
      </c>
      <c r="Z138" s="4">
        <v>400</v>
      </c>
      <c r="AA138" s="4">
        <v>475</v>
      </c>
      <c r="AB138" s="4">
        <v>3</v>
      </c>
      <c r="AC138" s="4">
        <v>4</v>
      </c>
      <c r="AD138" s="4">
        <v>2</v>
      </c>
      <c r="AE138" s="4">
        <v>2</v>
      </c>
      <c r="AF138" s="4">
        <v>1</v>
      </c>
      <c r="AG138" s="4">
        <v>1</v>
      </c>
      <c r="AH138" s="4">
        <v>0</v>
      </c>
      <c r="AI138" s="4">
        <v>0</v>
      </c>
      <c r="AJ138" s="4">
        <v>0</v>
      </c>
      <c r="AK138" s="4">
        <v>0</v>
      </c>
      <c r="AL138" s="4">
        <v>1</v>
      </c>
      <c r="AM138" s="4">
        <v>1</v>
      </c>
      <c r="AN138" s="4">
        <v>0</v>
      </c>
      <c r="AO138" s="4">
        <v>0</v>
      </c>
      <c r="AP138" s="3" t="s">
        <v>58</v>
      </c>
      <c r="AQ138" s="3" t="s">
        <v>58</v>
      </c>
      <c r="AS138" s="6" t="str">
        <f>HYPERLINK("https://creighton-primo.hosted.exlibrisgroup.com/primo-explore/search?tab=default_tab&amp;search_scope=EVERYTHING&amp;vid=01CRU&amp;lang=en_US&amp;offset=0&amp;query=any,contains,991002254479702656","Catalog Record")</f>
        <v>Catalog Record</v>
      </c>
      <c r="AT138" s="6" t="str">
        <f>HYPERLINK("http://www.worldcat.org/oclc/300946","WorldCat Record")</f>
        <v>WorldCat Record</v>
      </c>
      <c r="AU138" s="3" t="s">
        <v>1937</v>
      </c>
      <c r="AV138" s="3" t="s">
        <v>1938</v>
      </c>
      <c r="AW138" s="3" t="s">
        <v>1939</v>
      </c>
      <c r="AX138" s="3" t="s">
        <v>1939</v>
      </c>
      <c r="AY138" s="3" t="s">
        <v>1940</v>
      </c>
      <c r="AZ138" s="3" t="s">
        <v>73</v>
      </c>
      <c r="BC138" s="3" t="s">
        <v>1941</v>
      </c>
      <c r="BD138" s="3" t="s">
        <v>1942</v>
      </c>
    </row>
    <row r="139" spans="1:56" ht="41.25" customHeight="1" x14ac:dyDescent="0.25">
      <c r="A139" s="7" t="s">
        <v>58</v>
      </c>
      <c r="B139" s="2" t="s">
        <v>1943</v>
      </c>
      <c r="C139" s="2" t="s">
        <v>1944</v>
      </c>
      <c r="D139" s="2" t="s">
        <v>1945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1946</v>
      </c>
      <c r="L139" s="2" t="s">
        <v>1947</v>
      </c>
      <c r="M139" s="3" t="s">
        <v>230</v>
      </c>
      <c r="O139" s="3" t="s">
        <v>64</v>
      </c>
      <c r="P139" s="3" t="s">
        <v>698</v>
      </c>
      <c r="R139" s="3" t="s">
        <v>1042</v>
      </c>
      <c r="S139" s="4">
        <v>1</v>
      </c>
      <c r="T139" s="4">
        <v>1</v>
      </c>
      <c r="U139" s="5" t="s">
        <v>1948</v>
      </c>
      <c r="V139" s="5" t="s">
        <v>1948</v>
      </c>
      <c r="W139" s="5" t="s">
        <v>1948</v>
      </c>
      <c r="X139" s="5" t="s">
        <v>1948</v>
      </c>
      <c r="Y139" s="4">
        <v>445</v>
      </c>
      <c r="Z139" s="4">
        <v>419</v>
      </c>
      <c r="AA139" s="4">
        <v>420</v>
      </c>
      <c r="AB139" s="4">
        <v>3</v>
      </c>
      <c r="AC139" s="4">
        <v>3</v>
      </c>
      <c r="AD139" s="4">
        <v>4</v>
      </c>
      <c r="AE139" s="4">
        <v>4</v>
      </c>
      <c r="AF139" s="4">
        <v>0</v>
      </c>
      <c r="AG139" s="4">
        <v>0</v>
      </c>
      <c r="AH139" s="4">
        <v>1</v>
      </c>
      <c r="AI139" s="4">
        <v>1</v>
      </c>
      <c r="AJ139" s="4">
        <v>0</v>
      </c>
      <c r="AK139" s="4">
        <v>0</v>
      </c>
      <c r="AL139" s="4">
        <v>2</v>
      </c>
      <c r="AM139" s="4">
        <v>2</v>
      </c>
      <c r="AN139" s="4">
        <v>1</v>
      </c>
      <c r="AO139" s="4">
        <v>1</v>
      </c>
      <c r="AP139" s="3" t="s">
        <v>58</v>
      </c>
      <c r="AQ139" s="3" t="s">
        <v>58</v>
      </c>
      <c r="AS139" s="6" t="str">
        <f>HYPERLINK("https://creighton-primo.hosted.exlibrisgroup.com/primo-explore/search?tab=default_tab&amp;search_scope=EVERYTHING&amp;vid=01CRU&amp;lang=en_US&amp;offset=0&amp;query=any,contains,991004066849702656","Catalog Record")</f>
        <v>Catalog Record</v>
      </c>
      <c r="AT139" s="6" t="str">
        <f>HYPERLINK("http://www.worldcat.org/oclc/3017769","WorldCat Record")</f>
        <v>WorldCat Record</v>
      </c>
      <c r="AU139" s="3" t="s">
        <v>1949</v>
      </c>
      <c r="AV139" s="3" t="s">
        <v>1950</v>
      </c>
      <c r="AW139" s="3" t="s">
        <v>1951</v>
      </c>
      <c r="AX139" s="3" t="s">
        <v>1951</v>
      </c>
      <c r="AY139" s="3" t="s">
        <v>1952</v>
      </c>
      <c r="AZ139" s="3" t="s">
        <v>73</v>
      </c>
      <c r="BB139" s="3" t="s">
        <v>1953</v>
      </c>
      <c r="BC139" s="3" t="s">
        <v>1954</v>
      </c>
      <c r="BD139" s="3" t="s">
        <v>1955</v>
      </c>
    </row>
    <row r="140" spans="1:56" ht="41.25" customHeight="1" x14ac:dyDescent="0.25">
      <c r="A140" s="7" t="s">
        <v>58</v>
      </c>
      <c r="B140" s="2" t="s">
        <v>1956</v>
      </c>
      <c r="C140" s="2" t="s">
        <v>1957</v>
      </c>
      <c r="D140" s="2" t="s">
        <v>1958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1959</v>
      </c>
      <c r="L140" s="2" t="s">
        <v>1960</v>
      </c>
      <c r="M140" s="3" t="s">
        <v>466</v>
      </c>
      <c r="O140" s="3" t="s">
        <v>64</v>
      </c>
      <c r="P140" s="3" t="s">
        <v>1961</v>
      </c>
      <c r="R140" s="3" t="s">
        <v>1042</v>
      </c>
      <c r="S140" s="4">
        <v>1</v>
      </c>
      <c r="T140" s="4">
        <v>1</v>
      </c>
      <c r="U140" s="5" t="s">
        <v>1962</v>
      </c>
      <c r="V140" s="5" t="s">
        <v>1962</v>
      </c>
      <c r="W140" s="5" t="s">
        <v>1962</v>
      </c>
      <c r="X140" s="5" t="s">
        <v>1962</v>
      </c>
      <c r="Y140" s="4">
        <v>421</v>
      </c>
      <c r="Z140" s="4">
        <v>391</v>
      </c>
      <c r="AA140" s="4">
        <v>396</v>
      </c>
      <c r="AB140" s="4">
        <v>4</v>
      </c>
      <c r="AC140" s="4">
        <v>4</v>
      </c>
      <c r="AD140" s="4">
        <v>5</v>
      </c>
      <c r="AE140" s="4">
        <v>5</v>
      </c>
      <c r="AF140" s="4">
        <v>0</v>
      </c>
      <c r="AG140" s="4">
        <v>0</v>
      </c>
      <c r="AH140" s="4">
        <v>2</v>
      </c>
      <c r="AI140" s="4">
        <v>2</v>
      </c>
      <c r="AJ140" s="4">
        <v>1</v>
      </c>
      <c r="AK140" s="4">
        <v>1</v>
      </c>
      <c r="AL140" s="4">
        <v>2</v>
      </c>
      <c r="AM140" s="4">
        <v>2</v>
      </c>
      <c r="AN140" s="4">
        <v>0</v>
      </c>
      <c r="AO140" s="4">
        <v>0</v>
      </c>
      <c r="AP140" s="3" t="s">
        <v>58</v>
      </c>
      <c r="AQ140" s="3" t="s">
        <v>58</v>
      </c>
      <c r="AS140" s="6" t="str">
        <f>HYPERLINK("https://creighton-primo.hosted.exlibrisgroup.com/primo-explore/search?tab=default_tab&amp;search_scope=EVERYTHING&amp;vid=01CRU&amp;lang=en_US&amp;offset=0&amp;query=any,contains,991004366119702656","Catalog Record")</f>
        <v>Catalog Record</v>
      </c>
      <c r="AT140" s="6" t="str">
        <f>HYPERLINK("http://www.worldcat.org/oclc/15792500","WorldCat Record")</f>
        <v>WorldCat Record</v>
      </c>
      <c r="AU140" s="3" t="s">
        <v>1963</v>
      </c>
      <c r="AV140" s="3" t="s">
        <v>1964</v>
      </c>
      <c r="AW140" s="3" t="s">
        <v>1965</v>
      </c>
      <c r="AX140" s="3" t="s">
        <v>1965</v>
      </c>
      <c r="AY140" s="3" t="s">
        <v>1966</v>
      </c>
      <c r="AZ140" s="3" t="s">
        <v>73</v>
      </c>
      <c r="BB140" s="3" t="s">
        <v>1967</v>
      </c>
      <c r="BC140" s="3" t="s">
        <v>1968</v>
      </c>
      <c r="BD140" s="3" t="s">
        <v>1969</v>
      </c>
    </row>
    <row r="141" spans="1:56" ht="41.25" customHeight="1" x14ac:dyDescent="0.25">
      <c r="A141" s="7" t="s">
        <v>58</v>
      </c>
      <c r="B141" s="2" t="s">
        <v>1970</v>
      </c>
      <c r="C141" s="2" t="s">
        <v>1971</v>
      </c>
      <c r="D141" s="2" t="s">
        <v>1972</v>
      </c>
      <c r="F141" s="3" t="s">
        <v>58</v>
      </c>
      <c r="G141" s="3" t="s">
        <v>59</v>
      </c>
      <c r="H141" s="3" t="s">
        <v>58</v>
      </c>
      <c r="I141" s="3" t="s">
        <v>85</v>
      </c>
      <c r="J141" s="3" t="s">
        <v>60</v>
      </c>
      <c r="K141" s="2" t="s">
        <v>1973</v>
      </c>
      <c r="L141" s="2" t="s">
        <v>1974</v>
      </c>
      <c r="M141" s="3" t="s">
        <v>437</v>
      </c>
      <c r="N141" s="2" t="s">
        <v>528</v>
      </c>
      <c r="O141" s="3" t="s">
        <v>64</v>
      </c>
      <c r="P141" s="3" t="s">
        <v>65</v>
      </c>
      <c r="R141" s="3" t="s">
        <v>1042</v>
      </c>
      <c r="S141" s="4">
        <v>11</v>
      </c>
      <c r="T141" s="4">
        <v>11</v>
      </c>
      <c r="U141" s="5" t="s">
        <v>1701</v>
      </c>
      <c r="V141" s="5" t="s">
        <v>1701</v>
      </c>
      <c r="W141" s="5" t="s">
        <v>1044</v>
      </c>
      <c r="X141" s="5" t="s">
        <v>1044</v>
      </c>
      <c r="Y141" s="4">
        <v>379</v>
      </c>
      <c r="Z141" s="4">
        <v>348</v>
      </c>
      <c r="AA141" s="4">
        <v>538</v>
      </c>
      <c r="AB141" s="4">
        <v>1</v>
      </c>
      <c r="AC141" s="4">
        <v>3</v>
      </c>
      <c r="AD141" s="4">
        <v>11</v>
      </c>
      <c r="AE141" s="4">
        <v>26</v>
      </c>
      <c r="AF141" s="4">
        <v>4</v>
      </c>
      <c r="AG141" s="4">
        <v>14</v>
      </c>
      <c r="AH141" s="4">
        <v>4</v>
      </c>
      <c r="AI141" s="4">
        <v>5</v>
      </c>
      <c r="AJ141" s="4">
        <v>5</v>
      </c>
      <c r="AK141" s="4">
        <v>12</v>
      </c>
      <c r="AL141" s="4">
        <v>0</v>
      </c>
      <c r="AM141" s="4">
        <v>2</v>
      </c>
      <c r="AN141" s="4">
        <v>0</v>
      </c>
      <c r="AO141" s="4">
        <v>0</v>
      </c>
      <c r="AP141" s="3" t="s">
        <v>58</v>
      </c>
      <c r="AQ141" s="3" t="s">
        <v>85</v>
      </c>
      <c r="AR141" s="6" t="str">
        <f>HYPERLINK("http://catalog.hathitrust.org/Record/000760571","HathiTrust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HYPERLINK("https://creighton-primo.hosted.exlibrisgroup.com/primo-explore/search?tab=default_tab&amp;search_scope=EVERYTHING&amp;vid=01CRU&amp;lang=en_US&amp;offset=0&amp;query=any,contains,991005117559702656","Catalog Record")</f>
        <v>Catalog Record</v>
      </c>
      <c r="AT141" s="6" t="str">
        <f>HYPERLINK("http://www.worldcat.org/oclc/7464495","WorldCat Record")</f>
        <v>WorldCat Record</v>
      </c>
      <c r="AU141" s="3" t="s">
        <v>1975</v>
      </c>
      <c r="AV141" s="3" t="s">
        <v>1976</v>
      </c>
      <c r="AW141" s="3" t="s">
        <v>1977</v>
      </c>
      <c r="AX141" s="3" t="s">
        <v>1977</v>
      </c>
      <c r="AY141" s="3" t="s">
        <v>1978</v>
      </c>
      <c r="AZ141" s="3" t="s">
        <v>73</v>
      </c>
      <c r="BB141" s="3" t="s">
        <v>1979</v>
      </c>
      <c r="BC141" s="3" t="s">
        <v>1980</v>
      </c>
      <c r="BD141" s="3" t="s">
        <v>1981</v>
      </c>
    </row>
    <row r="142" spans="1:56" ht="41.25" customHeight="1" x14ac:dyDescent="0.25">
      <c r="A142" s="7" t="s">
        <v>58</v>
      </c>
      <c r="B142" s="2" t="s">
        <v>1982</v>
      </c>
      <c r="C142" s="2" t="s">
        <v>1983</v>
      </c>
      <c r="D142" s="2" t="s">
        <v>1984</v>
      </c>
      <c r="F142" s="3" t="s">
        <v>58</v>
      </c>
      <c r="G142" s="3" t="s">
        <v>59</v>
      </c>
      <c r="H142" s="3" t="s">
        <v>58</v>
      </c>
      <c r="I142" s="3" t="s">
        <v>85</v>
      </c>
      <c r="J142" s="3" t="s">
        <v>60</v>
      </c>
      <c r="K142" s="2" t="s">
        <v>1973</v>
      </c>
      <c r="L142" s="2" t="s">
        <v>1985</v>
      </c>
      <c r="M142" s="3" t="s">
        <v>1558</v>
      </c>
      <c r="O142" s="3" t="s">
        <v>64</v>
      </c>
      <c r="P142" s="3" t="s">
        <v>1574</v>
      </c>
      <c r="R142" s="3" t="s">
        <v>1042</v>
      </c>
      <c r="S142" s="4">
        <v>5</v>
      </c>
      <c r="T142" s="4">
        <v>5</v>
      </c>
      <c r="U142" s="5" t="s">
        <v>1986</v>
      </c>
      <c r="V142" s="5" t="s">
        <v>1986</v>
      </c>
      <c r="W142" s="5" t="s">
        <v>1987</v>
      </c>
      <c r="X142" s="5" t="s">
        <v>1987</v>
      </c>
      <c r="Y142" s="4">
        <v>308</v>
      </c>
      <c r="Z142" s="4">
        <v>263</v>
      </c>
      <c r="AA142" s="4">
        <v>538</v>
      </c>
      <c r="AB142" s="4">
        <v>3</v>
      </c>
      <c r="AC142" s="4">
        <v>3</v>
      </c>
      <c r="AD142" s="4">
        <v>16</v>
      </c>
      <c r="AE142" s="4">
        <v>26</v>
      </c>
      <c r="AF142" s="4">
        <v>11</v>
      </c>
      <c r="AG142" s="4">
        <v>14</v>
      </c>
      <c r="AH142" s="4">
        <v>1</v>
      </c>
      <c r="AI142" s="4">
        <v>5</v>
      </c>
      <c r="AJ142" s="4">
        <v>7</v>
      </c>
      <c r="AK142" s="4">
        <v>12</v>
      </c>
      <c r="AL142" s="4">
        <v>2</v>
      </c>
      <c r="AM142" s="4">
        <v>2</v>
      </c>
      <c r="AN142" s="4">
        <v>0</v>
      </c>
      <c r="AO142" s="4">
        <v>0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HYPERLINK("https://creighton-primo.hosted.exlibrisgroup.com/primo-explore/search?tab=default_tab&amp;search_scope=EVERYTHING&amp;vid=01CRU&amp;lang=en_US&amp;offset=0&amp;query=any,contains,991002222329702656","Catalog Record")</f>
        <v>Catalog Record</v>
      </c>
      <c r="AT142" s="6" t="str">
        <f>HYPERLINK("http://www.worldcat.org/oclc/28631803","WorldCat Record")</f>
        <v>WorldCat Record</v>
      </c>
      <c r="AU142" s="3" t="s">
        <v>1975</v>
      </c>
      <c r="AV142" s="3" t="s">
        <v>1988</v>
      </c>
      <c r="AW142" s="3" t="s">
        <v>1989</v>
      </c>
      <c r="AX142" s="3" t="s">
        <v>1989</v>
      </c>
      <c r="AY142" s="3" t="s">
        <v>1990</v>
      </c>
      <c r="AZ142" s="3" t="s">
        <v>73</v>
      </c>
      <c r="BB142" s="3" t="s">
        <v>1991</v>
      </c>
      <c r="BC142" s="3" t="s">
        <v>1992</v>
      </c>
      <c r="BD142" s="3" t="s">
        <v>1993</v>
      </c>
    </row>
    <row r="143" spans="1:56" ht="41.25" customHeight="1" x14ac:dyDescent="0.25">
      <c r="A143" s="7" t="s">
        <v>58</v>
      </c>
      <c r="B143" s="2" t="s">
        <v>1994</v>
      </c>
      <c r="C143" s="2" t="s">
        <v>1995</v>
      </c>
      <c r="D143" s="2" t="s">
        <v>1996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1997</v>
      </c>
      <c r="L143" s="2" t="s">
        <v>1998</v>
      </c>
      <c r="M143" s="3" t="s">
        <v>1025</v>
      </c>
      <c r="N143" s="2" t="s">
        <v>1999</v>
      </c>
      <c r="O143" s="3" t="s">
        <v>64</v>
      </c>
      <c r="P143" s="3" t="s">
        <v>65</v>
      </c>
      <c r="Q143" s="2" t="s">
        <v>2000</v>
      </c>
      <c r="R143" s="3" t="s">
        <v>1042</v>
      </c>
      <c r="S143" s="4">
        <v>4</v>
      </c>
      <c r="T143" s="4">
        <v>4</v>
      </c>
      <c r="U143" s="5" t="s">
        <v>2001</v>
      </c>
      <c r="V143" s="5" t="s">
        <v>2001</v>
      </c>
      <c r="W143" s="5" t="s">
        <v>1716</v>
      </c>
      <c r="X143" s="5" t="s">
        <v>1716</v>
      </c>
      <c r="Y143" s="4">
        <v>82</v>
      </c>
      <c r="Z143" s="4">
        <v>71</v>
      </c>
      <c r="AA143" s="4">
        <v>78</v>
      </c>
      <c r="AB143" s="4">
        <v>1</v>
      </c>
      <c r="AC143" s="4">
        <v>1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HYPERLINK("https://creighton-primo.hosted.exlibrisgroup.com/primo-explore/search?tab=default_tab&amp;search_scope=EVERYTHING&amp;vid=01CRU&amp;lang=en_US&amp;offset=0&amp;query=any,contains,991002372639702656","Catalog Record")</f>
        <v>Catalog Record</v>
      </c>
      <c r="AT143" s="6" t="str">
        <f>HYPERLINK("http://www.worldcat.org/oclc/30867764","WorldCat Record")</f>
        <v>WorldCat Record</v>
      </c>
      <c r="AU143" s="3" t="s">
        <v>2002</v>
      </c>
      <c r="AV143" s="3" t="s">
        <v>2003</v>
      </c>
      <c r="AW143" s="3" t="s">
        <v>2004</v>
      </c>
      <c r="AX143" s="3" t="s">
        <v>2004</v>
      </c>
      <c r="AY143" s="3" t="s">
        <v>2005</v>
      </c>
      <c r="AZ143" s="3" t="s">
        <v>73</v>
      </c>
      <c r="BB143" s="3" t="s">
        <v>2006</v>
      </c>
      <c r="BC143" s="3" t="s">
        <v>2007</v>
      </c>
      <c r="BD143" s="3" t="s">
        <v>2008</v>
      </c>
    </row>
    <row r="144" spans="1:56" ht="41.25" customHeight="1" x14ac:dyDescent="0.25">
      <c r="A144" s="7" t="s">
        <v>58</v>
      </c>
      <c r="B144" s="2" t="s">
        <v>2009</v>
      </c>
      <c r="C144" s="2" t="s">
        <v>2010</v>
      </c>
      <c r="D144" s="2" t="s">
        <v>2011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2012</v>
      </c>
      <c r="L144" s="2" t="s">
        <v>2013</v>
      </c>
      <c r="M144" s="3" t="s">
        <v>1558</v>
      </c>
      <c r="N144" s="2" t="s">
        <v>2014</v>
      </c>
      <c r="O144" s="3" t="s">
        <v>64</v>
      </c>
      <c r="P144" s="3" t="s">
        <v>1225</v>
      </c>
      <c r="R144" s="3" t="s">
        <v>1042</v>
      </c>
      <c r="S144" s="4">
        <v>5</v>
      </c>
      <c r="T144" s="4">
        <v>5</v>
      </c>
      <c r="U144" s="5" t="s">
        <v>1519</v>
      </c>
      <c r="V144" s="5" t="s">
        <v>1519</v>
      </c>
      <c r="W144" s="5" t="s">
        <v>2015</v>
      </c>
      <c r="X144" s="5" t="s">
        <v>2015</v>
      </c>
      <c r="Y144" s="4">
        <v>43</v>
      </c>
      <c r="Z144" s="4">
        <v>41</v>
      </c>
      <c r="AA144" s="4">
        <v>92</v>
      </c>
      <c r="AB144" s="4">
        <v>1</v>
      </c>
      <c r="AC144" s="4">
        <v>1</v>
      </c>
      <c r="AD144" s="4">
        <v>0</v>
      </c>
      <c r="AE144" s="4">
        <v>1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1</v>
      </c>
      <c r="AL144" s="4">
        <v>0</v>
      </c>
      <c r="AM144" s="4">
        <v>0</v>
      </c>
      <c r="AN144" s="4">
        <v>0</v>
      </c>
      <c r="AO144" s="4">
        <v>0</v>
      </c>
      <c r="AP144" s="3" t="s">
        <v>58</v>
      </c>
      <c r="AQ144" s="3" t="s">
        <v>58</v>
      </c>
      <c r="AS144" s="6" t="str">
        <f>HYPERLINK("https://creighton-primo.hosted.exlibrisgroup.com/primo-explore/search?tab=default_tab&amp;search_scope=EVERYTHING&amp;vid=01CRU&amp;lang=en_US&amp;offset=0&amp;query=any,contains,991002241509702656","Catalog Record")</f>
        <v>Catalog Record</v>
      </c>
      <c r="AT144" s="6" t="str">
        <f>HYPERLINK("http://www.worldcat.org/oclc/28930497","WorldCat Record")</f>
        <v>WorldCat Record</v>
      </c>
      <c r="AU144" s="3" t="s">
        <v>2016</v>
      </c>
      <c r="AV144" s="3" t="s">
        <v>2017</v>
      </c>
      <c r="AW144" s="3" t="s">
        <v>2018</v>
      </c>
      <c r="AX144" s="3" t="s">
        <v>2018</v>
      </c>
      <c r="AY144" s="3" t="s">
        <v>2019</v>
      </c>
      <c r="AZ144" s="3" t="s">
        <v>73</v>
      </c>
      <c r="BB144" s="3" t="s">
        <v>2020</v>
      </c>
      <c r="BC144" s="3" t="s">
        <v>2021</v>
      </c>
      <c r="BD144" s="3" t="s">
        <v>2022</v>
      </c>
    </row>
    <row r="145" spans="1:56" ht="41.25" customHeight="1" x14ac:dyDescent="0.25">
      <c r="A145" s="7" t="s">
        <v>58</v>
      </c>
      <c r="B145" s="2" t="s">
        <v>2023</v>
      </c>
      <c r="C145" s="2" t="s">
        <v>2024</v>
      </c>
      <c r="D145" s="2" t="s">
        <v>2025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2026</v>
      </c>
      <c r="L145" s="2" t="s">
        <v>2027</v>
      </c>
      <c r="M145" s="3" t="s">
        <v>132</v>
      </c>
      <c r="O145" s="3" t="s">
        <v>64</v>
      </c>
      <c r="P145" s="3" t="s">
        <v>65</v>
      </c>
      <c r="R145" s="3" t="s">
        <v>1042</v>
      </c>
      <c r="S145" s="4">
        <v>1</v>
      </c>
      <c r="T145" s="4">
        <v>1</v>
      </c>
      <c r="U145" s="5" t="s">
        <v>2028</v>
      </c>
      <c r="V145" s="5" t="s">
        <v>2028</v>
      </c>
      <c r="W145" s="5" t="s">
        <v>1044</v>
      </c>
      <c r="X145" s="5" t="s">
        <v>1044</v>
      </c>
      <c r="Y145" s="4">
        <v>291</v>
      </c>
      <c r="Z145" s="4">
        <v>237</v>
      </c>
      <c r="AA145" s="4">
        <v>242</v>
      </c>
      <c r="AB145" s="4">
        <v>3</v>
      </c>
      <c r="AC145" s="4">
        <v>3</v>
      </c>
      <c r="AD145" s="4">
        <v>4</v>
      </c>
      <c r="AE145" s="4">
        <v>4</v>
      </c>
      <c r="AF145" s="4">
        <v>1</v>
      </c>
      <c r="AG145" s="4">
        <v>1</v>
      </c>
      <c r="AH145" s="4">
        <v>1</v>
      </c>
      <c r="AI145" s="4">
        <v>1</v>
      </c>
      <c r="AJ145" s="4">
        <v>0</v>
      </c>
      <c r="AK145" s="4">
        <v>0</v>
      </c>
      <c r="AL145" s="4">
        <v>2</v>
      </c>
      <c r="AM145" s="4">
        <v>2</v>
      </c>
      <c r="AN145" s="4">
        <v>0</v>
      </c>
      <c r="AO145" s="4">
        <v>0</v>
      </c>
      <c r="AP145" s="3" t="s">
        <v>58</v>
      </c>
      <c r="AQ145" s="3" t="s">
        <v>85</v>
      </c>
      <c r="AR145" s="6" t="str">
        <f>HYPERLINK("http://catalog.hathitrust.org/Record/001046143","HathiTrust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HYPERLINK("https://creighton-primo.hosted.exlibrisgroup.com/primo-explore/search?tab=default_tab&amp;search_scope=EVERYTHING&amp;vid=01CRU&amp;lang=en_US&amp;offset=0&amp;query=any,contains,991001287429702656","Catalog Record")</f>
        <v>Catalog Record</v>
      </c>
      <c r="AT145" s="6" t="str">
        <f>HYPERLINK("http://www.worldcat.org/oclc/216887","WorldCat Record")</f>
        <v>WorldCat Record</v>
      </c>
      <c r="AU145" s="3" t="s">
        <v>2029</v>
      </c>
      <c r="AV145" s="3" t="s">
        <v>2030</v>
      </c>
      <c r="AW145" s="3" t="s">
        <v>2031</v>
      </c>
      <c r="AX145" s="3" t="s">
        <v>2031</v>
      </c>
      <c r="AY145" s="3" t="s">
        <v>2032</v>
      </c>
      <c r="AZ145" s="3" t="s">
        <v>73</v>
      </c>
      <c r="BC145" s="3" t="s">
        <v>2033</v>
      </c>
      <c r="BD145" s="3" t="s">
        <v>2034</v>
      </c>
    </row>
    <row r="146" spans="1:56" ht="41.25" customHeight="1" x14ac:dyDescent="0.25">
      <c r="A146" s="7" t="s">
        <v>58</v>
      </c>
      <c r="B146" s="2" t="s">
        <v>2035</v>
      </c>
      <c r="C146" s="2" t="s">
        <v>2036</v>
      </c>
      <c r="D146" s="2" t="s">
        <v>2037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2038</v>
      </c>
      <c r="L146" s="2" t="s">
        <v>2039</v>
      </c>
      <c r="M146" s="3" t="s">
        <v>2040</v>
      </c>
      <c r="O146" s="3" t="s">
        <v>64</v>
      </c>
      <c r="P146" s="3" t="s">
        <v>65</v>
      </c>
      <c r="R146" s="3" t="s">
        <v>1042</v>
      </c>
      <c r="S146" s="4">
        <v>10</v>
      </c>
      <c r="T146" s="4">
        <v>10</v>
      </c>
      <c r="U146" s="5" t="s">
        <v>2041</v>
      </c>
      <c r="V146" s="5" t="s">
        <v>2041</v>
      </c>
      <c r="W146" s="5" t="s">
        <v>2042</v>
      </c>
      <c r="X146" s="5" t="s">
        <v>2042</v>
      </c>
      <c r="Y146" s="4">
        <v>110</v>
      </c>
      <c r="Z146" s="4">
        <v>100</v>
      </c>
      <c r="AA146" s="4">
        <v>101</v>
      </c>
      <c r="AB146" s="4">
        <v>2</v>
      </c>
      <c r="AC146" s="4">
        <v>2</v>
      </c>
      <c r="AD146" s="4">
        <v>3</v>
      </c>
      <c r="AE146" s="4">
        <v>3</v>
      </c>
      <c r="AF146" s="4">
        <v>2</v>
      </c>
      <c r="AG146" s="4">
        <v>2</v>
      </c>
      <c r="AH146" s="4">
        <v>0</v>
      </c>
      <c r="AI146" s="4">
        <v>0</v>
      </c>
      <c r="AJ146" s="4">
        <v>0</v>
      </c>
      <c r="AK146" s="4">
        <v>0</v>
      </c>
      <c r="AL146" s="4">
        <v>1</v>
      </c>
      <c r="AM146" s="4">
        <v>1</v>
      </c>
      <c r="AN146" s="4">
        <v>0</v>
      </c>
      <c r="AO146" s="4">
        <v>0</v>
      </c>
      <c r="AP146" s="3" t="s">
        <v>58</v>
      </c>
      <c r="AQ146" s="3" t="s">
        <v>85</v>
      </c>
      <c r="AR146" s="6" t="str">
        <f>HYPERLINK("http://catalog.hathitrust.org/Record/006913072","HathiTrust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HYPERLINK("https://creighton-primo.hosted.exlibrisgroup.com/primo-explore/search?tab=default_tab&amp;search_scope=EVERYTHING&amp;vid=01CRU&amp;lang=en_US&amp;offset=0&amp;query=any,contains,991003854239702656","Catalog Record")</f>
        <v>Catalog Record</v>
      </c>
      <c r="AT146" s="6" t="str">
        <f>HYPERLINK("http://www.worldcat.org/oclc/1650977","WorldCat Record")</f>
        <v>WorldCat Record</v>
      </c>
      <c r="AU146" s="3" t="s">
        <v>2043</v>
      </c>
      <c r="AV146" s="3" t="s">
        <v>2044</v>
      </c>
      <c r="AW146" s="3" t="s">
        <v>2045</v>
      </c>
      <c r="AX146" s="3" t="s">
        <v>2045</v>
      </c>
      <c r="AY146" s="3" t="s">
        <v>2046</v>
      </c>
      <c r="AZ146" s="3" t="s">
        <v>73</v>
      </c>
      <c r="BC146" s="3" t="s">
        <v>2047</v>
      </c>
      <c r="BD146" s="3" t="s">
        <v>2048</v>
      </c>
    </row>
    <row r="147" spans="1:56" ht="41.25" customHeight="1" x14ac:dyDescent="0.25">
      <c r="A147" s="7" t="s">
        <v>58</v>
      </c>
      <c r="B147" s="2" t="s">
        <v>2049</v>
      </c>
      <c r="C147" s="2" t="s">
        <v>2050</v>
      </c>
      <c r="D147" s="2" t="s">
        <v>2051</v>
      </c>
      <c r="F147" s="3" t="s">
        <v>58</v>
      </c>
      <c r="G147" s="3" t="s">
        <v>59</v>
      </c>
      <c r="H147" s="3" t="s">
        <v>85</v>
      </c>
      <c r="I147" s="3" t="s">
        <v>58</v>
      </c>
      <c r="J147" s="3" t="s">
        <v>60</v>
      </c>
      <c r="K147" s="2" t="s">
        <v>2052</v>
      </c>
      <c r="L147" s="2" t="s">
        <v>2053</v>
      </c>
      <c r="M147" s="3" t="s">
        <v>372</v>
      </c>
      <c r="O147" s="3" t="s">
        <v>64</v>
      </c>
      <c r="P147" s="3" t="s">
        <v>1130</v>
      </c>
      <c r="R147" s="3" t="s">
        <v>1042</v>
      </c>
      <c r="S147" s="4">
        <v>4</v>
      </c>
      <c r="T147" s="4">
        <v>8</v>
      </c>
      <c r="U147" s="5" t="s">
        <v>2054</v>
      </c>
      <c r="V147" s="5" t="s">
        <v>2055</v>
      </c>
      <c r="W147" s="5" t="s">
        <v>2056</v>
      </c>
      <c r="X147" s="5" t="s">
        <v>2056</v>
      </c>
      <c r="Y147" s="4">
        <v>710</v>
      </c>
      <c r="Z147" s="4">
        <v>605</v>
      </c>
      <c r="AA147" s="4">
        <v>611</v>
      </c>
      <c r="AB147" s="4">
        <v>8</v>
      </c>
      <c r="AC147" s="4">
        <v>8</v>
      </c>
      <c r="AD147" s="4">
        <v>21</v>
      </c>
      <c r="AE147" s="4">
        <v>21</v>
      </c>
      <c r="AF147" s="4">
        <v>9</v>
      </c>
      <c r="AG147" s="4">
        <v>9</v>
      </c>
      <c r="AH147" s="4">
        <v>4</v>
      </c>
      <c r="AI147" s="4">
        <v>4</v>
      </c>
      <c r="AJ147" s="4">
        <v>6</v>
      </c>
      <c r="AK147" s="4">
        <v>6</v>
      </c>
      <c r="AL147" s="4">
        <v>6</v>
      </c>
      <c r="AM147" s="4">
        <v>6</v>
      </c>
      <c r="AN147" s="4">
        <v>0</v>
      </c>
      <c r="AO147" s="4">
        <v>0</v>
      </c>
      <c r="AP147" s="3" t="s">
        <v>58</v>
      </c>
      <c r="AQ147" s="3" t="s">
        <v>85</v>
      </c>
      <c r="AR147" s="6" t="str">
        <f>HYPERLINK("http://catalog.hathitrust.org/Record/004523035","HathiTrust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HYPERLINK("https://creighton-primo.hosted.exlibrisgroup.com/primo-explore/search?tab=default_tab&amp;search_scope=EVERYTHING&amp;vid=01CRU&amp;lang=en_US&amp;offset=0&amp;query=any,contains,991001721279702656","Catalog Record")</f>
        <v>Catalog Record</v>
      </c>
      <c r="AT147" s="6" t="str">
        <f>HYPERLINK("http://www.worldcat.org/oclc/21764264","WorldCat Record")</f>
        <v>WorldCat Record</v>
      </c>
      <c r="AU147" s="3" t="s">
        <v>2057</v>
      </c>
      <c r="AV147" s="3" t="s">
        <v>2058</v>
      </c>
      <c r="AW147" s="3" t="s">
        <v>2059</v>
      </c>
      <c r="AX147" s="3" t="s">
        <v>2059</v>
      </c>
      <c r="AY147" s="3" t="s">
        <v>2060</v>
      </c>
      <c r="AZ147" s="3" t="s">
        <v>73</v>
      </c>
      <c r="BB147" s="3" t="s">
        <v>2061</v>
      </c>
      <c r="BC147" s="3" t="s">
        <v>2062</v>
      </c>
      <c r="BD147" s="3" t="s">
        <v>2063</v>
      </c>
    </row>
    <row r="148" spans="1:56" ht="41.25" customHeight="1" x14ac:dyDescent="0.25">
      <c r="A148" s="7" t="s">
        <v>58</v>
      </c>
      <c r="B148" s="2" t="s">
        <v>2049</v>
      </c>
      <c r="C148" s="2" t="s">
        <v>2050</v>
      </c>
      <c r="D148" s="2" t="s">
        <v>2051</v>
      </c>
      <c r="F148" s="3" t="s">
        <v>58</v>
      </c>
      <c r="G148" s="3" t="s">
        <v>59</v>
      </c>
      <c r="H148" s="3" t="s">
        <v>85</v>
      </c>
      <c r="I148" s="3" t="s">
        <v>58</v>
      </c>
      <c r="J148" s="3" t="s">
        <v>60</v>
      </c>
      <c r="K148" s="2" t="s">
        <v>2052</v>
      </c>
      <c r="L148" s="2" t="s">
        <v>2053</v>
      </c>
      <c r="M148" s="3" t="s">
        <v>372</v>
      </c>
      <c r="O148" s="3" t="s">
        <v>64</v>
      </c>
      <c r="P148" s="3" t="s">
        <v>1130</v>
      </c>
      <c r="R148" s="3" t="s">
        <v>1042</v>
      </c>
      <c r="S148" s="4">
        <v>4</v>
      </c>
      <c r="T148" s="4">
        <v>8</v>
      </c>
      <c r="U148" s="5" t="s">
        <v>2055</v>
      </c>
      <c r="V148" s="5" t="s">
        <v>2055</v>
      </c>
      <c r="W148" s="5" t="s">
        <v>2056</v>
      </c>
      <c r="X148" s="5" t="s">
        <v>2056</v>
      </c>
      <c r="Y148" s="4">
        <v>710</v>
      </c>
      <c r="Z148" s="4">
        <v>605</v>
      </c>
      <c r="AA148" s="4">
        <v>611</v>
      </c>
      <c r="AB148" s="4">
        <v>8</v>
      </c>
      <c r="AC148" s="4">
        <v>8</v>
      </c>
      <c r="AD148" s="4">
        <v>21</v>
      </c>
      <c r="AE148" s="4">
        <v>21</v>
      </c>
      <c r="AF148" s="4">
        <v>9</v>
      </c>
      <c r="AG148" s="4">
        <v>9</v>
      </c>
      <c r="AH148" s="4">
        <v>4</v>
      </c>
      <c r="AI148" s="4">
        <v>4</v>
      </c>
      <c r="AJ148" s="4">
        <v>6</v>
      </c>
      <c r="AK148" s="4">
        <v>6</v>
      </c>
      <c r="AL148" s="4">
        <v>6</v>
      </c>
      <c r="AM148" s="4">
        <v>6</v>
      </c>
      <c r="AN148" s="4">
        <v>0</v>
      </c>
      <c r="AO148" s="4">
        <v>0</v>
      </c>
      <c r="AP148" s="3" t="s">
        <v>58</v>
      </c>
      <c r="AQ148" s="3" t="s">
        <v>85</v>
      </c>
      <c r="AR148" s="6" t="str">
        <f>HYPERLINK("http://catalog.hathitrust.org/Record/004523035","HathiTrust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HYPERLINK("https://creighton-primo.hosted.exlibrisgroup.com/primo-explore/search?tab=default_tab&amp;search_scope=EVERYTHING&amp;vid=01CRU&amp;lang=en_US&amp;offset=0&amp;query=any,contains,991001721279702656","Catalog Record")</f>
        <v>Catalog Record</v>
      </c>
      <c r="AT148" s="6" t="str">
        <f>HYPERLINK("http://www.worldcat.org/oclc/21764264","WorldCat Record")</f>
        <v>WorldCat Record</v>
      </c>
      <c r="AU148" s="3" t="s">
        <v>2057</v>
      </c>
      <c r="AV148" s="3" t="s">
        <v>2058</v>
      </c>
      <c r="AW148" s="3" t="s">
        <v>2059</v>
      </c>
      <c r="AX148" s="3" t="s">
        <v>2059</v>
      </c>
      <c r="AY148" s="3" t="s">
        <v>2060</v>
      </c>
      <c r="AZ148" s="3" t="s">
        <v>73</v>
      </c>
      <c r="BB148" s="3" t="s">
        <v>2061</v>
      </c>
      <c r="BC148" s="3" t="s">
        <v>2064</v>
      </c>
      <c r="BD148" s="3" t="s">
        <v>2065</v>
      </c>
    </row>
    <row r="149" spans="1:56" ht="41.25" customHeight="1" x14ac:dyDescent="0.25">
      <c r="A149" s="7" t="s">
        <v>58</v>
      </c>
      <c r="B149" s="2" t="s">
        <v>2066</v>
      </c>
      <c r="C149" s="2" t="s">
        <v>2067</v>
      </c>
      <c r="D149" s="2" t="s">
        <v>2068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2069</v>
      </c>
      <c r="L149" s="2" t="s">
        <v>2070</v>
      </c>
      <c r="M149" s="3" t="s">
        <v>868</v>
      </c>
      <c r="O149" s="3" t="s">
        <v>64</v>
      </c>
      <c r="P149" s="3" t="s">
        <v>65</v>
      </c>
      <c r="R149" s="3" t="s">
        <v>1042</v>
      </c>
      <c r="S149" s="4">
        <v>9</v>
      </c>
      <c r="T149" s="4">
        <v>9</v>
      </c>
      <c r="U149" s="5" t="s">
        <v>2071</v>
      </c>
      <c r="V149" s="5" t="s">
        <v>2071</v>
      </c>
      <c r="W149" s="5" t="s">
        <v>2072</v>
      </c>
      <c r="X149" s="5" t="s">
        <v>2072</v>
      </c>
      <c r="Y149" s="4">
        <v>68</v>
      </c>
      <c r="Z149" s="4">
        <v>66</v>
      </c>
      <c r="AA149" s="4">
        <v>592</v>
      </c>
      <c r="AB149" s="4">
        <v>2</v>
      </c>
      <c r="AC149" s="4">
        <v>2</v>
      </c>
      <c r="AD149" s="4">
        <v>2</v>
      </c>
      <c r="AE149" s="4">
        <v>6</v>
      </c>
      <c r="AF149" s="4">
        <v>0</v>
      </c>
      <c r="AG149" s="4">
        <v>2</v>
      </c>
      <c r="AH149" s="4">
        <v>0</v>
      </c>
      <c r="AI149" s="4">
        <v>1</v>
      </c>
      <c r="AJ149" s="4">
        <v>1</v>
      </c>
      <c r="AK149" s="4">
        <v>4</v>
      </c>
      <c r="AL149" s="4">
        <v>1</v>
      </c>
      <c r="AM149" s="4">
        <v>1</v>
      </c>
      <c r="AN149" s="4">
        <v>0</v>
      </c>
      <c r="AO149" s="4">
        <v>0</v>
      </c>
      <c r="AP149" s="3" t="s">
        <v>58</v>
      </c>
      <c r="AQ149" s="3" t="s">
        <v>58</v>
      </c>
      <c r="AS149" s="6" t="str">
        <f>HYPERLINK("https://creighton-primo.hosted.exlibrisgroup.com/primo-explore/search?tab=default_tab&amp;search_scope=EVERYTHING&amp;vid=01CRU&amp;lang=en_US&amp;offset=0&amp;query=any,contains,991000743949702656","Catalog Record")</f>
        <v>Catalog Record</v>
      </c>
      <c r="AT149" s="6" t="str">
        <f>HYPERLINK("http://www.worldcat.org/oclc/12822179","WorldCat Record")</f>
        <v>WorldCat Record</v>
      </c>
      <c r="AU149" s="3" t="s">
        <v>2073</v>
      </c>
      <c r="AV149" s="3" t="s">
        <v>2074</v>
      </c>
      <c r="AW149" s="3" t="s">
        <v>2075</v>
      </c>
      <c r="AX149" s="3" t="s">
        <v>2075</v>
      </c>
      <c r="AY149" s="3" t="s">
        <v>2076</v>
      </c>
      <c r="AZ149" s="3" t="s">
        <v>73</v>
      </c>
      <c r="BB149" s="3" t="s">
        <v>2077</v>
      </c>
      <c r="BC149" s="3" t="s">
        <v>2078</v>
      </c>
      <c r="BD149" s="3" t="s">
        <v>2079</v>
      </c>
    </row>
    <row r="150" spans="1:56" ht="41.25" customHeight="1" x14ac:dyDescent="0.25">
      <c r="A150" s="7" t="s">
        <v>58</v>
      </c>
      <c r="B150" s="2" t="s">
        <v>2080</v>
      </c>
      <c r="C150" s="2" t="s">
        <v>2081</v>
      </c>
      <c r="D150" s="2" t="s">
        <v>2082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2083</v>
      </c>
      <c r="L150" s="2" t="s">
        <v>2084</v>
      </c>
      <c r="M150" s="3" t="s">
        <v>626</v>
      </c>
      <c r="N150" s="2" t="s">
        <v>2085</v>
      </c>
      <c r="O150" s="3" t="s">
        <v>64</v>
      </c>
      <c r="P150" s="3" t="s">
        <v>755</v>
      </c>
      <c r="R150" s="3" t="s">
        <v>1042</v>
      </c>
      <c r="S150" s="4">
        <v>3</v>
      </c>
      <c r="T150" s="4">
        <v>3</v>
      </c>
      <c r="U150" s="5" t="s">
        <v>2086</v>
      </c>
      <c r="V150" s="5" t="s">
        <v>2086</v>
      </c>
      <c r="W150" s="5" t="s">
        <v>2087</v>
      </c>
      <c r="X150" s="5" t="s">
        <v>2087</v>
      </c>
      <c r="Y150" s="4">
        <v>190</v>
      </c>
      <c r="Z150" s="4">
        <v>182</v>
      </c>
      <c r="AA150" s="4">
        <v>1021</v>
      </c>
      <c r="AB150" s="4">
        <v>3</v>
      </c>
      <c r="AC150" s="4">
        <v>11</v>
      </c>
      <c r="AD150" s="4">
        <v>2</v>
      </c>
      <c r="AE150" s="4">
        <v>22</v>
      </c>
      <c r="AF150" s="4">
        <v>0</v>
      </c>
      <c r="AG150" s="4">
        <v>10</v>
      </c>
      <c r="AH150" s="4">
        <v>1</v>
      </c>
      <c r="AI150" s="4">
        <v>2</v>
      </c>
      <c r="AJ150" s="4">
        <v>0</v>
      </c>
      <c r="AK150" s="4">
        <v>6</v>
      </c>
      <c r="AL150" s="4">
        <v>1</v>
      </c>
      <c r="AM150" s="4">
        <v>8</v>
      </c>
      <c r="AN150" s="4">
        <v>0</v>
      </c>
      <c r="AO150" s="4">
        <v>0</v>
      </c>
      <c r="AP150" s="3" t="s">
        <v>58</v>
      </c>
      <c r="AQ150" s="3" t="s">
        <v>85</v>
      </c>
      <c r="AR150" s="6" t="str">
        <f>HYPERLINK("http://catalog.hathitrust.org/Record/002613545","HathiTrust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HYPERLINK("https://creighton-primo.hosted.exlibrisgroup.com/primo-explore/search?tab=default_tab&amp;search_scope=EVERYTHING&amp;vid=01CRU&amp;lang=en_US&amp;offset=0&amp;query=any,contains,991001941999702656","Catalog Record")</f>
        <v>Catalog Record</v>
      </c>
      <c r="AT150" s="6" t="str">
        <f>HYPERLINK("http://www.worldcat.org/oclc/24541329","WorldCat Record")</f>
        <v>WorldCat Record</v>
      </c>
      <c r="AU150" s="3" t="s">
        <v>2088</v>
      </c>
      <c r="AV150" s="3" t="s">
        <v>2089</v>
      </c>
      <c r="AW150" s="3" t="s">
        <v>2090</v>
      </c>
      <c r="AX150" s="3" t="s">
        <v>2090</v>
      </c>
      <c r="AY150" s="3" t="s">
        <v>2091</v>
      </c>
      <c r="AZ150" s="3" t="s">
        <v>73</v>
      </c>
      <c r="BB150" s="3" t="s">
        <v>2092</v>
      </c>
      <c r="BC150" s="3" t="s">
        <v>2093</v>
      </c>
      <c r="BD150" s="3" t="s">
        <v>2094</v>
      </c>
    </row>
    <row r="151" spans="1:56" ht="41.25" customHeight="1" x14ac:dyDescent="0.25">
      <c r="A151" s="7" t="s">
        <v>58</v>
      </c>
      <c r="B151" s="2" t="s">
        <v>2095</v>
      </c>
      <c r="C151" s="2" t="s">
        <v>2096</v>
      </c>
      <c r="D151" s="2" t="s">
        <v>2097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2098</v>
      </c>
      <c r="L151" s="2" t="s">
        <v>2099</v>
      </c>
      <c r="M151" s="3" t="s">
        <v>543</v>
      </c>
      <c r="O151" s="3" t="s">
        <v>64</v>
      </c>
      <c r="P151" s="3" t="s">
        <v>65</v>
      </c>
      <c r="R151" s="3" t="s">
        <v>1042</v>
      </c>
      <c r="S151" s="4">
        <v>11</v>
      </c>
      <c r="T151" s="4">
        <v>11</v>
      </c>
      <c r="U151" s="5" t="s">
        <v>2054</v>
      </c>
      <c r="V151" s="5" t="s">
        <v>2054</v>
      </c>
      <c r="W151" s="5" t="s">
        <v>1044</v>
      </c>
      <c r="X151" s="5" t="s">
        <v>1044</v>
      </c>
      <c r="Y151" s="4">
        <v>632</v>
      </c>
      <c r="Z151" s="4">
        <v>588</v>
      </c>
      <c r="AA151" s="4">
        <v>638</v>
      </c>
      <c r="AB151" s="4">
        <v>2</v>
      </c>
      <c r="AC151" s="4">
        <v>2</v>
      </c>
      <c r="AD151" s="4">
        <v>6</v>
      </c>
      <c r="AE151" s="4">
        <v>7</v>
      </c>
      <c r="AF151" s="4">
        <v>4</v>
      </c>
      <c r="AG151" s="4">
        <v>5</v>
      </c>
      <c r="AH151" s="4">
        <v>0</v>
      </c>
      <c r="AI151" s="4">
        <v>0</v>
      </c>
      <c r="AJ151" s="4">
        <v>2</v>
      </c>
      <c r="AK151" s="4">
        <v>3</v>
      </c>
      <c r="AL151" s="4">
        <v>1</v>
      </c>
      <c r="AM151" s="4">
        <v>1</v>
      </c>
      <c r="AN151" s="4">
        <v>0</v>
      </c>
      <c r="AO151" s="4">
        <v>0</v>
      </c>
      <c r="AP151" s="3" t="s">
        <v>58</v>
      </c>
      <c r="AQ151" s="3" t="s">
        <v>85</v>
      </c>
      <c r="AR151" s="6" t="str">
        <f>HYPERLINK("http://catalog.hathitrust.org/Record/001471665","HathiTrust Record")</f>
        <v>HathiTrust Record</v>
      </c>
      <c r="AS151" s="6" t="str">
        <f>HYPERLINK("https://creighton-primo.hosted.exlibrisgroup.com/primo-explore/search?tab=default_tab&amp;search_scope=EVERYTHING&amp;vid=01CRU&amp;lang=en_US&amp;offset=0&amp;query=any,contains,991003113199702656","Catalog Record")</f>
        <v>Catalog Record</v>
      </c>
      <c r="AT151" s="6" t="str">
        <f>HYPERLINK("http://www.worldcat.org/oclc/658094","WorldCat Record")</f>
        <v>WorldCat Record</v>
      </c>
      <c r="AU151" s="3" t="s">
        <v>2100</v>
      </c>
      <c r="AV151" s="3" t="s">
        <v>2101</v>
      </c>
      <c r="AW151" s="3" t="s">
        <v>2102</v>
      </c>
      <c r="AX151" s="3" t="s">
        <v>2102</v>
      </c>
      <c r="AY151" s="3" t="s">
        <v>2103</v>
      </c>
      <c r="AZ151" s="3" t="s">
        <v>73</v>
      </c>
      <c r="BC151" s="3" t="s">
        <v>2104</v>
      </c>
      <c r="BD151" s="3" t="s">
        <v>2105</v>
      </c>
    </row>
    <row r="152" spans="1:56" ht="41.25" customHeight="1" x14ac:dyDescent="0.25">
      <c r="A152" s="7" t="s">
        <v>58</v>
      </c>
      <c r="B152" s="2" t="s">
        <v>2106</v>
      </c>
      <c r="C152" s="2" t="s">
        <v>2107</v>
      </c>
      <c r="D152" s="2" t="s">
        <v>2108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2109</v>
      </c>
      <c r="L152" s="2" t="s">
        <v>2110</v>
      </c>
      <c r="M152" s="3" t="s">
        <v>626</v>
      </c>
      <c r="O152" s="3" t="s">
        <v>64</v>
      </c>
      <c r="P152" s="3" t="s">
        <v>231</v>
      </c>
      <c r="R152" s="3" t="s">
        <v>1042</v>
      </c>
      <c r="S152" s="4">
        <v>5</v>
      </c>
      <c r="T152" s="4">
        <v>5</v>
      </c>
      <c r="U152" s="5" t="s">
        <v>2111</v>
      </c>
      <c r="V152" s="5" t="s">
        <v>2111</v>
      </c>
      <c r="W152" s="5" t="s">
        <v>1245</v>
      </c>
      <c r="X152" s="5" t="s">
        <v>1245</v>
      </c>
      <c r="Y152" s="4">
        <v>366</v>
      </c>
      <c r="Z152" s="4">
        <v>233</v>
      </c>
      <c r="AA152" s="4">
        <v>256</v>
      </c>
      <c r="AB152" s="4">
        <v>5</v>
      </c>
      <c r="AC152" s="4">
        <v>5</v>
      </c>
      <c r="AD152" s="4">
        <v>8</v>
      </c>
      <c r="AE152" s="4">
        <v>8</v>
      </c>
      <c r="AF152" s="4">
        <v>3</v>
      </c>
      <c r="AG152" s="4">
        <v>3</v>
      </c>
      <c r="AH152" s="4">
        <v>1</v>
      </c>
      <c r="AI152" s="4">
        <v>1</v>
      </c>
      <c r="AJ152" s="4">
        <v>2</v>
      </c>
      <c r="AK152" s="4">
        <v>2</v>
      </c>
      <c r="AL152" s="4">
        <v>3</v>
      </c>
      <c r="AM152" s="4">
        <v>3</v>
      </c>
      <c r="AN152" s="4">
        <v>0</v>
      </c>
      <c r="AO152" s="4">
        <v>0</v>
      </c>
      <c r="AP152" s="3" t="s">
        <v>58</v>
      </c>
      <c r="AQ152" s="3" t="s">
        <v>58</v>
      </c>
      <c r="AS152" s="6" t="str">
        <f>HYPERLINK("https://creighton-primo.hosted.exlibrisgroup.com/primo-explore/search?tab=default_tab&amp;search_scope=EVERYTHING&amp;vid=01CRU&amp;lang=en_US&amp;offset=0&amp;query=any,contains,991002118659702656","Catalog Record")</f>
        <v>Catalog Record</v>
      </c>
      <c r="AT152" s="6" t="str">
        <f>HYPERLINK("http://www.worldcat.org/oclc/787166065","WorldCat Record")</f>
        <v>WorldCat Record</v>
      </c>
      <c r="AU152" s="3" t="s">
        <v>2112</v>
      </c>
      <c r="AV152" s="3" t="s">
        <v>2113</v>
      </c>
      <c r="AW152" s="3" t="s">
        <v>2114</v>
      </c>
      <c r="AX152" s="3" t="s">
        <v>2114</v>
      </c>
      <c r="AY152" s="3" t="s">
        <v>2115</v>
      </c>
      <c r="AZ152" s="3" t="s">
        <v>73</v>
      </c>
      <c r="BB152" s="3" t="s">
        <v>2116</v>
      </c>
      <c r="BC152" s="3" t="s">
        <v>2117</v>
      </c>
      <c r="BD152" s="3" t="s">
        <v>2118</v>
      </c>
    </row>
    <row r="153" spans="1:56" ht="41.25" customHeight="1" x14ac:dyDescent="0.25">
      <c r="A153" s="7" t="s">
        <v>58</v>
      </c>
      <c r="B153" s="2" t="s">
        <v>2119</v>
      </c>
      <c r="C153" s="2" t="s">
        <v>2120</v>
      </c>
      <c r="D153" s="2" t="s">
        <v>2121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752</v>
      </c>
      <c r="L153" s="2" t="s">
        <v>2122</v>
      </c>
      <c r="M153" s="3" t="s">
        <v>839</v>
      </c>
      <c r="O153" s="3" t="s">
        <v>64</v>
      </c>
      <c r="P153" s="3" t="s">
        <v>755</v>
      </c>
      <c r="R153" s="3" t="s">
        <v>1042</v>
      </c>
      <c r="S153" s="4">
        <v>5</v>
      </c>
      <c r="T153" s="4">
        <v>5</v>
      </c>
      <c r="U153" s="5" t="s">
        <v>2086</v>
      </c>
      <c r="V153" s="5" t="s">
        <v>2086</v>
      </c>
      <c r="W153" s="5" t="s">
        <v>2123</v>
      </c>
      <c r="X153" s="5" t="s">
        <v>2123</v>
      </c>
      <c r="Y153" s="4">
        <v>657</v>
      </c>
      <c r="Z153" s="4">
        <v>579</v>
      </c>
      <c r="AA153" s="4">
        <v>925</v>
      </c>
      <c r="AB153" s="4">
        <v>8</v>
      </c>
      <c r="AC153" s="4">
        <v>10</v>
      </c>
      <c r="AD153" s="4">
        <v>12</v>
      </c>
      <c r="AE153" s="4">
        <v>15</v>
      </c>
      <c r="AF153" s="4">
        <v>5</v>
      </c>
      <c r="AG153" s="4">
        <v>6</v>
      </c>
      <c r="AH153" s="4">
        <v>1</v>
      </c>
      <c r="AI153" s="4">
        <v>2</v>
      </c>
      <c r="AJ153" s="4">
        <v>3</v>
      </c>
      <c r="AK153" s="4">
        <v>3</v>
      </c>
      <c r="AL153" s="4">
        <v>6</v>
      </c>
      <c r="AM153" s="4">
        <v>7</v>
      </c>
      <c r="AN153" s="4">
        <v>0</v>
      </c>
      <c r="AO153" s="4">
        <v>0</v>
      </c>
      <c r="AP153" s="3" t="s">
        <v>58</v>
      </c>
      <c r="AQ153" s="3" t="s">
        <v>85</v>
      </c>
      <c r="AR153" s="6" t="str">
        <f>HYPERLINK("http://catalog.hathitrust.org/Record/001093975","HathiTrust Record")</f>
        <v>HathiTrust Record</v>
      </c>
      <c r="AS153" s="6" t="str">
        <f>HYPERLINK("https://creighton-primo.hosted.exlibrisgroup.com/primo-explore/search?tab=default_tab&amp;search_scope=EVERYTHING&amp;vid=01CRU&amp;lang=en_US&amp;offset=0&amp;query=any,contains,991000766849702656","Catalog Record")</f>
        <v>Catalog Record</v>
      </c>
      <c r="AT153" s="6" t="str">
        <f>HYPERLINK("http://www.worldcat.org/oclc/13003841","WorldCat Record")</f>
        <v>WorldCat Record</v>
      </c>
      <c r="AU153" s="3" t="s">
        <v>2124</v>
      </c>
      <c r="AV153" s="3" t="s">
        <v>2125</v>
      </c>
      <c r="AW153" s="3" t="s">
        <v>2126</v>
      </c>
      <c r="AX153" s="3" t="s">
        <v>2126</v>
      </c>
      <c r="AY153" s="3" t="s">
        <v>2127</v>
      </c>
      <c r="AZ153" s="3" t="s">
        <v>73</v>
      </c>
      <c r="BB153" s="3" t="s">
        <v>2128</v>
      </c>
      <c r="BC153" s="3" t="s">
        <v>2129</v>
      </c>
      <c r="BD153" s="3" t="s">
        <v>2130</v>
      </c>
    </row>
    <row r="154" spans="1:56" ht="41.25" customHeight="1" x14ac:dyDescent="0.25">
      <c r="A154" s="7" t="s">
        <v>58</v>
      </c>
      <c r="B154" s="2" t="s">
        <v>2131</v>
      </c>
      <c r="C154" s="2" t="s">
        <v>2132</v>
      </c>
      <c r="D154" s="2" t="s">
        <v>2133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2134</v>
      </c>
      <c r="L154" s="2" t="s">
        <v>2135</v>
      </c>
      <c r="M154" s="3" t="s">
        <v>98</v>
      </c>
      <c r="N154" s="2" t="s">
        <v>1057</v>
      </c>
      <c r="O154" s="3" t="s">
        <v>64</v>
      </c>
      <c r="P154" s="3" t="s">
        <v>334</v>
      </c>
      <c r="R154" s="3" t="s">
        <v>1042</v>
      </c>
      <c r="S154" s="4">
        <v>15</v>
      </c>
      <c r="T154" s="4">
        <v>15</v>
      </c>
      <c r="U154" s="5" t="s">
        <v>2136</v>
      </c>
      <c r="V154" s="5" t="s">
        <v>2136</v>
      </c>
      <c r="W154" s="5" t="s">
        <v>2137</v>
      </c>
      <c r="X154" s="5" t="s">
        <v>2137</v>
      </c>
      <c r="Y154" s="4">
        <v>226</v>
      </c>
      <c r="Z154" s="4">
        <v>198</v>
      </c>
      <c r="AA154" s="4">
        <v>554</v>
      </c>
      <c r="AB154" s="4">
        <v>2</v>
      </c>
      <c r="AC154" s="4">
        <v>4</v>
      </c>
      <c r="AD154" s="4">
        <v>6</v>
      </c>
      <c r="AE154" s="4">
        <v>11</v>
      </c>
      <c r="AF154" s="4">
        <v>3</v>
      </c>
      <c r="AG154" s="4">
        <v>5</v>
      </c>
      <c r="AH154" s="4">
        <v>1</v>
      </c>
      <c r="AI154" s="4">
        <v>2</v>
      </c>
      <c r="AJ154" s="4">
        <v>3</v>
      </c>
      <c r="AK154" s="4">
        <v>5</v>
      </c>
      <c r="AL154" s="4">
        <v>1</v>
      </c>
      <c r="AM154" s="4">
        <v>2</v>
      </c>
      <c r="AN154" s="4">
        <v>0</v>
      </c>
      <c r="AO154" s="4">
        <v>0</v>
      </c>
      <c r="AP154" s="3" t="s">
        <v>58</v>
      </c>
      <c r="AQ154" s="3" t="s">
        <v>85</v>
      </c>
      <c r="AR154" s="6" t="str">
        <f>HYPERLINK("http://catalog.hathitrust.org/Record/002787646","HathiTrust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HYPERLINK("https://creighton-primo.hosted.exlibrisgroup.com/primo-explore/search?tab=default_tab&amp;search_scope=EVERYTHING&amp;vid=01CRU&amp;lang=en_US&amp;offset=0&amp;query=any,contains,991001363899702656","Catalog Record")</f>
        <v>Catalog Record</v>
      </c>
      <c r="AT154" s="6" t="str">
        <f>HYPERLINK("http://www.worldcat.org/oclc/18557105","WorldCat Record")</f>
        <v>WorldCat Record</v>
      </c>
      <c r="AU154" s="3" t="s">
        <v>2138</v>
      </c>
      <c r="AV154" s="3" t="s">
        <v>2139</v>
      </c>
      <c r="AW154" s="3" t="s">
        <v>2140</v>
      </c>
      <c r="AX154" s="3" t="s">
        <v>2140</v>
      </c>
      <c r="AY154" s="3" t="s">
        <v>2141</v>
      </c>
      <c r="AZ154" s="3" t="s">
        <v>73</v>
      </c>
      <c r="BB154" s="3" t="s">
        <v>2142</v>
      </c>
      <c r="BC154" s="3" t="s">
        <v>2143</v>
      </c>
      <c r="BD154" s="3" t="s">
        <v>2144</v>
      </c>
    </row>
    <row r="155" spans="1:56" ht="41.25" customHeight="1" x14ac:dyDescent="0.25">
      <c r="A155" s="7" t="s">
        <v>58</v>
      </c>
      <c r="B155" s="2" t="s">
        <v>2145</v>
      </c>
      <c r="C155" s="2" t="s">
        <v>2146</v>
      </c>
      <c r="D155" s="2" t="s">
        <v>2147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2148</v>
      </c>
      <c r="L155" s="2" t="s">
        <v>2149</v>
      </c>
      <c r="M155" s="3" t="s">
        <v>1819</v>
      </c>
      <c r="O155" s="3" t="s">
        <v>64</v>
      </c>
      <c r="P155" s="3" t="s">
        <v>65</v>
      </c>
      <c r="R155" s="3" t="s">
        <v>1042</v>
      </c>
      <c r="S155" s="4">
        <v>10</v>
      </c>
      <c r="T155" s="4">
        <v>10</v>
      </c>
      <c r="U155" s="5" t="s">
        <v>2054</v>
      </c>
      <c r="V155" s="5" t="s">
        <v>2054</v>
      </c>
      <c r="W155" s="5" t="s">
        <v>1044</v>
      </c>
      <c r="X155" s="5" t="s">
        <v>1044</v>
      </c>
      <c r="Y155" s="4">
        <v>725</v>
      </c>
      <c r="Z155" s="4">
        <v>670</v>
      </c>
      <c r="AA155" s="4">
        <v>763</v>
      </c>
      <c r="AB155" s="4">
        <v>8</v>
      </c>
      <c r="AC155" s="4">
        <v>8</v>
      </c>
      <c r="AD155" s="4">
        <v>19</v>
      </c>
      <c r="AE155" s="4">
        <v>20</v>
      </c>
      <c r="AF155" s="4">
        <v>8</v>
      </c>
      <c r="AG155" s="4">
        <v>9</v>
      </c>
      <c r="AH155" s="4">
        <v>2</v>
      </c>
      <c r="AI155" s="4">
        <v>2</v>
      </c>
      <c r="AJ155" s="4">
        <v>6</v>
      </c>
      <c r="AK155" s="4">
        <v>6</v>
      </c>
      <c r="AL155" s="4">
        <v>6</v>
      </c>
      <c r="AM155" s="4">
        <v>6</v>
      </c>
      <c r="AN155" s="4">
        <v>0</v>
      </c>
      <c r="AO155" s="4">
        <v>0</v>
      </c>
      <c r="AP155" s="3" t="s">
        <v>58</v>
      </c>
      <c r="AQ155" s="3" t="s">
        <v>58</v>
      </c>
      <c r="AS155" s="6" t="str">
        <f>HYPERLINK("https://creighton-primo.hosted.exlibrisgroup.com/primo-explore/search?tab=default_tab&amp;search_scope=EVERYTHING&amp;vid=01CRU&amp;lang=en_US&amp;offset=0&amp;query=any,contains,991004539959702656","Catalog Record")</f>
        <v>Catalog Record</v>
      </c>
      <c r="AT155" s="6" t="str">
        <f>HYPERLINK("http://www.worldcat.org/oclc/3892689","WorldCat Record")</f>
        <v>WorldCat Record</v>
      </c>
      <c r="AU155" s="3" t="s">
        <v>2150</v>
      </c>
      <c r="AV155" s="3" t="s">
        <v>2151</v>
      </c>
      <c r="AW155" s="3" t="s">
        <v>2152</v>
      </c>
      <c r="AX155" s="3" t="s">
        <v>2152</v>
      </c>
      <c r="AY155" s="3" t="s">
        <v>2153</v>
      </c>
      <c r="AZ155" s="3" t="s">
        <v>73</v>
      </c>
      <c r="BB155" s="3" t="s">
        <v>2154</v>
      </c>
      <c r="BC155" s="3" t="s">
        <v>2155</v>
      </c>
      <c r="BD155" s="3" t="s">
        <v>2156</v>
      </c>
    </row>
    <row r="156" spans="1:56" ht="41.25" customHeight="1" x14ac:dyDescent="0.25">
      <c r="A156" s="7" t="s">
        <v>58</v>
      </c>
      <c r="B156" s="2" t="s">
        <v>2157</v>
      </c>
      <c r="C156" s="2" t="s">
        <v>2158</v>
      </c>
      <c r="D156" s="2" t="s">
        <v>2159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2160</v>
      </c>
      <c r="L156" s="2" t="s">
        <v>2161</v>
      </c>
      <c r="M156" s="3" t="s">
        <v>612</v>
      </c>
      <c r="O156" s="3" t="s">
        <v>64</v>
      </c>
      <c r="P156" s="3" t="s">
        <v>231</v>
      </c>
      <c r="R156" s="3" t="s">
        <v>1042</v>
      </c>
      <c r="S156" s="4">
        <v>4</v>
      </c>
      <c r="T156" s="4">
        <v>4</v>
      </c>
      <c r="U156" s="5" t="s">
        <v>2054</v>
      </c>
      <c r="V156" s="5" t="s">
        <v>2054</v>
      </c>
      <c r="W156" s="5" t="s">
        <v>2162</v>
      </c>
      <c r="X156" s="5" t="s">
        <v>2162</v>
      </c>
      <c r="Y156" s="4">
        <v>540</v>
      </c>
      <c r="Z156" s="4">
        <v>473</v>
      </c>
      <c r="AA156" s="4">
        <v>482</v>
      </c>
      <c r="AB156" s="4">
        <v>4</v>
      </c>
      <c r="AC156" s="4">
        <v>4</v>
      </c>
      <c r="AD156" s="4">
        <v>15</v>
      </c>
      <c r="AE156" s="4">
        <v>15</v>
      </c>
      <c r="AF156" s="4">
        <v>6</v>
      </c>
      <c r="AG156" s="4">
        <v>6</v>
      </c>
      <c r="AH156" s="4">
        <v>6</v>
      </c>
      <c r="AI156" s="4">
        <v>6</v>
      </c>
      <c r="AJ156" s="4">
        <v>4</v>
      </c>
      <c r="AK156" s="4">
        <v>4</v>
      </c>
      <c r="AL156" s="4">
        <v>3</v>
      </c>
      <c r="AM156" s="4">
        <v>3</v>
      </c>
      <c r="AN156" s="4">
        <v>0</v>
      </c>
      <c r="AO156" s="4">
        <v>0</v>
      </c>
      <c r="AP156" s="3" t="s">
        <v>58</v>
      </c>
      <c r="AQ156" s="3" t="s">
        <v>58</v>
      </c>
      <c r="AS156" s="6" t="str">
        <f>HYPERLINK("https://creighton-primo.hosted.exlibrisgroup.com/primo-explore/search?tab=default_tab&amp;search_scope=EVERYTHING&amp;vid=01CRU&amp;lang=en_US&amp;offset=0&amp;query=any,contains,991003228789702656","Catalog Record")</f>
        <v>Catalog Record</v>
      </c>
      <c r="AT156" s="6" t="str">
        <f>HYPERLINK("http://www.worldcat.org/oclc/40954067","WorldCat Record")</f>
        <v>WorldCat Record</v>
      </c>
      <c r="AU156" s="3" t="s">
        <v>2163</v>
      </c>
      <c r="AV156" s="3" t="s">
        <v>2164</v>
      </c>
      <c r="AW156" s="3" t="s">
        <v>2165</v>
      </c>
      <c r="AX156" s="3" t="s">
        <v>2165</v>
      </c>
      <c r="AY156" s="3" t="s">
        <v>2166</v>
      </c>
      <c r="AZ156" s="3" t="s">
        <v>73</v>
      </c>
      <c r="BB156" s="3" t="s">
        <v>2167</v>
      </c>
      <c r="BC156" s="3" t="s">
        <v>2168</v>
      </c>
      <c r="BD156" s="3" t="s">
        <v>2169</v>
      </c>
    </row>
    <row r="157" spans="1:56" ht="41.25" customHeight="1" x14ac:dyDescent="0.25">
      <c r="A157" s="7" t="s">
        <v>58</v>
      </c>
      <c r="B157" s="2" t="s">
        <v>2170</v>
      </c>
      <c r="C157" s="2" t="s">
        <v>2171</v>
      </c>
      <c r="D157" s="2" t="s">
        <v>2172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2173</v>
      </c>
      <c r="L157" s="2" t="s">
        <v>2174</v>
      </c>
      <c r="M157" s="3" t="s">
        <v>146</v>
      </c>
      <c r="N157" s="2" t="s">
        <v>1057</v>
      </c>
      <c r="O157" s="3" t="s">
        <v>64</v>
      </c>
      <c r="P157" s="3" t="s">
        <v>755</v>
      </c>
      <c r="R157" s="3" t="s">
        <v>1042</v>
      </c>
      <c r="S157" s="4">
        <v>1</v>
      </c>
      <c r="T157" s="4">
        <v>1</v>
      </c>
      <c r="U157" s="5" t="s">
        <v>2175</v>
      </c>
      <c r="V157" s="5" t="s">
        <v>2175</v>
      </c>
      <c r="W157" s="5" t="s">
        <v>1044</v>
      </c>
      <c r="X157" s="5" t="s">
        <v>1044</v>
      </c>
      <c r="Y157" s="4">
        <v>714</v>
      </c>
      <c r="Z157" s="4">
        <v>636</v>
      </c>
      <c r="AA157" s="4">
        <v>1216</v>
      </c>
      <c r="AB157" s="4">
        <v>5</v>
      </c>
      <c r="AC157" s="4">
        <v>6</v>
      </c>
      <c r="AD157" s="4">
        <v>10</v>
      </c>
      <c r="AE157" s="4">
        <v>17</v>
      </c>
      <c r="AF157" s="4">
        <v>4</v>
      </c>
      <c r="AG157" s="4">
        <v>8</v>
      </c>
      <c r="AH157" s="4">
        <v>0</v>
      </c>
      <c r="AI157" s="4">
        <v>4</v>
      </c>
      <c r="AJ157" s="4">
        <v>4</v>
      </c>
      <c r="AK157" s="4">
        <v>5</v>
      </c>
      <c r="AL157" s="4">
        <v>4</v>
      </c>
      <c r="AM157" s="4">
        <v>4</v>
      </c>
      <c r="AN157" s="4">
        <v>0</v>
      </c>
      <c r="AO157" s="4">
        <v>0</v>
      </c>
      <c r="AP157" s="3" t="s">
        <v>58</v>
      </c>
      <c r="AQ157" s="3" t="s">
        <v>85</v>
      </c>
      <c r="AR157" s="6" t="str">
        <f>HYPERLINK("http://catalog.hathitrust.org/Record/001831828","HathiTrust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HYPERLINK("https://creighton-primo.hosted.exlibrisgroup.com/primo-explore/search?tab=default_tab&amp;search_scope=EVERYTHING&amp;vid=01CRU&amp;lang=en_US&amp;offset=0&amp;query=any,contains,991000071159702656","Catalog Record")</f>
        <v>Catalog Record</v>
      </c>
      <c r="AT157" s="6" t="str">
        <f>HYPERLINK("http://www.worldcat.org/oclc/8785156","WorldCat Record")</f>
        <v>WorldCat Record</v>
      </c>
      <c r="AU157" s="3" t="s">
        <v>2176</v>
      </c>
      <c r="AV157" s="3" t="s">
        <v>2177</v>
      </c>
      <c r="AW157" s="3" t="s">
        <v>2178</v>
      </c>
      <c r="AX157" s="3" t="s">
        <v>2178</v>
      </c>
      <c r="AY157" s="3" t="s">
        <v>2179</v>
      </c>
      <c r="AZ157" s="3" t="s">
        <v>73</v>
      </c>
      <c r="BB157" s="3" t="s">
        <v>2180</v>
      </c>
      <c r="BC157" s="3" t="s">
        <v>2181</v>
      </c>
      <c r="BD157" s="3" t="s">
        <v>2182</v>
      </c>
    </row>
    <row r="158" spans="1:56" ht="41.25" customHeight="1" x14ac:dyDescent="0.25">
      <c r="A158" s="7" t="s">
        <v>58</v>
      </c>
      <c r="B158" s="2" t="s">
        <v>2183</v>
      </c>
      <c r="C158" s="2" t="s">
        <v>2184</v>
      </c>
      <c r="D158" s="2" t="s">
        <v>2185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2186</v>
      </c>
      <c r="L158" s="2" t="s">
        <v>2187</v>
      </c>
      <c r="M158" s="3" t="s">
        <v>1819</v>
      </c>
      <c r="O158" s="3" t="s">
        <v>64</v>
      </c>
      <c r="P158" s="3" t="s">
        <v>231</v>
      </c>
      <c r="R158" s="3" t="s">
        <v>1042</v>
      </c>
      <c r="S158" s="4">
        <v>6</v>
      </c>
      <c r="T158" s="4">
        <v>6</v>
      </c>
      <c r="U158" s="5" t="s">
        <v>2188</v>
      </c>
      <c r="V158" s="5" t="s">
        <v>2188</v>
      </c>
      <c r="W158" s="5" t="s">
        <v>1044</v>
      </c>
      <c r="X158" s="5" t="s">
        <v>1044</v>
      </c>
      <c r="Y158" s="4">
        <v>448</v>
      </c>
      <c r="Z158" s="4">
        <v>295</v>
      </c>
      <c r="AA158" s="4">
        <v>301</v>
      </c>
      <c r="AB158" s="4">
        <v>3</v>
      </c>
      <c r="AC158" s="4">
        <v>3</v>
      </c>
      <c r="AD158" s="4">
        <v>10</v>
      </c>
      <c r="AE158" s="4">
        <v>10</v>
      </c>
      <c r="AF158" s="4">
        <v>4</v>
      </c>
      <c r="AG158" s="4">
        <v>4</v>
      </c>
      <c r="AH158" s="4">
        <v>2</v>
      </c>
      <c r="AI158" s="4">
        <v>2</v>
      </c>
      <c r="AJ158" s="4">
        <v>2</v>
      </c>
      <c r="AK158" s="4">
        <v>2</v>
      </c>
      <c r="AL158" s="4">
        <v>2</v>
      </c>
      <c r="AM158" s="4">
        <v>2</v>
      </c>
      <c r="AN158" s="4">
        <v>0</v>
      </c>
      <c r="AO158" s="4">
        <v>0</v>
      </c>
      <c r="AP158" s="3" t="s">
        <v>58</v>
      </c>
      <c r="AQ158" s="3" t="s">
        <v>85</v>
      </c>
      <c r="AR158" s="6" t="str">
        <f>HYPERLINK("http://catalog.hathitrust.org/Record/000098103","HathiTrust Record")</f>
        <v>HathiTrust Record</v>
      </c>
      <c r="AS158" s="6" t="str">
        <f>HYPERLINK("https://creighton-primo.hosted.exlibrisgroup.com/primo-explore/search?tab=default_tab&amp;search_scope=EVERYTHING&amp;vid=01CRU&amp;lang=en_US&amp;offset=0&amp;query=any,contains,991004782609702656","Catalog Record")</f>
        <v>Catalog Record</v>
      </c>
      <c r="AT158" s="6" t="str">
        <f>HYPERLINK("http://www.worldcat.org/oclc/5125600","WorldCat Record")</f>
        <v>WorldCat Record</v>
      </c>
      <c r="AU158" s="3" t="s">
        <v>2189</v>
      </c>
      <c r="AV158" s="3" t="s">
        <v>2190</v>
      </c>
      <c r="AW158" s="3" t="s">
        <v>2191</v>
      </c>
      <c r="AX158" s="3" t="s">
        <v>2191</v>
      </c>
      <c r="AY158" s="3" t="s">
        <v>2192</v>
      </c>
      <c r="AZ158" s="3" t="s">
        <v>73</v>
      </c>
      <c r="BB158" s="3" t="s">
        <v>2193</v>
      </c>
      <c r="BC158" s="3" t="s">
        <v>2194</v>
      </c>
      <c r="BD158" s="3" t="s">
        <v>2195</v>
      </c>
    </row>
    <row r="159" spans="1:56" ht="41.25" customHeight="1" x14ac:dyDescent="0.25">
      <c r="A159" s="7" t="s">
        <v>58</v>
      </c>
      <c r="B159" s="2" t="s">
        <v>2196</v>
      </c>
      <c r="C159" s="2" t="s">
        <v>2197</v>
      </c>
      <c r="D159" s="2" t="s">
        <v>2198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L159" s="2" t="s">
        <v>2199</v>
      </c>
      <c r="M159" s="3" t="s">
        <v>1129</v>
      </c>
      <c r="O159" s="3" t="s">
        <v>64</v>
      </c>
      <c r="P159" s="3" t="s">
        <v>755</v>
      </c>
      <c r="R159" s="3" t="s">
        <v>2200</v>
      </c>
      <c r="S159" s="4">
        <v>1</v>
      </c>
      <c r="T159" s="4">
        <v>1</v>
      </c>
      <c r="U159" s="5" t="s">
        <v>2201</v>
      </c>
      <c r="V159" s="5" t="s">
        <v>2201</v>
      </c>
      <c r="W159" s="5" t="s">
        <v>2202</v>
      </c>
      <c r="X159" s="5" t="s">
        <v>2202</v>
      </c>
      <c r="Y159" s="4">
        <v>411</v>
      </c>
      <c r="Z159" s="4">
        <v>377</v>
      </c>
      <c r="AA159" s="4">
        <v>443</v>
      </c>
      <c r="AB159" s="4">
        <v>6</v>
      </c>
      <c r="AC159" s="4">
        <v>6</v>
      </c>
      <c r="AD159" s="4">
        <v>10</v>
      </c>
      <c r="AE159" s="4">
        <v>11</v>
      </c>
      <c r="AF159" s="4">
        <v>3</v>
      </c>
      <c r="AG159" s="4">
        <v>3</v>
      </c>
      <c r="AH159" s="4">
        <v>1</v>
      </c>
      <c r="AI159" s="4">
        <v>2</v>
      </c>
      <c r="AJ159" s="4">
        <v>5</v>
      </c>
      <c r="AK159" s="4">
        <v>5</v>
      </c>
      <c r="AL159" s="4">
        <v>3</v>
      </c>
      <c r="AM159" s="4">
        <v>3</v>
      </c>
      <c r="AN159" s="4">
        <v>0</v>
      </c>
      <c r="AO159" s="4">
        <v>0</v>
      </c>
      <c r="AP159" s="3" t="s">
        <v>58</v>
      </c>
      <c r="AQ159" s="3" t="s">
        <v>85</v>
      </c>
      <c r="AR159" s="6" t="str">
        <f>HYPERLINK("http://catalog.hathitrust.org/Record/004476199","HathiTrust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HYPERLINK("https://creighton-primo.hosted.exlibrisgroup.com/primo-explore/search?tab=default_tab&amp;search_scope=EVERYTHING&amp;vid=01CRU&amp;lang=en_US&amp;offset=0&amp;query=any,contains,991005328349702656","Catalog Record")</f>
        <v>Catalog Record</v>
      </c>
      <c r="AT159" s="6" t="str">
        <f>HYPERLINK("http://www.worldcat.org/oclc/6378842","WorldCat Record")</f>
        <v>WorldCat Record</v>
      </c>
      <c r="AU159" s="3" t="s">
        <v>2203</v>
      </c>
      <c r="AV159" s="3" t="s">
        <v>2204</v>
      </c>
      <c r="AW159" s="3" t="s">
        <v>2205</v>
      </c>
      <c r="AX159" s="3" t="s">
        <v>2205</v>
      </c>
      <c r="AY159" s="3" t="s">
        <v>2206</v>
      </c>
      <c r="AZ159" s="3" t="s">
        <v>73</v>
      </c>
      <c r="BB159" s="3" t="s">
        <v>2207</v>
      </c>
      <c r="BC159" s="3" t="s">
        <v>2208</v>
      </c>
      <c r="BD159" s="3" t="s">
        <v>2209</v>
      </c>
    </row>
    <row r="160" spans="1:56" ht="41.25" customHeight="1" x14ac:dyDescent="0.25">
      <c r="A160" s="7" t="s">
        <v>58</v>
      </c>
      <c r="B160" s="2" t="s">
        <v>2210</v>
      </c>
      <c r="C160" s="2" t="s">
        <v>2211</v>
      </c>
      <c r="D160" s="2" t="s">
        <v>2212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L160" s="2" t="s">
        <v>2213</v>
      </c>
      <c r="M160" s="3" t="s">
        <v>1819</v>
      </c>
      <c r="N160" s="2" t="s">
        <v>528</v>
      </c>
      <c r="O160" s="3" t="s">
        <v>64</v>
      </c>
      <c r="P160" s="3" t="s">
        <v>65</v>
      </c>
      <c r="R160" s="3" t="s">
        <v>2200</v>
      </c>
      <c r="S160" s="4">
        <v>2</v>
      </c>
      <c r="T160" s="4">
        <v>2</v>
      </c>
      <c r="U160" s="5" t="s">
        <v>2214</v>
      </c>
      <c r="V160" s="5" t="s">
        <v>2214</v>
      </c>
      <c r="W160" s="5" t="s">
        <v>1044</v>
      </c>
      <c r="X160" s="5" t="s">
        <v>1044</v>
      </c>
      <c r="Y160" s="4">
        <v>135</v>
      </c>
      <c r="Z160" s="4">
        <v>132</v>
      </c>
      <c r="AA160" s="4">
        <v>204</v>
      </c>
      <c r="AB160" s="4">
        <v>2</v>
      </c>
      <c r="AC160" s="4">
        <v>2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3" t="s">
        <v>58</v>
      </c>
      <c r="AQ160" s="3" t="s">
        <v>58</v>
      </c>
      <c r="AS160" s="6" t="str">
        <f>HYPERLINK("https://creighton-primo.hosted.exlibrisgroup.com/primo-explore/search?tab=default_tab&amp;search_scope=EVERYTHING&amp;vid=01CRU&amp;lang=en_US&amp;offset=0&amp;query=any,contains,991004445249702656","Catalog Record")</f>
        <v>Catalog Record</v>
      </c>
      <c r="AT160" s="6" t="str">
        <f>HYPERLINK("http://www.worldcat.org/oclc/3481188","WorldCat Record")</f>
        <v>WorldCat Record</v>
      </c>
      <c r="AU160" s="3" t="s">
        <v>2215</v>
      </c>
      <c r="AV160" s="3" t="s">
        <v>2216</v>
      </c>
      <c r="AW160" s="3" t="s">
        <v>2217</v>
      </c>
      <c r="AX160" s="3" t="s">
        <v>2217</v>
      </c>
      <c r="AY160" s="3" t="s">
        <v>2218</v>
      </c>
      <c r="AZ160" s="3" t="s">
        <v>73</v>
      </c>
      <c r="BB160" s="3" t="s">
        <v>2219</v>
      </c>
      <c r="BC160" s="3" t="s">
        <v>2220</v>
      </c>
      <c r="BD160" s="3" t="s">
        <v>2221</v>
      </c>
    </row>
    <row r="161" spans="1:56" ht="41.25" customHeight="1" x14ac:dyDescent="0.25">
      <c r="A161" s="7" t="s">
        <v>58</v>
      </c>
      <c r="B161" s="2" t="s">
        <v>2222</v>
      </c>
      <c r="C161" s="2" t="s">
        <v>2223</v>
      </c>
      <c r="D161" s="2" t="s">
        <v>2224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2225</v>
      </c>
      <c r="L161" s="2" t="s">
        <v>2226</v>
      </c>
      <c r="M161" s="3" t="s">
        <v>582</v>
      </c>
      <c r="N161" s="2" t="s">
        <v>2227</v>
      </c>
      <c r="O161" s="3" t="s">
        <v>64</v>
      </c>
      <c r="P161" s="3" t="s">
        <v>65</v>
      </c>
      <c r="R161" s="3" t="s">
        <v>2200</v>
      </c>
      <c r="S161" s="4">
        <v>6</v>
      </c>
      <c r="T161" s="4">
        <v>6</v>
      </c>
      <c r="U161" s="5" t="s">
        <v>2228</v>
      </c>
      <c r="V161" s="5" t="s">
        <v>2228</v>
      </c>
      <c r="W161" s="5" t="s">
        <v>2229</v>
      </c>
      <c r="X161" s="5" t="s">
        <v>2229</v>
      </c>
      <c r="Y161" s="4">
        <v>34</v>
      </c>
      <c r="Z161" s="4">
        <v>32</v>
      </c>
      <c r="AA161" s="4">
        <v>933</v>
      </c>
      <c r="AB161" s="4">
        <v>1</v>
      </c>
      <c r="AC161" s="4">
        <v>7</v>
      </c>
      <c r="AD161" s="4">
        <v>2</v>
      </c>
      <c r="AE161" s="4">
        <v>27</v>
      </c>
      <c r="AF161" s="4">
        <v>2</v>
      </c>
      <c r="AG161" s="4">
        <v>11</v>
      </c>
      <c r="AH161" s="4">
        <v>0</v>
      </c>
      <c r="AI161" s="4">
        <v>4</v>
      </c>
      <c r="AJ161" s="4">
        <v>1</v>
      </c>
      <c r="AK161" s="4">
        <v>12</v>
      </c>
      <c r="AL161" s="4">
        <v>0</v>
      </c>
      <c r="AM161" s="4">
        <v>6</v>
      </c>
      <c r="AN161" s="4">
        <v>0</v>
      </c>
      <c r="AO161" s="4">
        <v>0</v>
      </c>
      <c r="AP161" s="3" t="s">
        <v>58</v>
      </c>
      <c r="AQ161" s="3" t="s">
        <v>58</v>
      </c>
      <c r="AS161" s="6" t="str">
        <f>HYPERLINK("https://creighton-primo.hosted.exlibrisgroup.com/primo-explore/search?tab=default_tab&amp;search_scope=EVERYTHING&amp;vid=01CRU&amp;lang=en_US&amp;offset=0&amp;query=any,contains,991002543989702656","Catalog Record")</f>
        <v>Catalog Record</v>
      </c>
      <c r="AT161" s="6" t="str">
        <f>HYPERLINK("http://www.worldcat.org/oclc/33055787","WorldCat Record")</f>
        <v>WorldCat Record</v>
      </c>
      <c r="AU161" s="3" t="s">
        <v>2230</v>
      </c>
      <c r="AV161" s="3" t="s">
        <v>2231</v>
      </c>
      <c r="AW161" s="3" t="s">
        <v>2232</v>
      </c>
      <c r="AX161" s="3" t="s">
        <v>2232</v>
      </c>
      <c r="AY161" s="3" t="s">
        <v>2233</v>
      </c>
      <c r="AZ161" s="3" t="s">
        <v>73</v>
      </c>
      <c r="BB161" s="3" t="s">
        <v>2234</v>
      </c>
      <c r="BC161" s="3" t="s">
        <v>2235</v>
      </c>
      <c r="BD161" s="3" t="s">
        <v>2236</v>
      </c>
    </row>
    <row r="162" spans="1:56" ht="41.25" customHeight="1" x14ac:dyDescent="0.25">
      <c r="A162" s="7" t="s">
        <v>58</v>
      </c>
      <c r="B162" s="2" t="s">
        <v>2237</v>
      </c>
      <c r="C162" s="2" t="s">
        <v>2238</v>
      </c>
      <c r="D162" s="2" t="s">
        <v>2239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2240</v>
      </c>
      <c r="L162" s="2" t="s">
        <v>2241</v>
      </c>
      <c r="M162" s="3" t="s">
        <v>1819</v>
      </c>
      <c r="N162" s="2" t="s">
        <v>2242</v>
      </c>
      <c r="O162" s="3" t="s">
        <v>64</v>
      </c>
      <c r="P162" s="3" t="s">
        <v>231</v>
      </c>
      <c r="Q162" s="2" t="s">
        <v>2243</v>
      </c>
      <c r="R162" s="3" t="s">
        <v>2200</v>
      </c>
      <c r="S162" s="4">
        <v>5</v>
      </c>
      <c r="T162" s="4">
        <v>5</v>
      </c>
      <c r="U162" s="5" t="s">
        <v>2244</v>
      </c>
      <c r="V162" s="5" t="s">
        <v>2244</v>
      </c>
      <c r="W162" s="5" t="s">
        <v>1044</v>
      </c>
      <c r="X162" s="5" t="s">
        <v>1044</v>
      </c>
      <c r="Y162" s="4">
        <v>154</v>
      </c>
      <c r="Z162" s="4">
        <v>94</v>
      </c>
      <c r="AA162" s="4">
        <v>125</v>
      </c>
      <c r="AB162" s="4">
        <v>1</v>
      </c>
      <c r="AC162" s="4">
        <v>1</v>
      </c>
      <c r="AD162" s="4">
        <v>0</v>
      </c>
      <c r="AE162" s="4">
        <v>2</v>
      </c>
      <c r="AF162" s="4">
        <v>0</v>
      </c>
      <c r="AG162" s="4">
        <v>1</v>
      </c>
      <c r="AH162" s="4">
        <v>0</v>
      </c>
      <c r="AI162" s="4">
        <v>1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3" t="s">
        <v>58</v>
      </c>
      <c r="AQ162" s="3" t="s">
        <v>85</v>
      </c>
      <c r="AR162" s="6" t="str">
        <f>HYPERLINK("http://catalog.hathitrust.org/Record/009095126","HathiTrust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HYPERLINK("https://creighton-primo.hosted.exlibrisgroup.com/primo-explore/search?tab=default_tab&amp;search_scope=EVERYTHING&amp;vid=01CRU&amp;lang=en_US&amp;offset=0&amp;query=any,contains,991004583389702656","Catalog Record")</f>
        <v>Catalog Record</v>
      </c>
      <c r="AT162" s="6" t="str">
        <f>HYPERLINK("http://www.worldcat.org/oclc/4076272","WorldCat Record")</f>
        <v>WorldCat Record</v>
      </c>
      <c r="AU162" s="3" t="s">
        <v>2245</v>
      </c>
      <c r="AV162" s="3" t="s">
        <v>2246</v>
      </c>
      <c r="AW162" s="3" t="s">
        <v>2247</v>
      </c>
      <c r="AX162" s="3" t="s">
        <v>2247</v>
      </c>
      <c r="AY162" s="3" t="s">
        <v>2248</v>
      </c>
      <c r="AZ162" s="3" t="s">
        <v>73</v>
      </c>
      <c r="BB162" s="3" t="s">
        <v>2249</v>
      </c>
      <c r="BC162" s="3" t="s">
        <v>2250</v>
      </c>
      <c r="BD162" s="3" t="s">
        <v>2251</v>
      </c>
    </row>
    <row r="163" spans="1:56" ht="41.25" customHeight="1" x14ac:dyDescent="0.25">
      <c r="A163" s="7" t="s">
        <v>58</v>
      </c>
      <c r="B163" s="2" t="s">
        <v>2252</v>
      </c>
      <c r="C163" s="2" t="s">
        <v>2253</v>
      </c>
      <c r="D163" s="2" t="s">
        <v>2254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K163" s="2" t="s">
        <v>2255</v>
      </c>
      <c r="L163" s="2" t="s">
        <v>2256</v>
      </c>
      <c r="M163" s="3" t="s">
        <v>98</v>
      </c>
      <c r="O163" s="3" t="s">
        <v>64</v>
      </c>
      <c r="P163" s="3" t="s">
        <v>231</v>
      </c>
      <c r="R163" s="3" t="s">
        <v>2200</v>
      </c>
      <c r="S163" s="4">
        <v>3</v>
      </c>
      <c r="T163" s="4">
        <v>3</v>
      </c>
      <c r="U163" s="5" t="s">
        <v>2257</v>
      </c>
      <c r="V163" s="5" t="s">
        <v>2257</v>
      </c>
      <c r="W163" s="5" t="s">
        <v>2258</v>
      </c>
      <c r="X163" s="5" t="s">
        <v>2258</v>
      </c>
      <c r="Y163" s="4">
        <v>91</v>
      </c>
      <c r="Z163" s="4">
        <v>40</v>
      </c>
      <c r="AA163" s="4">
        <v>41</v>
      </c>
      <c r="AB163" s="4">
        <v>1</v>
      </c>
      <c r="AC163" s="4">
        <v>1</v>
      </c>
      <c r="AD163" s="4">
        <v>1</v>
      </c>
      <c r="AE163" s="4">
        <v>1</v>
      </c>
      <c r="AF163" s="4">
        <v>1</v>
      </c>
      <c r="AG163" s="4">
        <v>1</v>
      </c>
      <c r="AH163" s="4">
        <v>0</v>
      </c>
      <c r="AI163" s="4">
        <v>0</v>
      </c>
      <c r="AJ163" s="4">
        <v>1</v>
      </c>
      <c r="AK163" s="4">
        <v>1</v>
      </c>
      <c r="AL163" s="4">
        <v>0</v>
      </c>
      <c r="AM163" s="4">
        <v>0</v>
      </c>
      <c r="AN163" s="4">
        <v>0</v>
      </c>
      <c r="AO163" s="4">
        <v>0</v>
      </c>
      <c r="AP163" s="3" t="s">
        <v>58</v>
      </c>
      <c r="AQ163" s="3" t="s">
        <v>85</v>
      </c>
      <c r="AR163" s="6" t="str">
        <f>HYPERLINK("http://catalog.hathitrust.org/Record/001549800","HathiTrust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HYPERLINK("https://creighton-primo.hosted.exlibrisgroup.com/primo-explore/search?tab=default_tab&amp;search_scope=EVERYTHING&amp;vid=01CRU&amp;lang=en_US&amp;offset=0&amp;query=any,contains,991001399519702656","Catalog Record")</f>
        <v>Catalog Record</v>
      </c>
      <c r="AT163" s="6" t="str">
        <f>HYPERLINK("http://www.worldcat.org/oclc/27434075","WorldCat Record")</f>
        <v>WorldCat Record</v>
      </c>
      <c r="AU163" s="3" t="s">
        <v>2259</v>
      </c>
      <c r="AV163" s="3" t="s">
        <v>2260</v>
      </c>
      <c r="AW163" s="3" t="s">
        <v>2261</v>
      </c>
      <c r="AX163" s="3" t="s">
        <v>2261</v>
      </c>
      <c r="AY163" s="3" t="s">
        <v>2262</v>
      </c>
      <c r="AZ163" s="3" t="s">
        <v>73</v>
      </c>
      <c r="BB163" s="3" t="s">
        <v>2263</v>
      </c>
      <c r="BC163" s="3" t="s">
        <v>2264</v>
      </c>
      <c r="BD163" s="3" t="s">
        <v>2265</v>
      </c>
    </row>
    <row r="164" spans="1:56" ht="41.25" customHeight="1" x14ac:dyDescent="0.25">
      <c r="A164" s="7" t="s">
        <v>58</v>
      </c>
      <c r="B164" s="2" t="s">
        <v>2266</v>
      </c>
      <c r="C164" s="2" t="s">
        <v>2267</v>
      </c>
      <c r="D164" s="2" t="s">
        <v>2268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L164" s="2" t="s">
        <v>2269</v>
      </c>
      <c r="M164" s="3" t="s">
        <v>452</v>
      </c>
      <c r="O164" s="3" t="s">
        <v>64</v>
      </c>
      <c r="P164" s="3" t="s">
        <v>65</v>
      </c>
      <c r="Q164" s="2" t="s">
        <v>2270</v>
      </c>
      <c r="R164" s="3" t="s">
        <v>2200</v>
      </c>
      <c r="S164" s="4">
        <v>1</v>
      </c>
      <c r="T164" s="4">
        <v>1</v>
      </c>
      <c r="U164" s="5" t="s">
        <v>2271</v>
      </c>
      <c r="V164" s="5" t="s">
        <v>2271</v>
      </c>
      <c r="W164" s="5" t="s">
        <v>799</v>
      </c>
      <c r="X164" s="5" t="s">
        <v>799</v>
      </c>
      <c r="Y164" s="4">
        <v>26</v>
      </c>
      <c r="Z164" s="4">
        <v>26</v>
      </c>
      <c r="AA164" s="4">
        <v>26</v>
      </c>
      <c r="AB164" s="4">
        <v>1</v>
      </c>
      <c r="AC164" s="4">
        <v>1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3" t="s">
        <v>58</v>
      </c>
      <c r="AQ164" s="3" t="s">
        <v>58</v>
      </c>
      <c r="AS164" s="6" t="str">
        <f>HYPERLINK("https://creighton-primo.hosted.exlibrisgroup.com/primo-explore/search?tab=default_tab&amp;search_scope=EVERYTHING&amp;vid=01CRU&amp;lang=en_US&amp;offset=0&amp;query=any,contains,991003448779702656","Catalog Record")</f>
        <v>Catalog Record</v>
      </c>
      <c r="AT164" s="6" t="str">
        <f>HYPERLINK("http://www.worldcat.org/oclc/984267","WorldCat Record")</f>
        <v>WorldCat Record</v>
      </c>
      <c r="AU164" s="3" t="s">
        <v>2272</v>
      </c>
      <c r="AV164" s="3" t="s">
        <v>2273</v>
      </c>
      <c r="AW164" s="3" t="s">
        <v>2274</v>
      </c>
      <c r="AX164" s="3" t="s">
        <v>2274</v>
      </c>
      <c r="AY164" s="3" t="s">
        <v>2275</v>
      </c>
      <c r="AZ164" s="3" t="s">
        <v>73</v>
      </c>
      <c r="BC164" s="3" t="s">
        <v>2276</v>
      </c>
      <c r="BD164" s="3" t="s">
        <v>2277</v>
      </c>
    </row>
    <row r="165" spans="1:56" ht="41.25" customHeight="1" x14ac:dyDescent="0.25">
      <c r="A165" s="7" t="s">
        <v>58</v>
      </c>
      <c r="B165" s="2" t="s">
        <v>2278</v>
      </c>
      <c r="C165" s="2" t="s">
        <v>2279</v>
      </c>
      <c r="D165" s="2" t="s">
        <v>2280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1817</v>
      </c>
      <c r="L165" s="2" t="s">
        <v>2281</v>
      </c>
      <c r="M165" s="3" t="s">
        <v>230</v>
      </c>
      <c r="O165" s="3" t="s">
        <v>64</v>
      </c>
      <c r="P165" s="3" t="s">
        <v>405</v>
      </c>
      <c r="R165" s="3" t="s">
        <v>2200</v>
      </c>
      <c r="S165" s="4">
        <v>16</v>
      </c>
      <c r="T165" s="4">
        <v>16</v>
      </c>
      <c r="U165" s="5" t="s">
        <v>1805</v>
      </c>
      <c r="V165" s="5" t="s">
        <v>1805</v>
      </c>
      <c r="W165" s="5" t="s">
        <v>2282</v>
      </c>
      <c r="X165" s="5" t="s">
        <v>2282</v>
      </c>
      <c r="Y165" s="4">
        <v>878</v>
      </c>
      <c r="Z165" s="4">
        <v>848</v>
      </c>
      <c r="AA165" s="4">
        <v>1144</v>
      </c>
      <c r="AB165" s="4">
        <v>17</v>
      </c>
      <c r="AC165" s="4">
        <v>24</v>
      </c>
      <c r="AD165" s="4">
        <v>19</v>
      </c>
      <c r="AE165" s="4">
        <v>25</v>
      </c>
      <c r="AF165" s="4">
        <v>6</v>
      </c>
      <c r="AG165" s="4">
        <v>8</v>
      </c>
      <c r="AH165" s="4">
        <v>2</v>
      </c>
      <c r="AI165" s="4">
        <v>2</v>
      </c>
      <c r="AJ165" s="4">
        <v>6</v>
      </c>
      <c r="AK165" s="4">
        <v>8</v>
      </c>
      <c r="AL165" s="4">
        <v>6</v>
      </c>
      <c r="AM165" s="4">
        <v>8</v>
      </c>
      <c r="AN165" s="4">
        <v>1</v>
      </c>
      <c r="AO165" s="4">
        <v>2</v>
      </c>
      <c r="AP165" s="3" t="s">
        <v>58</v>
      </c>
      <c r="AQ165" s="3" t="s">
        <v>85</v>
      </c>
      <c r="AR165" s="6" t="str">
        <f>HYPERLINK("http://catalog.hathitrust.org/Record/000750356","HathiTrust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HYPERLINK("https://creighton-primo.hosted.exlibrisgroup.com/primo-explore/search?tab=default_tab&amp;search_scope=EVERYTHING&amp;vid=01CRU&amp;lang=en_US&amp;offset=0&amp;query=any,contains,991004416459702656","Catalog Record")</f>
        <v>Catalog Record</v>
      </c>
      <c r="AT165" s="6" t="str">
        <f>HYPERLINK("http://www.worldcat.org/oclc/3363753","WorldCat Record")</f>
        <v>WorldCat Record</v>
      </c>
      <c r="AU165" s="3" t="s">
        <v>2283</v>
      </c>
      <c r="AV165" s="3" t="s">
        <v>2284</v>
      </c>
      <c r="AW165" s="3" t="s">
        <v>2285</v>
      </c>
      <c r="AX165" s="3" t="s">
        <v>2285</v>
      </c>
      <c r="AY165" s="3" t="s">
        <v>2286</v>
      </c>
      <c r="AZ165" s="3" t="s">
        <v>73</v>
      </c>
      <c r="BB165" s="3" t="s">
        <v>2287</v>
      </c>
      <c r="BC165" s="3" t="s">
        <v>2288</v>
      </c>
      <c r="BD165" s="3" t="s">
        <v>2289</v>
      </c>
    </row>
    <row r="166" spans="1:56" ht="41.25" customHeight="1" x14ac:dyDescent="0.25">
      <c r="A166" s="7" t="s">
        <v>58</v>
      </c>
      <c r="B166" s="2" t="s">
        <v>2290</v>
      </c>
      <c r="C166" s="2" t="s">
        <v>2291</v>
      </c>
      <c r="D166" s="2" t="s">
        <v>2292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2293</v>
      </c>
      <c r="L166" s="2" t="s">
        <v>2294</v>
      </c>
      <c r="M166" s="3" t="s">
        <v>2295</v>
      </c>
      <c r="O166" s="3" t="s">
        <v>64</v>
      </c>
      <c r="P166" s="3" t="s">
        <v>388</v>
      </c>
      <c r="Q166" s="2" t="s">
        <v>2296</v>
      </c>
      <c r="R166" s="3" t="s">
        <v>2200</v>
      </c>
      <c r="S166" s="4">
        <v>2</v>
      </c>
      <c r="T166" s="4">
        <v>2</v>
      </c>
      <c r="U166" s="5" t="s">
        <v>2297</v>
      </c>
      <c r="V166" s="5" t="s">
        <v>2297</v>
      </c>
      <c r="W166" s="5" t="s">
        <v>2282</v>
      </c>
      <c r="X166" s="5" t="s">
        <v>2282</v>
      </c>
      <c r="Y166" s="4">
        <v>81</v>
      </c>
      <c r="Z166" s="4">
        <v>75</v>
      </c>
      <c r="AA166" s="4">
        <v>80</v>
      </c>
      <c r="AB166" s="4">
        <v>2</v>
      </c>
      <c r="AC166" s="4">
        <v>2</v>
      </c>
      <c r="AD166" s="4">
        <v>2</v>
      </c>
      <c r="AE166" s="4">
        <v>2</v>
      </c>
      <c r="AF166" s="4">
        <v>0</v>
      </c>
      <c r="AG166" s="4">
        <v>0</v>
      </c>
      <c r="AH166" s="4">
        <v>0</v>
      </c>
      <c r="AI166" s="4">
        <v>0</v>
      </c>
      <c r="AJ166" s="4">
        <v>1</v>
      </c>
      <c r="AK166" s="4">
        <v>1</v>
      </c>
      <c r="AL166" s="4">
        <v>1</v>
      </c>
      <c r="AM166" s="4">
        <v>1</v>
      </c>
      <c r="AN166" s="4">
        <v>0</v>
      </c>
      <c r="AO166" s="4">
        <v>0</v>
      </c>
      <c r="AP166" s="3" t="s">
        <v>58</v>
      </c>
      <c r="AQ166" s="3" t="s">
        <v>58</v>
      </c>
      <c r="AR166" s="6" t="str">
        <f>HYPERLINK("http://catalog.hathitrust.org/Record/009058281","HathiTrust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HYPERLINK("https://creighton-primo.hosted.exlibrisgroup.com/primo-explore/search?tab=default_tab&amp;search_scope=EVERYTHING&amp;vid=01CRU&amp;lang=en_US&amp;offset=0&amp;query=any,contains,991003983439702656","Catalog Record")</f>
        <v>Catalog Record</v>
      </c>
      <c r="AT166" s="6" t="str">
        <f>HYPERLINK("http://www.worldcat.org/oclc/2022690","WorldCat Record")</f>
        <v>WorldCat Record</v>
      </c>
      <c r="AU166" s="3" t="s">
        <v>2298</v>
      </c>
      <c r="AV166" s="3" t="s">
        <v>2299</v>
      </c>
      <c r="AW166" s="3" t="s">
        <v>2300</v>
      </c>
      <c r="AX166" s="3" t="s">
        <v>2300</v>
      </c>
      <c r="AY166" s="3" t="s">
        <v>2301</v>
      </c>
      <c r="AZ166" s="3" t="s">
        <v>73</v>
      </c>
      <c r="BC166" s="3" t="s">
        <v>2302</v>
      </c>
      <c r="BD166" s="3" t="s">
        <v>2303</v>
      </c>
    </row>
    <row r="167" spans="1:56" ht="41.25" customHeight="1" x14ac:dyDescent="0.25">
      <c r="A167" s="7" t="s">
        <v>58</v>
      </c>
      <c r="B167" s="2" t="s">
        <v>2304</v>
      </c>
      <c r="C167" s="2" t="s">
        <v>2305</v>
      </c>
      <c r="D167" s="2" t="s">
        <v>2306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2307</v>
      </c>
      <c r="L167" s="2" t="s">
        <v>2308</v>
      </c>
      <c r="M167" s="3" t="s">
        <v>230</v>
      </c>
      <c r="O167" s="3" t="s">
        <v>64</v>
      </c>
      <c r="P167" s="3" t="s">
        <v>670</v>
      </c>
      <c r="R167" s="3" t="s">
        <v>2200</v>
      </c>
      <c r="S167" s="4">
        <v>3</v>
      </c>
      <c r="T167" s="4">
        <v>3</v>
      </c>
      <c r="U167" s="5" t="s">
        <v>2309</v>
      </c>
      <c r="V167" s="5" t="s">
        <v>2309</v>
      </c>
      <c r="W167" s="5" t="s">
        <v>799</v>
      </c>
      <c r="X167" s="5" t="s">
        <v>799</v>
      </c>
      <c r="Y167" s="4">
        <v>390</v>
      </c>
      <c r="Z167" s="4">
        <v>324</v>
      </c>
      <c r="AA167" s="4">
        <v>329</v>
      </c>
      <c r="AB167" s="4">
        <v>3</v>
      </c>
      <c r="AC167" s="4">
        <v>3</v>
      </c>
      <c r="AD167" s="4">
        <v>16</v>
      </c>
      <c r="AE167" s="4">
        <v>16</v>
      </c>
      <c r="AF167" s="4">
        <v>4</v>
      </c>
      <c r="AG167" s="4">
        <v>4</v>
      </c>
      <c r="AH167" s="4">
        <v>5</v>
      </c>
      <c r="AI167" s="4">
        <v>5</v>
      </c>
      <c r="AJ167" s="4">
        <v>8</v>
      </c>
      <c r="AK167" s="4">
        <v>8</v>
      </c>
      <c r="AL167" s="4">
        <v>2</v>
      </c>
      <c r="AM167" s="4">
        <v>2</v>
      </c>
      <c r="AN167" s="4">
        <v>0</v>
      </c>
      <c r="AO167" s="4">
        <v>0</v>
      </c>
      <c r="AP167" s="3" t="s">
        <v>58</v>
      </c>
      <c r="AQ167" s="3" t="s">
        <v>85</v>
      </c>
      <c r="AR167" s="6" t="str">
        <f>HYPERLINK("http://catalog.hathitrust.org/Record/000294574","HathiTrust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HYPERLINK("https://creighton-primo.hosted.exlibrisgroup.com/primo-explore/search?tab=default_tab&amp;search_scope=EVERYTHING&amp;vid=01CRU&amp;lang=en_US&amp;offset=0&amp;query=any,contains,991004337839702656","Catalog Record")</f>
        <v>Catalog Record</v>
      </c>
      <c r="AT167" s="6" t="str">
        <f>HYPERLINK("http://www.worldcat.org/oclc/3079252","WorldCat Record")</f>
        <v>WorldCat Record</v>
      </c>
      <c r="AU167" s="3" t="s">
        <v>2310</v>
      </c>
      <c r="AV167" s="3" t="s">
        <v>2311</v>
      </c>
      <c r="AW167" s="3" t="s">
        <v>2312</v>
      </c>
      <c r="AX167" s="3" t="s">
        <v>2312</v>
      </c>
      <c r="AY167" s="3" t="s">
        <v>2313</v>
      </c>
      <c r="AZ167" s="3" t="s">
        <v>73</v>
      </c>
      <c r="BB167" s="3" t="s">
        <v>2314</v>
      </c>
      <c r="BC167" s="3" t="s">
        <v>2315</v>
      </c>
      <c r="BD167" s="3" t="s">
        <v>2316</v>
      </c>
    </row>
    <row r="168" spans="1:56" ht="41.25" customHeight="1" x14ac:dyDescent="0.25">
      <c r="A168" s="7" t="s">
        <v>58</v>
      </c>
      <c r="B168" s="2" t="s">
        <v>2317</v>
      </c>
      <c r="C168" s="2" t="s">
        <v>2318</v>
      </c>
      <c r="D168" s="2" t="s">
        <v>2319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K168" s="2" t="s">
        <v>2320</v>
      </c>
      <c r="L168" s="2" t="s">
        <v>2321</v>
      </c>
      <c r="M168" s="3" t="s">
        <v>2322</v>
      </c>
      <c r="O168" s="3" t="s">
        <v>2323</v>
      </c>
      <c r="P168" s="3" t="s">
        <v>2324</v>
      </c>
      <c r="R168" s="3" t="s">
        <v>2200</v>
      </c>
      <c r="S168" s="4">
        <v>7</v>
      </c>
      <c r="T168" s="4">
        <v>7</v>
      </c>
      <c r="U168" s="5" t="s">
        <v>2325</v>
      </c>
      <c r="V168" s="5" t="s">
        <v>2325</v>
      </c>
      <c r="W168" s="5" t="s">
        <v>2326</v>
      </c>
      <c r="X168" s="5" t="s">
        <v>2326</v>
      </c>
      <c r="Y168" s="4">
        <v>69</v>
      </c>
      <c r="Z168" s="4">
        <v>52</v>
      </c>
      <c r="AA168" s="4">
        <v>53</v>
      </c>
      <c r="AB168" s="4">
        <v>2</v>
      </c>
      <c r="AC168" s="4">
        <v>2</v>
      </c>
      <c r="AD168" s="4">
        <v>4</v>
      </c>
      <c r="AE168" s="4">
        <v>4</v>
      </c>
      <c r="AF168" s="4">
        <v>2</v>
      </c>
      <c r="AG168" s="4">
        <v>2</v>
      </c>
      <c r="AH168" s="4">
        <v>0</v>
      </c>
      <c r="AI168" s="4">
        <v>0</v>
      </c>
      <c r="AJ168" s="4">
        <v>2</v>
      </c>
      <c r="AK168" s="4">
        <v>2</v>
      </c>
      <c r="AL168" s="4">
        <v>1</v>
      </c>
      <c r="AM168" s="4">
        <v>1</v>
      </c>
      <c r="AN168" s="4">
        <v>0</v>
      </c>
      <c r="AO168" s="4">
        <v>0</v>
      </c>
      <c r="AP168" s="3" t="s">
        <v>58</v>
      </c>
      <c r="AQ168" s="3" t="s">
        <v>85</v>
      </c>
      <c r="AR168" s="6" t="str">
        <f>HYPERLINK("http://catalog.hathitrust.org/Record/008308748","HathiTrust Record")</f>
        <v>HathiTrust Record</v>
      </c>
      <c r="AS168" s="6" t="str">
        <f>HYPERLINK("https://creighton-primo.hosted.exlibrisgroup.com/primo-explore/search?tab=default_tab&amp;search_scope=EVERYTHING&amp;vid=01CRU&amp;lang=en_US&amp;offset=0&amp;query=any,contains,991002937279702656","Catalog Record")</f>
        <v>Catalog Record</v>
      </c>
      <c r="AT168" s="6" t="str">
        <f>HYPERLINK("http://www.worldcat.org/oclc/39069597","WorldCat Record")</f>
        <v>WorldCat Record</v>
      </c>
      <c r="AU168" s="3" t="s">
        <v>2327</v>
      </c>
      <c r="AV168" s="3" t="s">
        <v>2328</v>
      </c>
      <c r="AW168" s="3" t="s">
        <v>2329</v>
      </c>
      <c r="AX168" s="3" t="s">
        <v>2329</v>
      </c>
      <c r="AY168" s="3" t="s">
        <v>2330</v>
      </c>
      <c r="AZ168" s="3" t="s">
        <v>73</v>
      </c>
      <c r="BC168" s="3" t="s">
        <v>2331</v>
      </c>
      <c r="BD168" s="3" t="s">
        <v>2332</v>
      </c>
    </row>
    <row r="169" spans="1:56" ht="41.25" customHeight="1" x14ac:dyDescent="0.25">
      <c r="A169" s="7" t="s">
        <v>58</v>
      </c>
      <c r="B169" s="2" t="s">
        <v>2333</v>
      </c>
      <c r="C169" s="2" t="s">
        <v>2334</v>
      </c>
      <c r="D169" s="2" t="s">
        <v>2335</v>
      </c>
      <c r="F169" s="3" t="s">
        <v>58</v>
      </c>
      <c r="G169" s="3" t="s">
        <v>59</v>
      </c>
      <c r="H169" s="3" t="s">
        <v>58</v>
      </c>
      <c r="I169" s="3" t="s">
        <v>58</v>
      </c>
      <c r="J169" s="3" t="s">
        <v>60</v>
      </c>
      <c r="K169" s="2" t="s">
        <v>2336</v>
      </c>
      <c r="L169" s="2" t="s">
        <v>2337</v>
      </c>
      <c r="M169" s="3" t="s">
        <v>1754</v>
      </c>
      <c r="O169" s="3" t="s">
        <v>64</v>
      </c>
      <c r="P169" s="3" t="s">
        <v>65</v>
      </c>
      <c r="R169" s="3" t="s">
        <v>2200</v>
      </c>
      <c r="S169" s="4">
        <v>11</v>
      </c>
      <c r="T169" s="4">
        <v>11</v>
      </c>
      <c r="U169" s="5" t="s">
        <v>2338</v>
      </c>
      <c r="V169" s="5" t="s">
        <v>2338</v>
      </c>
      <c r="W169" s="5" t="s">
        <v>2339</v>
      </c>
      <c r="X169" s="5" t="s">
        <v>2339</v>
      </c>
      <c r="Y169" s="4">
        <v>650</v>
      </c>
      <c r="Z169" s="4">
        <v>620</v>
      </c>
      <c r="AA169" s="4">
        <v>652</v>
      </c>
      <c r="AB169" s="4">
        <v>3</v>
      </c>
      <c r="AC169" s="4">
        <v>3</v>
      </c>
      <c r="AD169" s="4">
        <v>5</v>
      </c>
      <c r="AE169" s="4">
        <v>5</v>
      </c>
      <c r="AF169" s="4">
        <v>3</v>
      </c>
      <c r="AG169" s="4">
        <v>3</v>
      </c>
      <c r="AH169" s="4">
        <v>1</v>
      </c>
      <c r="AI169" s="4">
        <v>1</v>
      </c>
      <c r="AJ169" s="4">
        <v>2</v>
      </c>
      <c r="AK169" s="4">
        <v>2</v>
      </c>
      <c r="AL169" s="4">
        <v>0</v>
      </c>
      <c r="AM169" s="4">
        <v>0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HYPERLINK("https://creighton-primo.hosted.exlibrisgroup.com/primo-explore/search?tab=default_tab&amp;search_scope=EVERYTHING&amp;vid=01CRU&amp;lang=en_US&amp;offset=0&amp;query=any,contains,991001221609702656","Catalog Record")</f>
        <v>Catalog Record</v>
      </c>
      <c r="AT169" s="6" t="str">
        <f>HYPERLINK("http://www.worldcat.org/oclc/17478288","WorldCat Record")</f>
        <v>WorldCat Record</v>
      </c>
      <c r="AU169" s="3" t="s">
        <v>2340</v>
      </c>
      <c r="AV169" s="3" t="s">
        <v>2341</v>
      </c>
      <c r="AW169" s="3" t="s">
        <v>2342</v>
      </c>
      <c r="AX169" s="3" t="s">
        <v>2342</v>
      </c>
      <c r="AY169" s="3" t="s">
        <v>2343</v>
      </c>
      <c r="AZ169" s="3" t="s">
        <v>73</v>
      </c>
      <c r="BB169" s="3" t="s">
        <v>2344</v>
      </c>
      <c r="BC169" s="3" t="s">
        <v>2345</v>
      </c>
      <c r="BD169" s="3" t="s">
        <v>2346</v>
      </c>
    </row>
    <row r="170" spans="1:56" ht="41.25" customHeight="1" x14ac:dyDescent="0.25">
      <c r="A170" s="7" t="s">
        <v>58</v>
      </c>
      <c r="B170" s="2" t="s">
        <v>2347</v>
      </c>
      <c r="C170" s="2" t="s">
        <v>2348</v>
      </c>
      <c r="D170" s="2" t="s">
        <v>2349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2350</v>
      </c>
      <c r="L170" s="2" t="s">
        <v>2351</v>
      </c>
      <c r="M170" s="3" t="s">
        <v>2352</v>
      </c>
      <c r="N170" s="2" t="s">
        <v>528</v>
      </c>
      <c r="O170" s="3" t="s">
        <v>64</v>
      </c>
      <c r="P170" s="3" t="s">
        <v>65</v>
      </c>
      <c r="R170" s="3" t="s">
        <v>2200</v>
      </c>
      <c r="S170" s="4">
        <v>3</v>
      </c>
      <c r="T170" s="4">
        <v>3</v>
      </c>
      <c r="U170" s="5" t="s">
        <v>2353</v>
      </c>
      <c r="V170" s="5" t="s">
        <v>2353</v>
      </c>
      <c r="W170" s="5" t="s">
        <v>2354</v>
      </c>
      <c r="X170" s="5" t="s">
        <v>2354</v>
      </c>
      <c r="Y170" s="4">
        <v>251</v>
      </c>
      <c r="Z170" s="4">
        <v>191</v>
      </c>
      <c r="AA170" s="4">
        <v>200</v>
      </c>
      <c r="AB170" s="4">
        <v>2</v>
      </c>
      <c r="AC170" s="4">
        <v>2</v>
      </c>
      <c r="AD170" s="4">
        <v>5</v>
      </c>
      <c r="AE170" s="4">
        <v>5</v>
      </c>
      <c r="AF170" s="4">
        <v>1</v>
      </c>
      <c r="AG170" s="4">
        <v>1</v>
      </c>
      <c r="AH170" s="4">
        <v>1</v>
      </c>
      <c r="AI170" s="4">
        <v>1</v>
      </c>
      <c r="AJ170" s="4">
        <v>3</v>
      </c>
      <c r="AK170" s="4">
        <v>3</v>
      </c>
      <c r="AL170" s="4">
        <v>1</v>
      </c>
      <c r="AM170" s="4">
        <v>1</v>
      </c>
      <c r="AN170" s="4">
        <v>0</v>
      </c>
      <c r="AO170" s="4">
        <v>0</v>
      </c>
      <c r="AP170" s="3" t="s">
        <v>85</v>
      </c>
      <c r="AQ170" s="3" t="s">
        <v>58</v>
      </c>
      <c r="AR170" s="6" t="str">
        <f>HYPERLINK("http://catalog.hathitrust.org/Record/001046307","HathiTrust Record")</f>
        <v>HathiTrust Record</v>
      </c>
      <c r="AS170" s="6" t="str">
        <f>HYPERLINK("https://creighton-primo.hosted.exlibrisgroup.com/primo-explore/search?tab=default_tab&amp;search_scope=EVERYTHING&amp;vid=01CRU&amp;lang=en_US&amp;offset=0&amp;query=any,contains,991003676799702656","Catalog Record")</f>
        <v>Catalog Record</v>
      </c>
      <c r="AT170" s="6" t="str">
        <f>HYPERLINK("http://www.worldcat.org/oclc/1298910","WorldCat Record")</f>
        <v>WorldCat Record</v>
      </c>
      <c r="AU170" s="3" t="s">
        <v>2355</v>
      </c>
      <c r="AV170" s="3" t="s">
        <v>2356</v>
      </c>
      <c r="AW170" s="3" t="s">
        <v>2357</v>
      </c>
      <c r="AX170" s="3" t="s">
        <v>2357</v>
      </c>
      <c r="AY170" s="3" t="s">
        <v>2358</v>
      </c>
      <c r="AZ170" s="3" t="s">
        <v>73</v>
      </c>
      <c r="BC170" s="3" t="s">
        <v>2359</v>
      </c>
      <c r="BD170" s="3" t="s">
        <v>2360</v>
      </c>
    </row>
    <row r="171" spans="1:56" ht="41.25" customHeight="1" x14ac:dyDescent="0.25">
      <c r="A171" s="7" t="s">
        <v>58</v>
      </c>
      <c r="B171" s="2" t="s">
        <v>2361</v>
      </c>
      <c r="C171" s="2" t="s">
        <v>2362</v>
      </c>
      <c r="D171" s="2" t="s">
        <v>2363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2364</v>
      </c>
      <c r="L171" s="2" t="s">
        <v>2365</v>
      </c>
      <c r="M171" s="3" t="s">
        <v>437</v>
      </c>
      <c r="N171" s="2" t="s">
        <v>528</v>
      </c>
      <c r="O171" s="3" t="s">
        <v>64</v>
      </c>
      <c r="P171" s="3" t="s">
        <v>65</v>
      </c>
      <c r="R171" s="3" t="s">
        <v>2200</v>
      </c>
      <c r="S171" s="4">
        <v>18</v>
      </c>
      <c r="T171" s="4">
        <v>18</v>
      </c>
      <c r="U171" s="5" t="s">
        <v>2366</v>
      </c>
      <c r="V171" s="5" t="s">
        <v>2366</v>
      </c>
      <c r="W171" s="5" t="s">
        <v>1936</v>
      </c>
      <c r="X171" s="5" t="s">
        <v>1936</v>
      </c>
      <c r="Y171" s="4">
        <v>1195</v>
      </c>
      <c r="Z171" s="4">
        <v>1144</v>
      </c>
      <c r="AA171" s="4">
        <v>1481</v>
      </c>
      <c r="AB171" s="4">
        <v>8</v>
      </c>
      <c r="AC171" s="4">
        <v>9</v>
      </c>
      <c r="AD171" s="4">
        <v>17</v>
      </c>
      <c r="AE171" s="4">
        <v>24</v>
      </c>
      <c r="AF171" s="4">
        <v>9</v>
      </c>
      <c r="AG171" s="4">
        <v>12</v>
      </c>
      <c r="AH171" s="4">
        <v>1</v>
      </c>
      <c r="AI171" s="4">
        <v>3</v>
      </c>
      <c r="AJ171" s="4">
        <v>7</v>
      </c>
      <c r="AK171" s="4">
        <v>8</v>
      </c>
      <c r="AL171" s="4">
        <v>2</v>
      </c>
      <c r="AM171" s="4">
        <v>3</v>
      </c>
      <c r="AN171" s="4">
        <v>1</v>
      </c>
      <c r="AO171" s="4">
        <v>1</v>
      </c>
      <c r="AP171" s="3" t="s">
        <v>58</v>
      </c>
      <c r="AQ171" s="3" t="s">
        <v>58</v>
      </c>
      <c r="AS171" s="6" t="str">
        <f>HYPERLINK("https://creighton-primo.hosted.exlibrisgroup.com/primo-explore/search?tab=default_tab&amp;search_scope=EVERYTHING&amp;vid=01CRU&amp;lang=en_US&amp;offset=0&amp;query=any,contains,991005053279702656","Catalog Record")</f>
        <v>Catalog Record</v>
      </c>
      <c r="AT171" s="6" t="str">
        <f>HYPERLINK("http://www.worldcat.org/oclc/6889115","WorldCat Record")</f>
        <v>WorldCat Record</v>
      </c>
      <c r="AU171" s="3" t="s">
        <v>2367</v>
      </c>
      <c r="AV171" s="3" t="s">
        <v>2368</v>
      </c>
      <c r="AW171" s="3" t="s">
        <v>2369</v>
      </c>
      <c r="AX171" s="3" t="s">
        <v>2369</v>
      </c>
      <c r="AY171" s="3" t="s">
        <v>2370</v>
      </c>
      <c r="AZ171" s="3" t="s">
        <v>73</v>
      </c>
      <c r="BB171" s="3" t="s">
        <v>2371</v>
      </c>
      <c r="BC171" s="3" t="s">
        <v>2372</v>
      </c>
      <c r="BD171" s="3" t="s">
        <v>2373</v>
      </c>
    </row>
    <row r="172" spans="1:56" ht="41.25" customHeight="1" x14ac:dyDescent="0.25">
      <c r="A172" s="7" t="s">
        <v>58</v>
      </c>
      <c r="B172" s="2" t="s">
        <v>2374</v>
      </c>
      <c r="C172" s="2" t="s">
        <v>2375</v>
      </c>
      <c r="D172" s="2" t="s">
        <v>2376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L172" s="2" t="s">
        <v>2377</v>
      </c>
      <c r="M172" s="3" t="s">
        <v>403</v>
      </c>
      <c r="O172" s="3" t="s">
        <v>64</v>
      </c>
      <c r="P172" s="3" t="s">
        <v>1315</v>
      </c>
      <c r="R172" s="3" t="s">
        <v>2200</v>
      </c>
      <c r="S172" s="4">
        <v>11</v>
      </c>
      <c r="T172" s="4">
        <v>11</v>
      </c>
      <c r="U172" s="5" t="s">
        <v>453</v>
      </c>
      <c r="V172" s="5" t="s">
        <v>453</v>
      </c>
      <c r="W172" s="5" t="s">
        <v>1467</v>
      </c>
      <c r="X172" s="5" t="s">
        <v>1467</v>
      </c>
      <c r="Y172" s="4">
        <v>623</v>
      </c>
      <c r="Z172" s="4">
        <v>531</v>
      </c>
      <c r="AA172" s="4">
        <v>544</v>
      </c>
      <c r="AB172" s="4">
        <v>5</v>
      </c>
      <c r="AC172" s="4">
        <v>5</v>
      </c>
      <c r="AD172" s="4">
        <v>23</v>
      </c>
      <c r="AE172" s="4">
        <v>23</v>
      </c>
      <c r="AF172" s="4">
        <v>7</v>
      </c>
      <c r="AG172" s="4">
        <v>7</v>
      </c>
      <c r="AH172" s="4">
        <v>5</v>
      </c>
      <c r="AI172" s="4">
        <v>5</v>
      </c>
      <c r="AJ172" s="4">
        <v>11</v>
      </c>
      <c r="AK172" s="4">
        <v>11</v>
      </c>
      <c r="AL172" s="4">
        <v>4</v>
      </c>
      <c r="AM172" s="4">
        <v>4</v>
      </c>
      <c r="AN172" s="4">
        <v>0</v>
      </c>
      <c r="AO172" s="4">
        <v>0</v>
      </c>
      <c r="AP172" s="3" t="s">
        <v>58</v>
      </c>
      <c r="AQ172" s="3" t="s">
        <v>58</v>
      </c>
      <c r="AS172" s="6" t="str">
        <f>HYPERLINK("https://creighton-primo.hosted.exlibrisgroup.com/primo-explore/search?tab=default_tab&amp;search_scope=EVERYTHING&amp;vid=01CRU&amp;lang=en_US&amp;offset=0&amp;query=any,contains,991004661649702656","Catalog Record")</f>
        <v>Catalog Record</v>
      </c>
      <c r="AT172" s="6" t="str">
        <f>HYPERLINK("http://www.worldcat.org/oclc/4497191","WorldCat Record")</f>
        <v>WorldCat Record</v>
      </c>
      <c r="AU172" s="3" t="s">
        <v>2378</v>
      </c>
      <c r="AV172" s="3" t="s">
        <v>2379</v>
      </c>
      <c r="AW172" s="3" t="s">
        <v>2380</v>
      </c>
      <c r="AX172" s="3" t="s">
        <v>2380</v>
      </c>
      <c r="AY172" s="3" t="s">
        <v>2381</v>
      </c>
      <c r="AZ172" s="3" t="s">
        <v>73</v>
      </c>
      <c r="BB172" s="3" t="s">
        <v>2382</v>
      </c>
      <c r="BC172" s="3" t="s">
        <v>2383</v>
      </c>
      <c r="BD172" s="3" t="s">
        <v>2384</v>
      </c>
    </row>
    <row r="173" spans="1:56" ht="41.25" customHeight="1" x14ac:dyDescent="0.25">
      <c r="A173" s="7" t="s">
        <v>58</v>
      </c>
      <c r="B173" s="2" t="s">
        <v>2385</v>
      </c>
      <c r="C173" s="2" t="s">
        <v>2386</v>
      </c>
      <c r="D173" s="2" t="s">
        <v>2387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2388</v>
      </c>
      <c r="L173" s="2" t="s">
        <v>2389</v>
      </c>
      <c r="M173" s="3" t="s">
        <v>2390</v>
      </c>
      <c r="O173" s="3" t="s">
        <v>64</v>
      </c>
      <c r="P173" s="3" t="s">
        <v>231</v>
      </c>
      <c r="R173" s="3" t="s">
        <v>2200</v>
      </c>
      <c r="S173" s="4">
        <v>5</v>
      </c>
      <c r="T173" s="4">
        <v>5</v>
      </c>
      <c r="U173" s="5" t="s">
        <v>2391</v>
      </c>
      <c r="V173" s="5" t="s">
        <v>2391</v>
      </c>
      <c r="W173" s="5" t="s">
        <v>2392</v>
      </c>
      <c r="X173" s="5" t="s">
        <v>2392</v>
      </c>
      <c r="Y173" s="4">
        <v>24</v>
      </c>
      <c r="Z173" s="4">
        <v>23</v>
      </c>
      <c r="AA173" s="4">
        <v>51</v>
      </c>
      <c r="AB173" s="4">
        <v>1</v>
      </c>
      <c r="AC173" s="4">
        <v>1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3" t="s">
        <v>85</v>
      </c>
      <c r="AQ173" s="3" t="s">
        <v>58</v>
      </c>
      <c r="AR173" s="6" t="str">
        <f>HYPERLINK("http://catalog.hathitrust.org/Record/007936440","HathiTrust Record")</f>
        <v>HathiTrust Record</v>
      </c>
      <c r="AS173" s="6" t="str">
        <f>HYPERLINK("https://creighton-primo.hosted.exlibrisgroup.com/primo-explore/search?tab=default_tab&amp;search_scope=EVERYTHING&amp;vid=01CRU&amp;lang=en_US&amp;offset=0&amp;query=any,contains,991003979809702656","Catalog Record")</f>
        <v>Catalog Record</v>
      </c>
      <c r="AT173" s="6" t="str">
        <f>HYPERLINK("http://www.worldcat.org/oclc/2018628","WorldCat Record")</f>
        <v>WorldCat Record</v>
      </c>
      <c r="AU173" s="3" t="s">
        <v>2393</v>
      </c>
      <c r="AV173" s="3" t="s">
        <v>2394</v>
      </c>
      <c r="AW173" s="3" t="s">
        <v>2395</v>
      </c>
      <c r="AX173" s="3" t="s">
        <v>2395</v>
      </c>
      <c r="AY173" s="3" t="s">
        <v>2396</v>
      </c>
      <c r="AZ173" s="3" t="s">
        <v>73</v>
      </c>
      <c r="BC173" s="3" t="s">
        <v>2397</v>
      </c>
      <c r="BD173" s="3" t="s">
        <v>2398</v>
      </c>
    </row>
    <row r="174" spans="1:56" ht="41.25" customHeight="1" x14ac:dyDescent="0.25">
      <c r="A174" s="7" t="s">
        <v>58</v>
      </c>
      <c r="B174" s="2" t="s">
        <v>2399</v>
      </c>
      <c r="C174" s="2" t="s">
        <v>2400</v>
      </c>
      <c r="D174" s="2" t="s">
        <v>2401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2402</v>
      </c>
      <c r="L174" s="2" t="s">
        <v>2403</v>
      </c>
      <c r="M174" s="3" t="s">
        <v>839</v>
      </c>
      <c r="O174" s="3" t="s">
        <v>64</v>
      </c>
      <c r="P174" s="3" t="s">
        <v>65</v>
      </c>
      <c r="Q174" s="2" t="s">
        <v>2404</v>
      </c>
      <c r="R174" s="3" t="s">
        <v>2200</v>
      </c>
      <c r="S174" s="4">
        <v>3</v>
      </c>
      <c r="T174" s="4">
        <v>3</v>
      </c>
      <c r="U174" s="5" t="s">
        <v>2405</v>
      </c>
      <c r="V174" s="5" t="s">
        <v>2405</v>
      </c>
      <c r="W174" s="5" t="s">
        <v>2406</v>
      </c>
      <c r="X174" s="5" t="s">
        <v>2406</v>
      </c>
      <c r="Y174" s="4">
        <v>275</v>
      </c>
      <c r="Z174" s="4">
        <v>260</v>
      </c>
      <c r="AA174" s="4">
        <v>340</v>
      </c>
      <c r="AB174" s="4">
        <v>2</v>
      </c>
      <c r="AC174" s="4">
        <v>3</v>
      </c>
      <c r="AD174" s="4">
        <v>4</v>
      </c>
      <c r="AE174" s="4">
        <v>9</v>
      </c>
      <c r="AF174" s="4">
        <v>1</v>
      </c>
      <c r="AG174" s="4">
        <v>2</v>
      </c>
      <c r="AH174" s="4">
        <v>1</v>
      </c>
      <c r="AI174" s="4">
        <v>2</v>
      </c>
      <c r="AJ174" s="4">
        <v>1</v>
      </c>
      <c r="AK174" s="4">
        <v>3</v>
      </c>
      <c r="AL174" s="4">
        <v>1</v>
      </c>
      <c r="AM174" s="4">
        <v>2</v>
      </c>
      <c r="AN174" s="4">
        <v>0</v>
      </c>
      <c r="AO174" s="4">
        <v>0</v>
      </c>
      <c r="AP174" s="3" t="s">
        <v>58</v>
      </c>
      <c r="AQ174" s="3" t="s">
        <v>85</v>
      </c>
      <c r="AR174" s="6" t="str">
        <f>HYPERLINK("http://catalog.hathitrust.org/Record/000489032","HathiTrust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HYPERLINK("https://creighton-primo.hosted.exlibrisgroup.com/primo-explore/search?tab=default_tab&amp;search_scope=EVERYTHING&amp;vid=01CRU&amp;lang=en_US&amp;offset=0&amp;query=any,contains,991000791359702656","Catalog Record")</f>
        <v>Catalog Record</v>
      </c>
      <c r="AT174" s="6" t="str">
        <f>HYPERLINK("http://www.worldcat.org/oclc/13158135","WorldCat Record")</f>
        <v>WorldCat Record</v>
      </c>
      <c r="AU174" s="3" t="s">
        <v>2407</v>
      </c>
      <c r="AV174" s="3" t="s">
        <v>2408</v>
      </c>
      <c r="AW174" s="3" t="s">
        <v>2409</v>
      </c>
      <c r="AX174" s="3" t="s">
        <v>2409</v>
      </c>
      <c r="AY174" s="3" t="s">
        <v>2410</v>
      </c>
      <c r="AZ174" s="3" t="s">
        <v>73</v>
      </c>
      <c r="BB174" s="3" t="s">
        <v>2411</v>
      </c>
      <c r="BC174" s="3" t="s">
        <v>2412</v>
      </c>
      <c r="BD174" s="3" t="s">
        <v>2413</v>
      </c>
    </row>
    <row r="175" spans="1:56" ht="41.25" customHeight="1" x14ac:dyDescent="0.25">
      <c r="A175" s="7" t="s">
        <v>58</v>
      </c>
      <c r="B175" s="2" t="s">
        <v>2414</v>
      </c>
      <c r="C175" s="2" t="s">
        <v>2415</v>
      </c>
      <c r="D175" s="2" t="s">
        <v>2416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L175" s="2" t="s">
        <v>2417</v>
      </c>
      <c r="M175" s="3" t="s">
        <v>1314</v>
      </c>
      <c r="N175" s="2" t="s">
        <v>528</v>
      </c>
      <c r="O175" s="3" t="s">
        <v>64</v>
      </c>
      <c r="P175" s="3" t="s">
        <v>334</v>
      </c>
      <c r="R175" s="3" t="s">
        <v>2200</v>
      </c>
      <c r="S175" s="4">
        <v>3</v>
      </c>
      <c r="T175" s="4">
        <v>3</v>
      </c>
      <c r="U175" s="5" t="s">
        <v>2418</v>
      </c>
      <c r="V175" s="5" t="s">
        <v>2418</v>
      </c>
      <c r="W175" s="5" t="s">
        <v>2419</v>
      </c>
      <c r="X175" s="5" t="s">
        <v>2419</v>
      </c>
      <c r="Y175" s="4">
        <v>130</v>
      </c>
      <c r="Z175" s="4">
        <v>129</v>
      </c>
      <c r="AA175" s="4">
        <v>134</v>
      </c>
      <c r="AB175" s="4">
        <v>27</v>
      </c>
      <c r="AC175" s="4">
        <v>27</v>
      </c>
      <c r="AD175" s="4">
        <v>8</v>
      </c>
      <c r="AE175" s="4">
        <v>8</v>
      </c>
      <c r="AF175" s="4">
        <v>1</v>
      </c>
      <c r="AG175" s="4">
        <v>1</v>
      </c>
      <c r="AH175" s="4">
        <v>0</v>
      </c>
      <c r="AI175" s="4">
        <v>0</v>
      </c>
      <c r="AJ175" s="4">
        <v>1</v>
      </c>
      <c r="AK175" s="4">
        <v>1</v>
      </c>
      <c r="AL175" s="4">
        <v>7</v>
      </c>
      <c r="AM175" s="4">
        <v>7</v>
      </c>
      <c r="AN175" s="4">
        <v>0</v>
      </c>
      <c r="AO175" s="4">
        <v>0</v>
      </c>
      <c r="AP175" s="3" t="s">
        <v>58</v>
      </c>
      <c r="AQ175" s="3" t="s">
        <v>58</v>
      </c>
      <c r="AS175" s="6" t="str">
        <f>HYPERLINK("https://creighton-primo.hosted.exlibrisgroup.com/primo-explore/search?tab=default_tab&amp;search_scope=EVERYTHING&amp;vid=01CRU&amp;lang=en_US&amp;offset=0&amp;query=any,contains,991004831759702656","Catalog Record")</f>
        <v>Catalog Record</v>
      </c>
      <c r="AT175" s="6" t="str">
        <f>HYPERLINK("http://www.worldcat.org/oclc/50843671","WorldCat Record")</f>
        <v>WorldCat Record</v>
      </c>
      <c r="AU175" s="3" t="s">
        <v>2420</v>
      </c>
      <c r="AV175" s="3" t="s">
        <v>2421</v>
      </c>
      <c r="AW175" s="3" t="s">
        <v>2422</v>
      </c>
      <c r="AX175" s="3" t="s">
        <v>2422</v>
      </c>
      <c r="AY175" s="3" t="s">
        <v>2423</v>
      </c>
      <c r="AZ175" s="3" t="s">
        <v>73</v>
      </c>
      <c r="BB175" s="3" t="s">
        <v>2424</v>
      </c>
      <c r="BC175" s="3" t="s">
        <v>2425</v>
      </c>
      <c r="BD175" s="3" t="s">
        <v>2426</v>
      </c>
    </row>
    <row r="176" spans="1:56" ht="41.25" customHeight="1" x14ac:dyDescent="0.25">
      <c r="A176" s="7" t="s">
        <v>58</v>
      </c>
      <c r="B176" s="2" t="s">
        <v>2427</v>
      </c>
      <c r="C176" s="2" t="s">
        <v>2428</v>
      </c>
      <c r="D176" s="2" t="s">
        <v>2429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2430</v>
      </c>
      <c r="L176" s="2" t="s">
        <v>2431</v>
      </c>
      <c r="M176" s="3" t="s">
        <v>333</v>
      </c>
      <c r="O176" s="3" t="s">
        <v>64</v>
      </c>
      <c r="P176" s="3" t="s">
        <v>2432</v>
      </c>
      <c r="Q176" s="2" t="s">
        <v>2433</v>
      </c>
      <c r="R176" s="3" t="s">
        <v>2200</v>
      </c>
      <c r="S176" s="4">
        <v>4</v>
      </c>
      <c r="T176" s="4">
        <v>4</v>
      </c>
      <c r="U176" s="5" t="s">
        <v>2434</v>
      </c>
      <c r="V176" s="5" t="s">
        <v>2434</v>
      </c>
      <c r="W176" s="5" t="s">
        <v>2435</v>
      </c>
      <c r="X176" s="5" t="s">
        <v>2435</v>
      </c>
      <c r="Y176" s="4">
        <v>180</v>
      </c>
      <c r="Z176" s="4">
        <v>156</v>
      </c>
      <c r="AA176" s="4">
        <v>182</v>
      </c>
      <c r="AB176" s="4">
        <v>1</v>
      </c>
      <c r="AC176" s="4">
        <v>1</v>
      </c>
      <c r="AD176" s="4">
        <v>5</v>
      </c>
      <c r="AE176" s="4">
        <v>5</v>
      </c>
      <c r="AF176" s="4">
        <v>0</v>
      </c>
      <c r="AG176" s="4">
        <v>0</v>
      </c>
      <c r="AH176" s="4">
        <v>3</v>
      </c>
      <c r="AI176" s="4">
        <v>3</v>
      </c>
      <c r="AJ176" s="4">
        <v>4</v>
      </c>
      <c r="AK176" s="4">
        <v>4</v>
      </c>
      <c r="AL176" s="4">
        <v>0</v>
      </c>
      <c r="AM176" s="4">
        <v>0</v>
      </c>
      <c r="AN176" s="4">
        <v>0</v>
      </c>
      <c r="AO176" s="4">
        <v>0</v>
      </c>
      <c r="AP176" s="3" t="s">
        <v>58</v>
      </c>
      <c r="AQ176" s="3" t="s">
        <v>58</v>
      </c>
      <c r="AS176" s="6" t="str">
        <f>HYPERLINK("https://creighton-primo.hosted.exlibrisgroup.com/primo-explore/search?tab=default_tab&amp;search_scope=EVERYTHING&amp;vid=01CRU&amp;lang=en_US&amp;offset=0&amp;query=any,contains,991002958699702656","Catalog Record")</f>
        <v>Catalog Record</v>
      </c>
      <c r="AT176" s="6" t="str">
        <f>HYPERLINK("http://www.worldcat.org/oclc/39526990","WorldCat Record")</f>
        <v>WorldCat Record</v>
      </c>
      <c r="AU176" s="3" t="s">
        <v>2436</v>
      </c>
      <c r="AV176" s="3" t="s">
        <v>2437</v>
      </c>
      <c r="AW176" s="3" t="s">
        <v>2438</v>
      </c>
      <c r="AX176" s="3" t="s">
        <v>2438</v>
      </c>
      <c r="AY176" s="3" t="s">
        <v>2439</v>
      </c>
      <c r="AZ176" s="3" t="s">
        <v>73</v>
      </c>
      <c r="BB176" s="3" t="s">
        <v>2440</v>
      </c>
      <c r="BC176" s="3" t="s">
        <v>2441</v>
      </c>
      <c r="BD176" s="3" t="s">
        <v>2442</v>
      </c>
    </row>
    <row r="177" spans="1:56" ht="41.25" customHeight="1" x14ac:dyDescent="0.25">
      <c r="A177" s="7" t="s">
        <v>58</v>
      </c>
      <c r="B177" s="2" t="s">
        <v>2443</v>
      </c>
      <c r="C177" s="2" t="s">
        <v>2444</v>
      </c>
      <c r="D177" s="2" t="s">
        <v>2445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2446</v>
      </c>
      <c r="L177" s="2" t="s">
        <v>2447</v>
      </c>
      <c r="M177" s="3" t="s">
        <v>656</v>
      </c>
      <c r="O177" s="3" t="s">
        <v>64</v>
      </c>
      <c r="P177" s="3" t="s">
        <v>2448</v>
      </c>
      <c r="Q177" s="2" t="s">
        <v>2449</v>
      </c>
      <c r="R177" s="3" t="s">
        <v>2200</v>
      </c>
      <c r="S177" s="4">
        <v>6</v>
      </c>
      <c r="T177" s="4">
        <v>6</v>
      </c>
      <c r="U177" s="5" t="s">
        <v>2450</v>
      </c>
      <c r="V177" s="5" t="s">
        <v>2450</v>
      </c>
      <c r="W177" s="5" t="s">
        <v>2451</v>
      </c>
      <c r="X177" s="5" t="s">
        <v>2451</v>
      </c>
      <c r="Y177" s="4">
        <v>415</v>
      </c>
      <c r="Z177" s="4">
        <v>335</v>
      </c>
      <c r="AA177" s="4">
        <v>339</v>
      </c>
      <c r="AB177" s="4">
        <v>5</v>
      </c>
      <c r="AC177" s="4">
        <v>5</v>
      </c>
      <c r="AD177" s="4">
        <v>12</v>
      </c>
      <c r="AE177" s="4">
        <v>12</v>
      </c>
      <c r="AF177" s="4">
        <v>5</v>
      </c>
      <c r="AG177" s="4">
        <v>5</v>
      </c>
      <c r="AH177" s="4">
        <v>3</v>
      </c>
      <c r="AI177" s="4">
        <v>3</v>
      </c>
      <c r="AJ177" s="4">
        <v>2</v>
      </c>
      <c r="AK177" s="4">
        <v>2</v>
      </c>
      <c r="AL177" s="4">
        <v>4</v>
      </c>
      <c r="AM177" s="4">
        <v>4</v>
      </c>
      <c r="AN177" s="4">
        <v>0</v>
      </c>
      <c r="AO177" s="4">
        <v>0</v>
      </c>
      <c r="AP177" s="3" t="s">
        <v>58</v>
      </c>
      <c r="AQ177" s="3" t="s">
        <v>58</v>
      </c>
      <c r="AS177" s="6" t="str">
        <f>HYPERLINK("https://creighton-primo.hosted.exlibrisgroup.com/primo-explore/search?tab=default_tab&amp;search_scope=EVERYTHING&amp;vid=01CRU&amp;lang=en_US&amp;offset=0&amp;query=any,contains,991003017349702656","Catalog Record")</f>
        <v>Catalog Record</v>
      </c>
      <c r="AT177" s="6" t="str">
        <f>HYPERLINK("http://www.worldcat.org/oclc/41049745","WorldCat Record")</f>
        <v>WorldCat Record</v>
      </c>
      <c r="AU177" s="3" t="s">
        <v>2452</v>
      </c>
      <c r="AV177" s="3" t="s">
        <v>2453</v>
      </c>
      <c r="AW177" s="3" t="s">
        <v>2454</v>
      </c>
      <c r="AX177" s="3" t="s">
        <v>2454</v>
      </c>
      <c r="AY177" s="3" t="s">
        <v>2455</v>
      </c>
      <c r="AZ177" s="3" t="s">
        <v>73</v>
      </c>
      <c r="BB177" s="3" t="s">
        <v>2456</v>
      </c>
      <c r="BC177" s="3" t="s">
        <v>2457</v>
      </c>
      <c r="BD177" s="3" t="s">
        <v>2458</v>
      </c>
    </row>
    <row r="178" spans="1:56" ht="41.25" customHeight="1" x14ac:dyDescent="0.25">
      <c r="A178" s="7" t="s">
        <v>58</v>
      </c>
      <c r="B178" s="2" t="s">
        <v>2459</v>
      </c>
      <c r="C178" s="2" t="s">
        <v>2460</v>
      </c>
      <c r="D178" s="2" t="s">
        <v>2461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2462</v>
      </c>
      <c r="L178" s="2" t="s">
        <v>2463</v>
      </c>
      <c r="M178" s="3" t="s">
        <v>372</v>
      </c>
      <c r="N178" s="2" t="s">
        <v>1057</v>
      </c>
      <c r="O178" s="3" t="s">
        <v>64</v>
      </c>
      <c r="P178" s="3" t="s">
        <v>405</v>
      </c>
      <c r="R178" s="3" t="s">
        <v>2200</v>
      </c>
      <c r="S178" s="4">
        <v>24</v>
      </c>
      <c r="T178" s="4">
        <v>24</v>
      </c>
      <c r="U178" s="5" t="s">
        <v>2464</v>
      </c>
      <c r="V178" s="5" t="s">
        <v>2464</v>
      </c>
      <c r="W178" s="5" t="s">
        <v>2465</v>
      </c>
      <c r="X178" s="5" t="s">
        <v>2465</v>
      </c>
      <c r="Y178" s="4">
        <v>420</v>
      </c>
      <c r="Z178" s="4">
        <v>320</v>
      </c>
      <c r="AA178" s="4">
        <v>614</v>
      </c>
      <c r="AB178" s="4">
        <v>6</v>
      </c>
      <c r="AC178" s="4">
        <v>10</v>
      </c>
      <c r="AD178" s="4">
        <v>9</v>
      </c>
      <c r="AE178" s="4">
        <v>24</v>
      </c>
      <c r="AF178" s="4">
        <v>1</v>
      </c>
      <c r="AG178" s="4">
        <v>10</v>
      </c>
      <c r="AH178" s="4">
        <v>2</v>
      </c>
      <c r="AI178" s="4">
        <v>3</v>
      </c>
      <c r="AJ178" s="4">
        <v>3</v>
      </c>
      <c r="AK178" s="4">
        <v>6</v>
      </c>
      <c r="AL178" s="4">
        <v>4</v>
      </c>
      <c r="AM178" s="4">
        <v>8</v>
      </c>
      <c r="AN178" s="4">
        <v>0</v>
      </c>
      <c r="AO178" s="4">
        <v>0</v>
      </c>
      <c r="AP178" s="3" t="s">
        <v>58</v>
      </c>
      <c r="AQ178" s="3" t="s">
        <v>58</v>
      </c>
      <c r="AS178" s="6" t="str">
        <f>HYPERLINK("https://creighton-primo.hosted.exlibrisgroup.com/primo-explore/search?tab=default_tab&amp;search_scope=EVERYTHING&amp;vid=01CRU&amp;lang=en_US&amp;offset=0&amp;query=any,contains,991001468929702656","Catalog Record")</f>
        <v>Catalog Record</v>
      </c>
      <c r="AT178" s="6" t="str">
        <f>HYPERLINK("http://www.worldcat.org/oclc/19518314","WorldCat Record")</f>
        <v>WorldCat Record</v>
      </c>
      <c r="AU178" s="3" t="s">
        <v>2466</v>
      </c>
      <c r="AV178" s="3" t="s">
        <v>2467</v>
      </c>
      <c r="AW178" s="3" t="s">
        <v>2468</v>
      </c>
      <c r="AX178" s="3" t="s">
        <v>2468</v>
      </c>
      <c r="AY178" s="3" t="s">
        <v>2469</v>
      </c>
      <c r="AZ178" s="3" t="s">
        <v>73</v>
      </c>
      <c r="BB178" s="3" t="s">
        <v>2470</v>
      </c>
      <c r="BC178" s="3" t="s">
        <v>2471</v>
      </c>
      <c r="BD178" s="3" t="s">
        <v>2472</v>
      </c>
    </row>
    <row r="179" spans="1:56" ht="41.25" customHeight="1" x14ac:dyDescent="0.25">
      <c r="A179" s="7" t="s">
        <v>58</v>
      </c>
      <c r="B179" s="2" t="s">
        <v>2473</v>
      </c>
      <c r="C179" s="2" t="s">
        <v>2474</v>
      </c>
      <c r="D179" s="2" t="s">
        <v>2475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L179" s="2" t="s">
        <v>2476</v>
      </c>
      <c r="M179" s="3" t="s">
        <v>626</v>
      </c>
      <c r="O179" s="3" t="s">
        <v>64</v>
      </c>
      <c r="P179" s="3" t="s">
        <v>755</v>
      </c>
      <c r="R179" s="3" t="s">
        <v>2200</v>
      </c>
      <c r="S179" s="4">
        <v>36</v>
      </c>
      <c r="T179" s="4">
        <v>36</v>
      </c>
      <c r="U179" s="5" t="s">
        <v>2477</v>
      </c>
      <c r="V179" s="5" t="s">
        <v>2477</v>
      </c>
      <c r="W179" s="5" t="s">
        <v>2478</v>
      </c>
      <c r="X179" s="5" t="s">
        <v>2478</v>
      </c>
      <c r="Y179" s="4">
        <v>589</v>
      </c>
      <c r="Z179" s="4">
        <v>484</v>
      </c>
      <c r="AA179" s="4">
        <v>490</v>
      </c>
      <c r="AB179" s="4">
        <v>4</v>
      </c>
      <c r="AC179" s="4">
        <v>4</v>
      </c>
      <c r="AD179" s="4">
        <v>23</v>
      </c>
      <c r="AE179" s="4">
        <v>23</v>
      </c>
      <c r="AF179" s="4">
        <v>12</v>
      </c>
      <c r="AG179" s="4">
        <v>12</v>
      </c>
      <c r="AH179" s="4">
        <v>4</v>
      </c>
      <c r="AI179" s="4">
        <v>4</v>
      </c>
      <c r="AJ179" s="4">
        <v>11</v>
      </c>
      <c r="AK179" s="4">
        <v>11</v>
      </c>
      <c r="AL179" s="4">
        <v>3</v>
      </c>
      <c r="AM179" s="4">
        <v>3</v>
      </c>
      <c r="AN179" s="4">
        <v>0</v>
      </c>
      <c r="AO179" s="4">
        <v>0</v>
      </c>
      <c r="AP179" s="3" t="s">
        <v>58</v>
      </c>
      <c r="AQ179" s="3" t="s">
        <v>85</v>
      </c>
      <c r="AR179" s="6" t="str">
        <f>HYPERLINK("http://catalog.hathitrust.org/Record/004521285","HathiTrust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HYPERLINK("https://creighton-primo.hosted.exlibrisgroup.com/primo-explore/search?tab=default_tab&amp;search_scope=EVERYTHING&amp;vid=01CRU&amp;lang=en_US&amp;offset=0&amp;query=any,contains,991001903479702656","Catalog Record")</f>
        <v>Catalog Record</v>
      </c>
      <c r="AT179" s="6" t="str">
        <f>HYPERLINK("http://www.worldcat.org/oclc/24065230","WorldCat Record")</f>
        <v>WorldCat Record</v>
      </c>
      <c r="AU179" s="3" t="s">
        <v>2479</v>
      </c>
      <c r="AV179" s="3" t="s">
        <v>2480</v>
      </c>
      <c r="AW179" s="3" t="s">
        <v>2481</v>
      </c>
      <c r="AX179" s="3" t="s">
        <v>2481</v>
      </c>
      <c r="AY179" s="3" t="s">
        <v>2482</v>
      </c>
      <c r="AZ179" s="3" t="s">
        <v>73</v>
      </c>
      <c r="BB179" s="3" t="s">
        <v>2483</v>
      </c>
      <c r="BC179" s="3" t="s">
        <v>2484</v>
      </c>
      <c r="BD179" s="3" t="s">
        <v>2485</v>
      </c>
    </row>
    <row r="180" spans="1:56" ht="41.25" customHeight="1" x14ac:dyDescent="0.25">
      <c r="A180" s="7" t="s">
        <v>58</v>
      </c>
      <c r="B180" s="2" t="s">
        <v>2486</v>
      </c>
      <c r="C180" s="2" t="s">
        <v>2487</v>
      </c>
      <c r="D180" s="2" t="s">
        <v>2488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L180" s="2" t="s">
        <v>2489</v>
      </c>
      <c r="M180" s="3" t="s">
        <v>582</v>
      </c>
      <c r="O180" s="3" t="s">
        <v>64</v>
      </c>
      <c r="P180" s="3" t="s">
        <v>2448</v>
      </c>
      <c r="Q180" s="2" t="s">
        <v>2490</v>
      </c>
      <c r="R180" s="3" t="s">
        <v>2200</v>
      </c>
      <c r="S180" s="4">
        <v>12</v>
      </c>
      <c r="T180" s="4">
        <v>12</v>
      </c>
      <c r="U180" s="5" t="s">
        <v>2491</v>
      </c>
      <c r="V180" s="5" t="s">
        <v>2491</v>
      </c>
      <c r="W180" s="5" t="s">
        <v>2492</v>
      </c>
      <c r="X180" s="5" t="s">
        <v>2492</v>
      </c>
      <c r="Y180" s="4">
        <v>373</v>
      </c>
      <c r="Z180" s="4">
        <v>303</v>
      </c>
      <c r="AA180" s="4">
        <v>303</v>
      </c>
      <c r="AB180" s="4">
        <v>3</v>
      </c>
      <c r="AC180" s="4">
        <v>3</v>
      </c>
      <c r="AD180" s="4">
        <v>14</v>
      </c>
      <c r="AE180" s="4">
        <v>14</v>
      </c>
      <c r="AF180" s="4">
        <v>7</v>
      </c>
      <c r="AG180" s="4">
        <v>7</v>
      </c>
      <c r="AH180" s="4">
        <v>3</v>
      </c>
      <c r="AI180" s="4">
        <v>3</v>
      </c>
      <c r="AJ180" s="4">
        <v>4</v>
      </c>
      <c r="AK180" s="4">
        <v>4</v>
      </c>
      <c r="AL180" s="4">
        <v>2</v>
      </c>
      <c r="AM180" s="4">
        <v>2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HYPERLINK("https://creighton-primo.hosted.exlibrisgroup.com/primo-explore/search?tab=default_tab&amp;search_scope=EVERYTHING&amp;vid=01CRU&amp;lang=en_US&amp;offset=0&amp;query=any,contains,991002348569702656","Catalog Record")</f>
        <v>Catalog Record</v>
      </c>
      <c r="AT180" s="6" t="str">
        <f>HYPERLINK("http://www.worldcat.org/oclc/30593607","WorldCat Record")</f>
        <v>WorldCat Record</v>
      </c>
      <c r="AU180" s="3" t="s">
        <v>2493</v>
      </c>
      <c r="AV180" s="3" t="s">
        <v>2494</v>
      </c>
      <c r="AW180" s="3" t="s">
        <v>2495</v>
      </c>
      <c r="AX180" s="3" t="s">
        <v>2495</v>
      </c>
      <c r="AY180" s="3" t="s">
        <v>2496</v>
      </c>
      <c r="AZ180" s="3" t="s">
        <v>73</v>
      </c>
      <c r="BB180" s="3" t="s">
        <v>2497</v>
      </c>
      <c r="BC180" s="3" t="s">
        <v>2498</v>
      </c>
      <c r="BD180" s="3" t="s">
        <v>2499</v>
      </c>
    </row>
    <row r="181" spans="1:56" ht="41.25" customHeight="1" x14ac:dyDescent="0.25">
      <c r="A181" s="7" t="s">
        <v>58</v>
      </c>
      <c r="B181" s="2" t="s">
        <v>2500</v>
      </c>
      <c r="C181" s="2" t="s">
        <v>2501</v>
      </c>
      <c r="D181" s="2" t="s">
        <v>2502</v>
      </c>
      <c r="F181" s="3" t="s">
        <v>58</v>
      </c>
      <c r="G181" s="3" t="s">
        <v>59</v>
      </c>
      <c r="H181" s="3" t="s">
        <v>58</v>
      </c>
      <c r="I181" s="3" t="s">
        <v>85</v>
      </c>
      <c r="J181" s="3" t="s">
        <v>60</v>
      </c>
      <c r="L181" s="2" t="s">
        <v>2503</v>
      </c>
      <c r="M181" s="3" t="s">
        <v>333</v>
      </c>
      <c r="N181" s="2" t="s">
        <v>2085</v>
      </c>
      <c r="O181" s="3" t="s">
        <v>64</v>
      </c>
      <c r="P181" s="3" t="s">
        <v>2448</v>
      </c>
      <c r="Q181" s="2" t="s">
        <v>2449</v>
      </c>
      <c r="R181" s="3" t="s">
        <v>2200</v>
      </c>
      <c r="S181" s="4">
        <v>19</v>
      </c>
      <c r="T181" s="4">
        <v>19</v>
      </c>
      <c r="U181" s="5" t="s">
        <v>2504</v>
      </c>
      <c r="V181" s="5" t="s">
        <v>2504</v>
      </c>
      <c r="W181" s="5" t="s">
        <v>2505</v>
      </c>
      <c r="X181" s="5" t="s">
        <v>2505</v>
      </c>
      <c r="Y181" s="4">
        <v>671</v>
      </c>
      <c r="Z181" s="4">
        <v>546</v>
      </c>
      <c r="AA181" s="4">
        <v>864</v>
      </c>
      <c r="AB181" s="4">
        <v>4</v>
      </c>
      <c r="AC181" s="4">
        <v>6</v>
      </c>
      <c r="AD181" s="4">
        <v>26</v>
      </c>
      <c r="AE181" s="4">
        <v>30</v>
      </c>
      <c r="AF181" s="4">
        <v>14</v>
      </c>
      <c r="AG181" s="4">
        <v>15</v>
      </c>
      <c r="AH181" s="4">
        <v>5</v>
      </c>
      <c r="AI181" s="4">
        <v>5</v>
      </c>
      <c r="AJ181" s="4">
        <v>10</v>
      </c>
      <c r="AK181" s="4">
        <v>11</v>
      </c>
      <c r="AL181" s="4">
        <v>3</v>
      </c>
      <c r="AM181" s="4">
        <v>5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HYPERLINK("https://creighton-primo.hosted.exlibrisgroup.com/primo-explore/search?tab=default_tab&amp;search_scope=EVERYTHING&amp;vid=01CRU&amp;lang=en_US&amp;offset=0&amp;query=any,contains,991002793669702656","Catalog Record")</f>
        <v>Catalog Record</v>
      </c>
      <c r="AT181" s="6" t="str">
        <f>HYPERLINK("http://www.worldcat.org/oclc/36682351","WorldCat Record")</f>
        <v>WorldCat Record</v>
      </c>
      <c r="AU181" s="3" t="s">
        <v>2506</v>
      </c>
      <c r="AV181" s="3" t="s">
        <v>2507</v>
      </c>
      <c r="AW181" s="3" t="s">
        <v>2508</v>
      </c>
      <c r="AX181" s="3" t="s">
        <v>2508</v>
      </c>
      <c r="AY181" s="3" t="s">
        <v>2509</v>
      </c>
      <c r="AZ181" s="3" t="s">
        <v>73</v>
      </c>
      <c r="BB181" s="3" t="s">
        <v>2510</v>
      </c>
      <c r="BC181" s="3" t="s">
        <v>2511</v>
      </c>
      <c r="BD181" s="3" t="s">
        <v>2512</v>
      </c>
    </row>
    <row r="182" spans="1:56" ht="41.25" customHeight="1" x14ac:dyDescent="0.25">
      <c r="A182" s="7" t="s">
        <v>58</v>
      </c>
      <c r="B182" s="2" t="s">
        <v>2513</v>
      </c>
      <c r="C182" s="2" t="s">
        <v>2514</v>
      </c>
      <c r="D182" s="2" t="s">
        <v>2515</v>
      </c>
      <c r="F182" s="3" t="s">
        <v>58</v>
      </c>
      <c r="G182" s="3" t="s">
        <v>59</v>
      </c>
      <c r="H182" s="3" t="s">
        <v>58</v>
      </c>
      <c r="I182" s="3" t="s">
        <v>85</v>
      </c>
      <c r="J182" s="3" t="s">
        <v>60</v>
      </c>
      <c r="L182" s="2" t="s">
        <v>2516</v>
      </c>
      <c r="M182" s="3" t="s">
        <v>641</v>
      </c>
      <c r="O182" s="3" t="s">
        <v>64</v>
      </c>
      <c r="P182" s="3" t="s">
        <v>2448</v>
      </c>
      <c r="Q182" s="2" t="s">
        <v>2449</v>
      </c>
      <c r="R182" s="3" t="s">
        <v>2200</v>
      </c>
      <c r="S182" s="4">
        <v>2</v>
      </c>
      <c r="T182" s="4">
        <v>2</v>
      </c>
      <c r="U182" s="5" t="s">
        <v>2517</v>
      </c>
      <c r="V182" s="5" t="s">
        <v>2517</v>
      </c>
      <c r="W182" s="5" t="s">
        <v>2518</v>
      </c>
      <c r="X182" s="5" t="s">
        <v>2518</v>
      </c>
      <c r="Y182" s="4">
        <v>322</v>
      </c>
      <c r="Z182" s="4">
        <v>238</v>
      </c>
      <c r="AA182" s="4">
        <v>864</v>
      </c>
      <c r="AB182" s="4">
        <v>3</v>
      </c>
      <c r="AC182" s="4">
        <v>6</v>
      </c>
      <c r="AD182" s="4">
        <v>7</v>
      </c>
      <c r="AE182" s="4">
        <v>30</v>
      </c>
      <c r="AF182" s="4">
        <v>1</v>
      </c>
      <c r="AG182" s="4">
        <v>15</v>
      </c>
      <c r="AH182" s="4">
        <v>3</v>
      </c>
      <c r="AI182" s="4">
        <v>5</v>
      </c>
      <c r="AJ182" s="4">
        <v>2</v>
      </c>
      <c r="AK182" s="4">
        <v>11</v>
      </c>
      <c r="AL182" s="4">
        <v>2</v>
      </c>
      <c r="AM182" s="4">
        <v>5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HYPERLINK("https://creighton-primo.hosted.exlibrisgroup.com/primo-explore/search?tab=default_tab&amp;search_scope=EVERYTHING&amp;vid=01CRU&amp;lang=en_US&amp;offset=0&amp;query=any,contains,991003664379702656","Catalog Record")</f>
        <v>Catalog Record</v>
      </c>
      <c r="AT182" s="6" t="str">
        <f>HYPERLINK("http://www.worldcat.org/oclc/44266422","WorldCat Record")</f>
        <v>WorldCat Record</v>
      </c>
      <c r="AU182" s="3" t="s">
        <v>2506</v>
      </c>
      <c r="AV182" s="3" t="s">
        <v>2519</v>
      </c>
      <c r="AW182" s="3" t="s">
        <v>2520</v>
      </c>
      <c r="AX182" s="3" t="s">
        <v>2520</v>
      </c>
      <c r="AY182" s="3" t="s">
        <v>2521</v>
      </c>
      <c r="AZ182" s="3" t="s">
        <v>73</v>
      </c>
      <c r="BB182" s="3" t="s">
        <v>2522</v>
      </c>
      <c r="BC182" s="3" t="s">
        <v>2523</v>
      </c>
      <c r="BD182" s="3" t="s">
        <v>2524</v>
      </c>
    </row>
    <row r="183" spans="1:56" ht="41.25" customHeight="1" x14ac:dyDescent="0.25">
      <c r="A183" s="7" t="s">
        <v>58</v>
      </c>
      <c r="B183" s="2" t="s">
        <v>2525</v>
      </c>
      <c r="C183" s="2" t="s">
        <v>2526</v>
      </c>
      <c r="D183" s="2" t="s">
        <v>2527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L183" s="2" t="s">
        <v>2489</v>
      </c>
      <c r="M183" s="3" t="s">
        <v>582</v>
      </c>
      <c r="O183" s="3" t="s">
        <v>64</v>
      </c>
      <c r="P183" s="3" t="s">
        <v>2448</v>
      </c>
      <c r="Q183" s="2" t="s">
        <v>2490</v>
      </c>
      <c r="R183" s="3" t="s">
        <v>2200</v>
      </c>
      <c r="S183" s="4">
        <v>11</v>
      </c>
      <c r="T183" s="4">
        <v>11</v>
      </c>
      <c r="U183" s="5" t="s">
        <v>2528</v>
      </c>
      <c r="V183" s="5" t="s">
        <v>2528</v>
      </c>
      <c r="W183" s="5" t="s">
        <v>2492</v>
      </c>
      <c r="X183" s="5" t="s">
        <v>2492</v>
      </c>
      <c r="Y183" s="4">
        <v>342</v>
      </c>
      <c r="Z183" s="4">
        <v>267</v>
      </c>
      <c r="AA183" s="4">
        <v>272</v>
      </c>
      <c r="AB183" s="4">
        <v>4</v>
      </c>
      <c r="AC183" s="4">
        <v>4</v>
      </c>
      <c r="AD183" s="4">
        <v>15</v>
      </c>
      <c r="AE183" s="4">
        <v>15</v>
      </c>
      <c r="AF183" s="4">
        <v>8</v>
      </c>
      <c r="AG183" s="4">
        <v>8</v>
      </c>
      <c r="AH183" s="4">
        <v>4</v>
      </c>
      <c r="AI183" s="4">
        <v>4</v>
      </c>
      <c r="AJ183" s="4">
        <v>2</v>
      </c>
      <c r="AK183" s="4">
        <v>2</v>
      </c>
      <c r="AL183" s="4">
        <v>3</v>
      </c>
      <c r="AM183" s="4">
        <v>3</v>
      </c>
      <c r="AN183" s="4">
        <v>0</v>
      </c>
      <c r="AO183" s="4">
        <v>0</v>
      </c>
      <c r="AP183" s="3" t="s">
        <v>58</v>
      </c>
      <c r="AQ183" s="3" t="s">
        <v>58</v>
      </c>
      <c r="AS183" s="6" t="str">
        <f>HYPERLINK("https://creighton-primo.hosted.exlibrisgroup.com/primo-explore/search?tab=default_tab&amp;search_scope=EVERYTHING&amp;vid=01CRU&amp;lang=en_US&amp;offset=0&amp;query=any,contains,991002349979702656","Catalog Record")</f>
        <v>Catalog Record</v>
      </c>
      <c r="AT183" s="6" t="str">
        <f>HYPERLINK("http://www.worldcat.org/oclc/30594684","WorldCat Record")</f>
        <v>WorldCat Record</v>
      </c>
      <c r="AU183" s="3" t="s">
        <v>2529</v>
      </c>
      <c r="AV183" s="3" t="s">
        <v>2530</v>
      </c>
      <c r="AW183" s="3" t="s">
        <v>2531</v>
      </c>
      <c r="AX183" s="3" t="s">
        <v>2531</v>
      </c>
      <c r="AY183" s="3" t="s">
        <v>2532</v>
      </c>
      <c r="AZ183" s="3" t="s">
        <v>73</v>
      </c>
      <c r="BB183" s="3" t="s">
        <v>2533</v>
      </c>
      <c r="BC183" s="3" t="s">
        <v>2534</v>
      </c>
      <c r="BD183" s="3" t="s">
        <v>2535</v>
      </c>
    </row>
    <row r="184" spans="1:56" ht="41.25" customHeight="1" x14ac:dyDescent="0.25">
      <c r="A184" s="7" t="s">
        <v>58</v>
      </c>
      <c r="B184" s="2" t="s">
        <v>2536</v>
      </c>
      <c r="C184" s="2" t="s">
        <v>2537</v>
      </c>
      <c r="D184" s="2" t="s">
        <v>2538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K184" s="2" t="s">
        <v>2539</v>
      </c>
      <c r="L184" s="2" t="s">
        <v>2540</v>
      </c>
      <c r="M184" s="3" t="s">
        <v>466</v>
      </c>
      <c r="O184" s="3" t="s">
        <v>64</v>
      </c>
      <c r="P184" s="3" t="s">
        <v>1574</v>
      </c>
      <c r="R184" s="3" t="s">
        <v>2200</v>
      </c>
      <c r="S184" s="4">
        <v>35</v>
      </c>
      <c r="T184" s="4">
        <v>35</v>
      </c>
      <c r="U184" s="5" t="s">
        <v>2541</v>
      </c>
      <c r="V184" s="5" t="s">
        <v>2541</v>
      </c>
      <c r="W184" s="5" t="s">
        <v>2542</v>
      </c>
      <c r="X184" s="5" t="s">
        <v>2542</v>
      </c>
      <c r="Y184" s="4">
        <v>789</v>
      </c>
      <c r="Z184" s="4">
        <v>733</v>
      </c>
      <c r="AA184" s="4">
        <v>1239</v>
      </c>
      <c r="AB184" s="4">
        <v>2</v>
      </c>
      <c r="AC184" s="4">
        <v>6</v>
      </c>
      <c r="AD184" s="4">
        <v>16</v>
      </c>
      <c r="AE184" s="4">
        <v>21</v>
      </c>
      <c r="AF184" s="4">
        <v>8</v>
      </c>
      <c r="AG184" s="4">
        <v>9</v>
      </c>
      <c r="AH184" s="4">
        <v>3</v>
      </c>
      <c r="AI184" s="4">
        <v>4</v>
      </c>
      <c r="AJ184" s="4">
        <v>9</v>
      </c>
      <c r="AK184" s="4">
        <v>12</v>
      </c>
      <c r="AL184" s="4">
        <v>1</v>
      </c>
      <c r="AM184" s="4">
        <v>2</v>
      </c>
      <c r="AN184" s="4">
        <v>2</v>
      </c>
      <c r="AO184" s="4">
        <v>2</v>
      </c>
      <c r="AP184" s="3" t="s">
        <v>58</v>
      </c>
      <c r="AQ184" s="3" t="s">
        <v>85</v>
      </c>
      <c r="AR184" s="6" t="str">
        <f>HYPERLINK("http://catalog.hathitrust.org/Record/004476202","HathiTrust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HYPERLINK("https://creighton-primo.hosted.exlibrisgroup.com/primo-explore/search?tab=default_tab&amp;search_scope=EVERYTHING&amp;vid=01CRU&amp;lang=en_US&amp;offset=0&amp;query=any,contains,991001129139702656","Catalog Record")</f>
        <v>Catalog Record</v>
      </c>
      <c r="AT184" s="6" t="str">
        <f>HYPERLINK("http://www.worldcat.org/oclc/16678142","WorldCat Record")</f>
        <v>WorldCat Record</v>
      </c>
      <c r="AU184" s="3" t="s">
        <v>2543</v>
      </c>
      <c r="AV184" s="3" t="s">
        <v>2544</v>
      </c>
      <c r="AW184" s="3" t="s">
        <v>2545</v>
      </c>
      <c r="AX184" s="3" t="s">
        <v>2545</v>
      </c>
      <c r="AY184" s="3" t="s">
        <v>2546</v>
      </c>
      <c r="AZ184" s="3" t="s">
        <v>73</v>
      </c>
      <c r="BB184" s="3" t="s">
        <v>2547</v>
      </c>
      <c r="BC184" s="3" t="s">
        <v>2548</v>
      </c>
      <c r="BD184" s="3" t="s">
        <v>2549</v>
      </c>
    </row>
    <row r="185" spans="1:56" ht="41.25" customHeight="1" x14ac:dyDescent="0.25">
      <c r="A185" s="7" t="s">
        <v>58</v>
      </c>
      <c r="B185" s="2" t="s">
        <v>2550</v>
      </c>
      <c r="C185" s="2" t="s">
        <v>2551</v>
      </c>
      <c r="D185" s="2" t="s">
        <v>2552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2553</v>
      </c>
      <c r="L185" s="2" t="s">
        <v>2554</v>
      </c>
      <c r="M185" s="3" t="s">
        <v>114</v>
      </c>
      <c r="O185" s="3" t="s">
        <v>64</v>
      </c>
      <c r="P185" s="3" t="s">
        <v>65</v>
      </c>
      <c r="R185" s="3" t="s">
        <v>2200</v>
      </c>
      <c r="S185" s="4">
        <v>12</v>
      </c>
      <c r="T185" s="4">
        <v>12</v>
      </c>
      <c r="U185" s="5" t="s">
        <v>2555</v>
      </c>
      <c r="V185" s="5" t="s">
        <v>2555</v>
      </c>
      <c r="W185" s="5" t="s">
        <v>2556</v>
      </c>
      <c r="X185" s="5" t="s">
        <v>2556</v>
      </c>
      <c r="Y185" s="4">
        <v>182</v>
      </c>
      <c r="Z185" s="4">
        <v>152</v>
      </c>
      <c r="AA185" s="4">
        <v>152</v>
      </c>
      <c r="AB185" s="4">
        <v>1</v>
      </c>
      <c r="AC185" s="4">
        <v>1</v>
      </c>
      <c r="AD185" s="4">
        <v>6</v>
      </c>
      <c r="AE185" s="4">
        <v>6</v>
      </c>
      <c r="AF185" s="4">
        <v>3</v>
      </c>
      <c r="AG185" s="4">
        <v>3</v>
      </c>
      <c r="AH185" s="4">
        <v>1</v>
      </c>
      <c r="AI185" s="4">
        <v>1</v>
      </c>
      <c r="AJ185" s="4">
        <v>5</v>
      </c>
      <c r="AK185" s="4">
        <v>5</v>
      </c>
      <c r="AL185" s="4">
        <v>0</v>
      </c>
      <c r="AM185" s="4">
        <v>0</v>
      </c>
      <c r="AN185" s="4">
        <v>0</v>
      </c>
      <c r="AO185" s="4">
        <v>0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HYPERLINK("https://creighton-primo.hosted.exlibrisgroup.com/primo-explore/search?tab=default_tab&amp;search_scope=EVERYTHING&amp;vid=01CRU&amp;lang=en_US&amp;offset=0&amp;query=any,contains,991005159799702656","Catalog Record")</f>
        <v>Catalog Record</v>
      </c>
      <c r="AT185" s="6" t="str">
        <f>HYPERLINK("http://www.worldcat.org/oclc/7773954","WorldCat Record")</f>
        <v>WorldCat Record</v>
      </c>
      <c r="AU185" s="3" t="s">
        <v>2557</v>
      </c>
      <c r="AV185" s="3" t="s">
        <v>2558</v>
      </c>
      <c r="AW185" s="3" t="s">
        <v>2559</v>
      </c>
      <c r="AX185" s="3" t="s">
        <v>2559</v>
      </c>
      <c r="AY185" s="3" t="s">
        <v>2560</v>
      </c>
      <c r="AZ185" s="3" t="s">
        <v>73</v>
      </c>
      <c r="BB185" s="3" t="s">
        <v>2561</v>
      </c>
      <c r="BC185" s="3" t="s">
        <v>2562</v>
      </c>
      <c r="BD185" s="3" t="s">
        <v>2563</v>
      </c>
    </row>
    <row r="186" spans="1:56" ht="41.25" customHeight="1" x14ac:dyDescent="0.25">
      <c r="A186" s="7" t="s">
        <v>58</v>
      </c>
      <c r="B186" s="2" t="s">
        <v>2564</v>
      </c>
      <c r="C186" s="2" t="s">
        <v>2565</v>
      </c>
      <c r="D186" s="2" t="s">
        <v>2566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2567</v>
      </c>
      <c r="L186" s="2" t="s">
        <v>2568</v>
      </c>
      <c r="M186" s="3" t="s">
        <v>437</v>
      </c>
      <c r="O186" s="3" t="s">
        <v>64</v>
      </c>
      <c r="P186" s="3" t="s">
        <v>334</v>
      </c>
      <c r="R186" s="3" t="s">
        <v>2200</v>
      </c>
      <c r="S186" s="4">
        <v>41</v>
      </c>
      <c r="T186" s="4">
        <v>41</v>
      </c>
      <c r="U186" s="5" t="s">
        <v>2569</v>
      </c>
      <c r="V186" s="5" t="s">
        <v>2569</v>
      </c>
      <c r="W186" s="5" t="s">
        <v>2556</v>
      </c>
      <c r="X186" s="5" t="s">
        <v>2556</v>
      </c>
      <c r="Y186" s="4">
        <v>54</v>
      </c>
      <c r="Z186" s="4">
        <v>50</v>
      </c>
      <c r="AA186" s="4">
        <v>81</v>
      </c>
      <c r="AB186" s="4">
        <v>1</v>
      </c>
      <c r="AC186" s="4">
        <v>1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3" t="s">
        <v>58</v>
      </c>
      <c r="AQ186" s="3" t="s">
        <v>85</v>
      </c>
      <c r="AR186" s="6" t="str">
        <f>HYPERLINK("http://catalog.hathitrust.org/Record/101901218","HathiTrust Record")</f>
        <v>HathiTrust Record</v>
      </c>
      <c r="AS186" s="6" t="str">
        <f>HYPERLINK("https://creighton-primo.hosted.exlibrisgroup.com/primo-explore/search?tab=default_tab&amp;search_scope=EVERYTHING&amp;vid=01CRU&amp;lang=en_US&amp;offset=0&amp;query=any,contains,991005099189702656","Catalog Record")</f>
        <v>Catalog Record</v>
      </c>
      <c r="AT186" s="6" t="str">
        <f>HYPERLINK("http://www.worldcat.org/oclc/7279288","WorldCat Record")</f>
        <v>WorldCat Record</v>
      </c>
      <c r="AU186" s="3" t="s">
        <v>2570</v>
      </c>
      <c r="AV186" s="3" t="s">
        <v>2571</v>
      </c>
      <c r="AW186" s="3" t="s">
        <v>2572</v>
      </c>
      <c r="AX186" s="3" t="s">
        <v>2572</v>
      </c>
      <c r="AY186" s="3" t="s">
        <v>2573</v>
      </c>
      <c r="AZ186" s="3" t="s">
        <v>73</v>
      </c>
      <c r="BB186" s="3" t="s">
        <v>2574</v>
      </c>
      <c r="BC186" s="3" t="s">
        <v>2575</v>
      </c>
      <c r="BD186" s="3" t="s">
        <v>2576</v>
      </c>
    </row>
    <row r="187" spans="1:56" ht="41.25" customHeight="1" x14ac:dyDescent="0.25">
      <c r="A187" s="7" t="s">
        <v>58</v>
      </c>
      <c r="B187" s="2" t="s">
        <v>2577</v>
      </c>
      <c r="C187" s="2" t="s">
        <v>2578</v>
      </c>
      <c r="D187" s="2" t="s">
        <v>2579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2580</v>
      </c>
      <c r="L187" s="2" t="s">
        <v>2581</v>
      </c>
      <c r="M187" s="3" t="s">
        <v>868</v>
      </c>
      <c r="O187" s="3" t="s">
        <v>64</v>
      </c>
      <c r="P187" s="3" t="s">
        <v>231</v>
      </c>
      <c r="R187" s="3" t="s">
        <v>2200</v>
      </c>
      <c r="S187" s="4">
        <v>19</v>
      </c>
      <c r="T187" s="4">
        <v>19</v>
      </c>
      <c r="U187" s="5" t="s">
        <v>2582</v>
      </c>
      <c r="V187" s="5" t="s">
        <v>2582</v>
      </c>
      <c r="W187" s="5" t="s">
        <v>2583</v>
      </c>
      <c r="X187" s="5" t="s">
        <v>2583</v>
      </c>
      <c r="Y187" s="4">
        <v>29</v>
      </c>
      <c r="Z187" s="4">
        <v>4</v>
      </c>
      <c r="AA187" s="4">
        <v>4</v>
      </c>
      <c r="AB187" s="4">
        <v>1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3" t="s">
        <v>58</v>
      </c>
      <c r="AQ187" s="3" t="s">
        <v>58</v>
      </c>
      <c r="AS187" s="6" t="str">
        <f>HYPERLINK("https://creighton-primo.hosted.exlibrisgroup.com/primo-explore/search?tab=default_tab&amp;search_scope=EVERYTHING&amp;vid=01CRU&amp;lang=en_US&amp;offset=0&amp;query=any,contains,991000692989702656","Catalog Record")</f>
        <v>Catalog Record</v>
      </c>
      <c r="AT187" s="6" t="str">
        <f>HYPERLINK("http://www.worldcat.org/oclc/12503345","WorldCat Record")</f>
        <v>WorldCat Record</v>
      </c>
      <c r="AU187" s="3" t="s">
        <v>2584</v>
      </c>
      <c r="AV187" s="3" t="s">
        <v>2585</v>
      </c>
      <c r="AW187" s="3" t="s">
        <v>2586</v>
      </c>
      <c r="AX187" s="3" t="s">
        <v>2586</v>
      </c>
      <c r="AY187" s="3" t="s">
        <v>2587</v>
      </c>
      <c r="AZ187" s="3" t="s">
        <v>73</v>
      </c>
      <c r="BB187" s="3" t="s">
        <v>2588</v>
      </c>
      <c r="BC187" s="3" t="s">
        <v>2589</v>
      </c>
      <c r="BD187" s="3" t="s">
        <v>2590</v>
      </c>
    </row>
    <row r="188" spans="1:56" ht="41.25" customHeight="1" x14ac:dyDescent="0.25">
      <c r="A188" s="7" t="s">
        <v>58</v>
      </c>
      <c r="B188" s="2" t="s">
        <v>2591</v>
      </c>
      <c r="C188" s="2" t="s">
        <v>2592</v>
      </c>
      <c r="D188" s="2" t="s">
        <v>2593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2594</v>
      </c>
      <c r="L188" s="2" t="s">
        <v>2595</v>
      </c>
      <c r="M188" s="3" t="s">
        <v>612</v>
      </c>
      <c r="O188" s="3" t="s">
        <v>64</v>
      </c>
      <c r="P188" s="3" t="s">
        <v>755</v>
      </c>
      <c r="Q188" s="2" t="s">
        <v>2596</v>
      </c>
      <c r="R188" s="3" t="s">
        <v>2200</v>
      </c>
      <c r="S188" s="4">
        <v>19</v>
      </c>
      <c r="T188" s="4">
        <v>19</v>
      </c>
      <c r="U188" s="5" t="s">
        <v>2597</v>
      </c>
      <c r="V188" s="5" t="s">
        <v>2597</v>
      </c>
      <c r="W188" s="5" t="s">
        <v>2598</v>
      </c>
      <c r="X188" s="5" t="s">
        <v>2598</v>
      </c>
      <c r="Y188" s="4">
        <v>322</v>
      </c>
      <c r="Z188" s="4">
        <v>282</v>
      </c>
      <c r="AA188" s="4">
        <v>942</v>
      </c>
      <c r="AB188" s="4">
        <v>3</v>
      </c>
      <c r="AC188" s="4">
        <v>42</v>
      </c>
      <c r="AD188" s="4">
        <v>11</v>
      </c>
      <c r="AE188" s="4">
        <v>29</v>
      </c>
      <c r="AF188" s="4">
        <v>4</v>
      </c>
      <c r="AG188" s="4">
        <v>10</v>
      </c>
      <c r="AH188" s="4">
        <v>5</v>
      </c>
      <c r="AI188" s="4">
        <v>7</v>
      </c>
      <c r="AJ188" s="4">
        <v>4</v>
      </c>
      <c r="AK188" s="4">
        <v>8</v>
      </c>
      <c r="AL188" s="4">
        <v>2</v>
      </c>
      <c r="AM188" s="4">
        <v>11</v>
      </c>
      <c r="AN188" s="4">
        <v>0</v>
      </c>
      <c r="AO188" s="4">
        <v>0</v>
      </c>
      <c r="AP188" s="3" t="s">
        <v>58</v>
      </c>
      <c r="AQ188" s="3" t="s">
        <v>58</v>
      </c>
      <c r="AS188" s="6" t="str">
        <f>HYPERLINK("https://creighton-primo.hosted.exlibrisgroup.com/primo-explore/search?tab=default_tab&amp;search_scope=EVERYTHING&amp;vid=01CRU&amp;lang=en_US&amp;offset=0&amp;query=any,contains,991003626929702656","Catalog Record")</f>
        <v>Catalog Record</v>
      </c>
      <c r="AT188" s="6" t="str">
        <f>HYPERLINK("http://www.worldcat.org/oclc/40489353","WorldCat Record")</f>
        <v>WorldCat Record</v>
      </c>
      <c r="AU188" s="3" t="s">
        <v>2599</v>
      </c>
      <c r="AV188" s="3" t="s">
        <v>2600</v>
      </c>
      <c r="AW188" s="3" t="s">
        <v>2601</v>
      </c>
      <c r="AX188" s="3" t="s">
        <v>2601</v>
      </c>
      <c r="AY188" s="3" t="s">
        <v>2602</v>
      </c>
      <c r="AZ188" s="3" t="s">
        <v>73</v>
      </c>
      <c r="BB188" s="3" t="s">
        <v>2603</v>
      </c>
      <c r="BC188" s="3" t="s">
        <v>2604</v>
      </c>
      <c r="BD188" s="3" t="s">
        <v>2605</v>
      </c>
    </row>
    <row r="189" spans="1:56" ht="41.25" customHeight="1" x14ac:dyDescent="0.25">
      <c r="A189" s="7" t="s">
        <v>58</v>
      </c>
      <c r="B189" s="2" t="s">
        <v>2606</v>
      </c>
      <c r="C189" s="2" t="s">
        <v>2607</v>
      </c>
      <c r="D189" s="2" t="s">
        <v>2608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2609</v>
      </c>
      <c r="L189" s="2" t="s">
        <v>2610</v>
      </c>
      <c r="M189" s="3" t="s">
        <v>146</v>
      </c>
      <c r="O189" s="3" t="s">
        <v>64</v>
      </c>
      <c r="P189" s="3" t="s">
        <v>231</v>
      </c>
      <c r="R189" s="3" t="s">
        <v>2200</v>
      </c>
      <c r="S189" s="4">
        <v>32</v>
      </c>
      <c r="T189" s="4">
        <v>32</v>
      </c>
      <c r="U189" s="5" t="s">
        <v>2569</v>
      </c>
      <c r="V189" s="5" t="s">
        <v>2569</v>
      </c>
      <c r="W189" s="5" t="s">
        <v>2611</v>
      </c>
      <c r="X189" s="5" t="s">
        <v>2611</v>
      </c>
      <c r="Y189" s="4">
        <v>469</v>
      </c>
      <c r="Z189" s="4">
        <v>308</v>
      </c>
      <c r="AA189" s="4">
        <v>314</v>
      </c>
      <c r="AB189" s="4">
        <v>3</v>
      </c>
      <c r="AC189" s="4">
        <v>3</v>
      </c>
      <c r="AD189" s="4">
        <v>17</v>
      </c>
      <c r="AE189" s="4">
        <v>17</v>
      </c>
      <c r="AF189" s="4">
        <v>4</v>
      </c>
      <c r="AG189" s="4">
        <v>4</v>
      </c>
      <c r="AH189" s="4">
        <v>5</v>
      </c>
      <c r="AI189" s="4">
        <v>5</v>
      </c>
      <c r="AJ189" s="4">
        <v>11</v>
      </c>
      <c r="AK189" s="4">
        <v>11</v>
      </c>
      <c r="AL189" s="4">
        <v>2</v>
      </c>
      <c r="AM189" s="4">
        <v>2</v>
      </c>
      <c r="AN189" s="4">
        <v>0</v>
      </c>
      <c r="AO189" s="4">
        <v>0</v>
      </c>
      <c r="AP189" s="3" t="s">
        <v>58</v>
      </c>
      <c r="AQ189" s="3" t="s">
        <v>58</v>
      </c>
      <c r="AS189" s="6" t="str">
        <f>HYPERLINK("https://creighton-primo.hosted.exlibrisgroup.com/primo-explore/search?tab=default_tab&amp;search_scope=EVERYTHING&amp;vid=01CRU&amp;lang=en_US&amp;offset=0&amp;query=any,contains,991000552679702656","Catalog Record")</f>
        <v>Catalog Record</v>
      </c>
      <c r="AT189" s="6" t="str">
        <f>HYPERLINK("http://www.worldcat.org/oclc/11548324","WorldCat Record")</f>
        <v>WorldCat Record</v>
      </c>
      <c r="AU189" s="3" t="s">
        <v>2612</v>
      </c>
      <c r="AV189" s="3" t="s">
        <v>2613</v>
      </c>
      <c r="AW189" s="3" t="s">
        <v>2614</v>
      </c>
      <c r="AX189" s="3" t="s">
        <v>2614</v>
      </c>
      <c r="AY189" s="3" t="s">
        <v>2615</v>
      </c>
      <c r="AZ189" s="3" t="s">
        <v>73</v>
      </c>
      <c r="BB189" s="3" t="s">
        <v>2616</v>
      </c>
      <c r="BC189" s="3" t="s">
        <v>2617</v>
      </c>
      <c r="BD189" s="3" t="s">
        <v>2618</v>
      </c>
    </row>
    <row r="190" spans="1:56" ht="41.25" customHeight="1" x14ac:dyDescent="0.25">
      <c r="A190" s="7" t="s">
        <v>58</v>
      </c>
      <c r="B190" s="2" t="s">
        <v>2619</v>
      </c>
      <c r="C190" s="2" t="s">
        <v>2620</v>
      </c>
      <c r="D190" s="2" t="s">
        <v>2621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K190" s="2" t="s">
        <v>2622</v>
      </c>
      <c r="L190" s="2" t="s">
        <v>2623</v>
      </c>
      <c r="M190" s="3" t="s">
        <v>1258</v>
      </c>
      <c r="O190" s="3" t="s">
        <v>64</v>
      </c>
      <c r="P190" s="3" t="s">
        <v>1315</v>
      </c>
      <c r="R190" s="3" t="s">
        <v>2200</v>
      </c>
      <c r="S190" s="4">
        <v>34</v>
      </c>
      <c r="T190" s="4">
        <v>34</v>
      </c>
      <c r="U190" s="5" t="s">
        <v>2624</v>
      </c>
      <c r="V190" s="5" t="s">
        <v>2624</v>
      </c>
      <c r="W190" s="5" t="s">
        <v>2625</v>
      </c>
      <c r="X190" s="5" t="s">
        <v>2625</v>
      </c>
      <c r="Y190" s="4">
        <v>346</v>
      </c>
      <c r="Z190" s="4">
        <v>298</v>
      </c>
      <c r="AA190" s="4">
        <v>331</v>
      </c>
      <c r="AB190" s="4">
        <v>3</v>
      </c>
      <c r="AC190" s="4">
        <v>3</v>
      </c>
      <c r="AD190" s="4">
        <v>13</v>
      </c>
      <c r="AE190" s="4">
        <v>16</v>
      </c>
      <c r="AF190" s="4">
        <v>5</v>
      </c>
      <c r="AG190" s="4">
        <v>6</v>
      </c>
      <c r="AH190" s="4">
        <v>5</v>
      </c>
      <c r="AI190" s="4">
        <v>6</v>
      </c>
      <c r="AJ190" s="4">
        <v>6</v>
      </c>
      <c r="AK190" s="4">
        <v>8</v>
      </c>
      <c r="AL190" s="4">
        <v>2</v>
      </c>
      <c r="AM190" s="4">
        <v>2</v>
      </c>
      <c r="AN190" s="4">
        <v>0</v>
      </c>
      <c r="AO190" s="4">
        <v>0</v>
      </c>
      <c r="AP190" s="3" t="s">
        <v>58</v>
      </c>
      <c r="AQ190" s="3" t="s">
        <v>58</v>
      </c>
      <c r="AS190" s="6" t="str">
        <f>HYPERLINK("https://creighton-primo.hosted.exlibrisgroup.com/primo-explore/search?tab=default_tab&amp;search_scope=EVERYTHING&amp;vid=01CRU&amp;lang=en_US&amp;offset=0&amp;query=any,contains,991002574319702656","Catalog Record")</f>
        <v>Catalog Record</v>
      </c>
      <c r="AT190" s="6" t="str">
        <f>HYPERLINK("http://www.worldcat.org/oclc/33443585","WorldCat Record")</f>
        <v>WorldCat Record</v>
      </c>
      <c r="AU190" s="3" t="s">
        <v>2626</v>
      </c>
      <c r="AV190" s="3" t="s">
        <v>2627</v>
      </c>
      <c r="AW190" s="3" t="s">
        <v>2628</v>
      </c>
      <c r="AX190" s="3" t="s">
        <v>2628</v>
      </c>
      <c r="AY190" s="3" t="s">
        <v>2629</v>
      </c>
      <c r="AZ190" s="3" t="s">
        <v>73</v>
      </c>
      <c r="BB190" s="3" t="s">
        <v>2630</v>
      </c>
      <c r="BC190" s="3" t="s">
        <v>2631</v>
      </c>
      <c r="BD190" s="3" t="s">
        <v>2632</v>
      </c>
    </row>
    <row r="191" spans="1:56" ht="41.25" customHeight="1" x14ac:dyDescent="0.25">
      <c r="A191" s="7" t="s">
        <v>58</v>
      </c>
      <c r="B191" s="2" t="s">
        <v>2633</v>
      </c>
      <c r="C191" s="2" t="s">
        <v>2634</v>
      </c>
      <c r="D191" s="2" t="s">
        <v>2635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2636</v>
      </c>
      <c r="L191" s="2" t="s">
        <v>2637</v>
      </c>
      <c r="M191" s="3" t="s">
        <v>276</v>
      </c>
      <c r="N191" s="2" t="s">
        <v>528</v>
      </c>
      <c r="O191" s="3" t="s">
        <v>64</v>
      </c>
      <c r="P191" s="3" t="s">
        <v>65</v>
      </c>
      <c r="R191" s="3" t="s">
        <v>2200</v>
      </c>
      <c r="S191" s="4">
        <v>4</v>
      </c>
      <c r="T191" s="4">
        <v>4</v>
      </c>
      <c r="U191" s="5" t="s">
        <v>2638</v>
      </c>
      <c r="V191" s="5" t="s">
        <v>2638</v>
      </c>
      <c r="W191" s="5" t="s">
        <v>2639</v>
      </c>
      <c r="X191" s="5" t="s">
        <v>2639</v>
      </c>
      <c r="Y191" s="4">
        <v>1092</v>
      </c>
      <c r="Z191" s="4">
        <v>1021</v>
      </c>
      <c r="AA191" s="4">
        <v>1213</v>
      </c>
      <c r="AB191" s="4">
        <v>4</v>
      </c>
      <c r="AC191" s="4">
        <v>6</v>
      </c>
      <c r="AD191" s="4">
        <v>21</v>
      </c>
      <c r="AE191" s="4">
        <v>25</v>
      </c>
      <c r="AF191" s="4">
        <v>7</v>
      </c>
      <c r="AG191" s="4">
        <v>7</v>
      </c>
      <c r="AH191" s="4">
        <v>6</v>
      </c>
      <c r="AI191" s="4">
        <v>6</v>
      </c>
      <c r="AJ191" s="4">
        <v>11</v>
      </c>
      <c r="AK191" s="4">
        <v>13</v>
      </c>
      <c r="AL191" s="4">
        <v>3</v>
      </c>
      <c r="AM191" s="4">
        <v>5</v>
      </c>
      <c r="AN191" s="4">
        <v>0</v>
      </c>
      <c r="AO191" s="4">
        <v>0</v>
      </c>
      <c r="AP191" s="3" t="s">
        <v>58</v>
      </c>
      <c r="AQ191" s="3" t="s">
        <v>85</v>
      </c>
      <c r="AR191" s="6" t="str">
        <f>HYPERLINK("http://catalog.hathitrust.org/Record/004733667","HathiTrust Record")</f>
        <v>HathiTrust Record</v>
      </c>
      <c r="AS191" s="6" t="str">
        <f>HYPERLINK("https://creighton-primo.hosted.exlibrisgroup.com/primo-explore/search?tab=default_tab&amp;search_scope=EVERYTHING&amp;vid=01CRU&amp;lang=en_US&amp;offset=0&amp;query=any,contains,991004319309702656","Catalog Record")</f>
        <v>Catalog Record</v>
      </c>
      <c r="AT191" s="6" t="str">
        <f>HYPERLINK("http://www.worldcat.org/oclc/53814621","WorldCat Record")</f>
        <v>WorldCat Record</v>
      </c>
      <c r="AU191" s="3" t="s">
        <v>2640</v>
      </c>
      <c r="AV191" s="3" t="s">
        <v>2641</v>
      </c>
      <c r="AW191" s="3" t="s">
        <v>2642</v>
      </c>
      <c r="AX191" s="3" t="s">
        <v>2642</v>
      </c>
      <c r="AY191" s="3" t="s">
        <v>2643</v>
      </c>
      <c r="AZ191" s="3" t="s">
        <v>73</v>
      </c>
      <c r="BB191" s="3" t="s">
        <v>2644</v>
      </c>
      <c r="BC191" s="3" t="s">
        <v>2645</v>
      </c>
      <c r="BD191" s="3" t="s">
        <v>2646</v>
      </c>
    </row>
    <row r="192" spans="1:56" ht="41.25" customHeight="1" x14ac:dyDescent="0.25">
      <c r="A192" s="7" t="s">
        <v>58</v>
      </c>
      <c r="B192" s="2" t="s">
        <v>2647</v>
      </c>
      <c r="C192" s="2" t="s">
        <v>2648</v>
      </c>
      <c r="D192" s="2" t="s">
        <v>2649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K192" s="2" t="s">
        <v>2650</v>
      </c>
      <c r="L192" s="2" t="s">
        <v>2651</v>
      </c>
      <c r="M192" s="3" t="s">
        <v>482</v>
      </c>
      <c r="N192" s="2" t="s">
        <v>421</v>
      </c>
      <c r="O192" s="3" t="s">
        <v>64</v>
      </c>
      <c r="P192" s="3" t="s">
        <v>65</v>
      </c>
      <c r="R192" s="3" t="s">
        <v>2200</v>
      </c>
      <c r="S192" s="4">
        <v>10</v>
      </c>
      <c r="T192" s="4">
        <v>10</v>
      </c>
      <c r="U192" s="5" t="s">
        <v>2652</v>
      </c>
      <c r="V192" s="5" t="s">
        <v>2652</v>
      </c>
      <c r="W192" s="5" t="s">
        <v>2392</v>
      </c>
      <c r="X192" s="5" t="s">
        <v>2392</v>
      </c>
      <c r="Y192" s="4">
        <v>485</v>
      </c>
      <c r="Z192" s="4">
        <v>465</v>
      </c>
      <c r="AA192" s="4">
        <v>604</v>
      </c>
      <c r="AB192" s="4">
        <v>7</v>
      </c>
      <c r="AC192" s="4">
        <v>7</v>
      </c>
      <c r="AD192" s="4">
        <v>21</v>
      </c>
      <c r="AE192" s="4">
        <v>22</v>
      </c>
      <c r="AF192" s="4">
        <v>10</v>
      </c>
      <c r="AG192" s="4">
        <v>10</v>
      </c>
      <c r="AH192" s="4">
        <v>2</v>
      </c>
      <c r="AI192" s="4">
        <v>3</v>
      </c>
      <c r="AJ192" s="4">
        <v>7</v>
      </c>
      <c r="AK192" s="4">
        <v>7</v>
      </c>
      <c r="AL192" s="4">
        <v>6</v>
      </c>
      <c r="AM192" s="4">
        <v>6</v>
      </c>
      <c r="AN192" s="4">
        <v>0</v>
      </c>
      <c r="AO192" s="4">
        <v>0</v>
      </c>
      <c r="AP192" s="3" t="s">
        <v>58</v>
      </c>
      <c r="AQ192" s="3" t="s">
        <v>85</v>
      </c>
      <c r="AR192" s="6" t="str">
        <f>HYPERLINK("http://catalog.hathitrust.org/Record/001036574","HathiTrust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HYPERLINK("https://creighton-primo.hosted.exlibrisgroup.com/primo-explore/search?tab=default_tab&amp;search_scope=EVERYTHING&amp;vid=01CRU&amp;lang=en_US&amp;offset=0&amp;query=any,contains,991003621539702656","Catalog Record")</f>
        <v>Catalog Record</v>
      </c>
      <c r="AT192" s="6" t="str">
        <f>HYPERLINK("http://www.worldcat.org/oclc/1208973","WorldCat Record")</f>
        <v>WorldCat Record</v>
      </c>
      <c r="AU192" s="3" t="s">
        <v>2653</v>
      </c>
      <c r="AV192" s="3" t="s">
        <v>2654</v>
      </c>
      <c r="AW192" s="3" t="s">
        <v>2655</v>
      </c>
      <c r="AX192" s="3" t="s">
        <v>2655</v>
      </c>
      <c r="AY192" s="3" t="s">
        <v>2656</v>
      </c>
      <c r="AZ192" s="3" t="s">
        <v>73</v>
      </c>
      <c r="BC192" s="3" t="s">
        <v>2657</v>
      </c>
      <c r="BD192" s="3" t="s">
        <v>2658</v>
      </c>
    </row>
    <row r="193" spans="1:56" ht="41.25" customHeight="1" x14ac:dyDescent="0.25">
      <c r="A193" s="7" t="s">
        <v>58</v>
      </c>
      <c r="B193" s="2" t="s">
        <v>2659</v>
      </c>
      <c r="C193" s="2" t="s">
        <v>2660</v>
      </c>
      <c r="D193" s="2" t="s">
        <v>2661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L193" s="2" t="s">
        <v>2662</v>
      </c>
      <c r="M193" s="3" t="s">
        <v>754</v>
      </c>
      <c r="O193" s="3" t="s">
        <v>64</v>
      </c>
      <c r="P193" s="3" t="s">
        <v>65</v>
      </c>
      <c r="Q193" s="2" t="s">
        <v>2663</v>
      </c>
      <c r="R193" s="3" t="s">
        <v>2200</v>
      </c>
      <c r="S193" s="4">
        <v>2</v>
      </c>
      <c r="T193" s="4">
        <v>2</v>
      </c>
      <c r="U193" s="5" t="s">
        <v>2664</v>
      </c>
      <c r="V193" s="5" t="s">
        <v>2664</v>
      </c>
      <c r="W193" s="5" t="s">
        <v>1044</v>
      </c>
      <c r="X193" s="5" t="s">
        <v>1044</v>
      </c>
      <c r="Y193" s="4">
        <v>280</v>
      </c>
      <c r="Z193" s="4">
        <v>199</v>
      </c>
      <c r="AA193" s="4">
        <v>231</v>
      </c>
      <c r="AB193" s="4">
        <v>2</v>
      </c>
      <c r="AC193" s="4">
        <v>2</v>
      </c>
      <c r="AD193" s="4">
        <v>3</v>
      </c>
      <c r="AE193" s="4">
        <v>5</v>
      </c>
      <c r="AF193" s="4">
        <v>2</v>
      </c>
      <c r="AG193" s="4">
        <v>3</v>
      </c>
      <c r="AH193" s="4">
        <v>0</v>
      </c>
      <c r="AI193" s="4">
        <v>1</v>
      </c>
      <c r="AJ193" s="4">
        <v>1</v>
      </c>
      <c r="AK193" s="4">
        <v>1</v>
      </c>
      <c r="AL193" s="4">
        <v>1</v>
      </c>
      <c r="AM193" s="4">
        <v>1</v>
      </c>
      <c r="AN193" s="4">
        <v>0</v>
      </c>
      <c r="AO193" s="4">
        <v>0</v>
      </c>
      <c r="AP193" s="3" t="s">
        <v>58</v>
      </c>
      <c r="AQ193" s="3" t="s">
        <v>58</v>
      </c>
      <c r="AS193" s="6" t="str">
        <f>HYPERLINK("https://creighton-primo.hosted.exlibrisgroup.com/primo-explore/search?tab=default_tab&amp;search_scope=EVERYTHING&amp;vid=01CRU&amp;lang=en_US&amp;offset=0&amp;query=any,contains,991000239769702656","Catalog Record")</f>
        <v>Catalog Record</v>
      </c>
      <c r="AT193" s="6" t="str">
        <f>HYPERLINK("http://www.worldcat.org/oclc/9682930","WorldCat Record")</f>
        <v>WorldCat Record</v>
      </c>
      <c r="AU193" s="3" t="s">
        <v>2665</v>
      </c>
      <c r="AV193" s="3" t="s">
        <v>2666</v>
      </c>
      <c r="AW193" s="3" t="s">
        <v>2667</v>
      </c>
      <c r="AX193" s="3" t="s">
        <v>2667</v>
      </c>
      <c r="AY193" s="3" t="s">
        <v>2668</v>
      </c>
      <c r="AZ193" s="3" t="s">
        <v>73</v>
      </c>
      <c r="BB193" s="3" t="s">
        <v>2669</v>
      </c>
      <c r="BC193" s="3" t="s">
        <v>2670</v>
      </c>
      <c r="BD193" s="3" t="s">
        <v>2671</v>
      </c>
    </row>
    <row r="194" spans="1:56" ht="41.25" customHeight="1" x14ac:dyDescent="0.25">
      <c r="A194" s="7" t="s">
        <v>58</v>
      </c>
      <c r="B194" s="2" t="s">
        <v>2672</v>
      </c>
      <c r="C194" s="2" t="s">
        <v>2673</v>
      </c>
      <c r="D194" s="2" t="s">
        <v>2674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L194" s="2" t="s">
        <v>2675</v>
      </c>
      <c r="M194" s="3" t="s">
        <v>1258</v>
      </c>
      <c r="O194" s="3" t="s">
        <v>64</v>
      </c>
      <c r="P194" s="3" t="s">
        <v>755</v>
      </c>
      <c r="R194" s="3" t="s">
        <v>2200</v>
      </c>
      <c r="S194" s="4">
        <v>2</v>
      </c>
      <c r="T194" s="4">
        <v>2</v>
      </c>
      <c r="U194" s="5" t="s">
        <v>2676</v>
      </c>
      <c r="V194" s="5" t="s">
        <v>2676</v>
      </c>
      <c r="W194" s="5" t="s">
        <v>2677</v>
      </c>
      <c r="X194" s="5" t="s">
        <v>2677</v>
      </c>
      <c r="Y194" s="4">
        <v>168</v>
      </c>
      <c r="Z194" s="4">
        <v>111</v>
      </c>
      <c r="AA194" s="4">
        <v>168</v>
      </c>
      <c r="AB194" s="4">
        <v>2</v>
      </c>
      <c r="AC194" s="4">
        <v>3</v>
      </c>
      <c r="AD194" s="4">
        <v>3</v>
      </c>
      <c r="AE194" s="4">
        <v>8</v>
      </c>
      <c r="AF194" s="4">
        <v>1</v>
      </c>
      <c r="AG194" s="4">
        <v>4</v>
      </c>
      <c r="AH194" s="4">
        <v>0</v>
      </c>
      <c r="AI194" s="4">
        <v>1</v>
      </c>
      <c r="AJ194" s="4">
        <v>1</v>
      </c>
      <c r="AK194" s="4">
        <v>3</v>
      </c>
      <c r="AL194" s="4">
        <v>1</v>
      </c>
      <c r="AM194" s="4">
        <v>2</v>
      </c>
      <c r="AN194" s="4">
        <v>0</v>
      </c>
      <c r="AO194" s="4">
        <v>0</v>
      </c>
      <c r="AP194" s="3" t="s">
        <v>58</v>
      </c>
      <c r="AQ194" s="3" t="s">
        <v>58</v>
      </c>
      <c r="AS194" s="6" t="str">
        <f>HYPERLINK("https://creighton-primo.hosted.exlibrisgroup.com/primo-explore/search?tab=default_tab&amp;search_scope=EVERYTHING&amp;vid=01CRU&amp;lang=en_US&amp;offset=0&amp;query=any,contains,991003492299702656","Catalog Record")</f>
        <v>Catalog Record</v>
      </c>
      <c r="AT194" s="6" t="str">
        <f>HYPERLINK("http://www.worldcat.org/oclc/36296272","WorldCat Record")</f>
        <v>WorldCat Record</v>
      </c>
      <c r="AU194" s="3" t="s">
        <v>2678</v>
      </c>
      <c r="AV194" s="3" t="s">
        <v>2679</v>
      </c>
      <c r="AW194" s="3" t="s">
        <v>2680</v>
      </c>
      <c r="AX194" s="3" t="s">
        <v>2680</v>
      </c>
      <c r="AY194" s="3" t="s">
        <v>2681</v>
      </c>
      <c r="AZ194" s="3" t="s">
        <v>73</v>
      </c>
      <c r="BB194" s="3" t="s">
        <v>2682</v>
      </c>
      <c r="BC194" s="3" t="s">
        <v>2683</v>
      </c>
      <c r="BD194" s="3" t="s">
        <v>2684</v>
      </c>
    </row>
    <row r="195" spans="1:56" ht="41.25" customHeight="1" x14ac:dyDescent="0.25">
      <c r="A195" s="7" t="s">
        <v>58</v>
      </c>
      <c r="B195" s="2" t="s">
        <v>2685</v>
      </c>
      <c r="C195" s="2" t="s">
        <v>2686</v>
      </c>
      <c r="D195" s="2" t="s">
        <v>2687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K195" s="2" t="s">
        <v>2688</v>
      </c>
      <c r="L195" s="2" t="s">
        <v>2689</v>
      </c>
      <c r="M195" s="3" t="s">
        <v>81</v>
      </c>
      <c r="N195" s="2" t="s">
        <v>2690</v>
      </c>
      <c r="O195" s="3" t="s">
        <v>64</v>
      </c>
      <c r="P195" s="3" t="s">
        <v>2691</v>
      </c>
      <c r="R195" s="3" t="s">
        <v>2200</v>
      </c>
      <c r="S195" s="4">
        <v>3</v>
      </c>
      <c r="T195" s="4">
        <v>3</v>
      </c>
      <c r="U195" s="5" t="s">
        <v>2692</v>
      </c>
      <c r="V195" s="5" t="s">
        <v>2692</v>
      </c>
      <c r="W195" s="5" t="s">
        <v>1044</v>
      </c>
      <c r="X195" s="5" t="s">
        <v>1044</v>
      </c>
      <c r="Y195" s="4">
        <v>160</v>
      </c>
      <c r="Z195" s="4">
        <v>66</v>
      </c>
      <c r="AA195" s="4">
        <v>431</v>
      </c>
      <c r="AB195" s="4">
        <v>2</v>
      </c>
      <c r="AC195" s="4">
        <v>4</v>
      </c>
      <c r="AD195" s="4">
        <v>1</v>
      </c>
      <c r="AE195" s="4">
        <v>7</v>
      </c>
      <c r="AF195" s="4">
        <v>0</v>
      </c>
      <c r="AG195" s="4">
        <v>2</v>
      </c>
      <c r="AH195" s="4">
        <v>0</v>
      </c>
      <c r="AI195" s="4">
        <v>1</v>
      </c>
      <c r="AJ195" s="4">
        <v>0</v>
      </c>
      <c r="AK195" s="4">
        <v>2</v>
      </c>
      <c r="AL195" s="4">
        <v>1</v>
      </c>
      <c r="AM195" s="4">
        <v>2</v>
      </c>
      <c r="AN195" s="4">
        <v>0</v>
      </c>
      <c r="AO195" s="4">
        <v>0</v>
      </c>
      <c r="AP195" s="3" t="s">
        <v>58</v>
      </c>
      <c r="AQ195" s="3" t="s">
        <v>85</v>
      </c>
      <c r="AR195" s="6" t="str">
        <f>HYPERLINK("http://catalog.hathitrust.org/Record/009056055","HathiTrust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HYPERLINK("https://creighton-primo.hosted.exlibrisgroup.com/primo-explore/search?tab=default_tab&amp;search_scope=EVERYTHING&amp;vid=01CRU&amp;lang=en_US&amp;offset=0&amp;query=any,contains,991004243019702656","Catalog Record")</f>
        <v>Catalog Record</v>
      </c>
      <c r="AT195" s="6" t="str">
        <f>HYPERLINK("http://www.worldcat.org/oclc/2793796","WorldCat Record")</f>
        <v>WorldCat Record</v>
      </c>
      <c r="AU195" s="3" t="s">
        <v>2693</v>
      </c>
      <c r="AV195" s="3" t="s">
        <v>2694</v>
      </c>
      <c r="AW195" s="3" t="s">
        <v>2695</v>
      </c>
      <c r="AX195" s="3" t="s">
        <v>2695</v>
      </c>
      <c r="AY195" s="3" t="s">
        <v>2696</v>
      </c>
      <c r="AZ195" s="3" t="s">
        <v>73</v>
      </c>
      <c r="BB195" s="3" t="s">
        <v>2697</v>
      </c>
      <c r="BC195" s="3" t="s">
        <v>2698</v>
      </c>
      <c r="BD195" s="3" t="s">
        <v>2699</v>
      </c>
    </row>
    <row r="196" spans="1:56" ht="41.25" customHeight="1" x14ac:dyDescent="0.25">
      <c r="A196" s="7" t="s">
        <v>58</v>
      </c>
      <c r="B196" s="2" t="s">
        <v>2700</v>
      </c>
      <c r="C196" s="2" t="s">
        <v>2701</v>
      </c>
      <c r="D196" s="2" t="s">
        <v>2702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K196" s="2" t="s">
        <v>2703</v>
      </c>
      <c r="L196" s="2" t="s">
        <v>2704</v>
      </c>
      <c r="M196" s="3" t="s">
        <v>940</v>
      </c>
      <c r="N196" s="2" t="s">
        <v>2705</v>
      </c>
      <c r="O196" s="3" t="s">
        <v>64</v>
      </c>
      <c r="P196" s="3" t="s">
        <v>231</v>
      </c>
      <c r="R196" s="3" t="s">
        <v>2200</v>
      </c>
      <c r="S196" s="4">
        <v>9</v>
      </c>
      <c r="T196" s="4">
        <v>9</v>
      </c>
      <c r="U196" s="5" t="s">
        <v>2706</v>
      </c>
      <c r="V196" s="5" t="s">
        <v>2706</v>
      </c>
      <c r="W196" s="5" t="s">
        <v>2707</v>
      </c>
      <c r="X196" s="5" t="s">
        <v>2707</v>
      </c>
      <c r="Y196" s="4">
        <v>147</v>
      </c>
      <c r="Z196" s="4">
        <v>101</v>
      </c>
      <c r="AA196" s="4">
        <v>255</v>
      </c>
      <c r="AB196" s="4">
        <v>2</v>
      </c>
      <c r="AC196" s="4">
        <v>2</v>
      </c>
      <c r="AD196" s="4">
        <v>2</v>
      </c>
      <c r="AE196" s="4">
        <v>4</v>
      </c>
      <c r="AF196" s="4">
        <v>0</v>
      </c>
      <c r="AG196" s="4">
        <v>2</v>
      </c>
      <c r="AH196" s="4">
        <v>0</v>
      </c>
      <c r="AI196" s="4">
        <v>0</v>
      </c>
      <c r="AJ196" s="4">
        <v>1</v>
      </c>
      <c r="AK196" s="4">
        <v>2</v>
      </c>
      <c r="AL196" s="4">
        <v>1</v>
      </c>
      <c r="AM196" s="4">
        <v>1</v>
      </c>
      <c r="AN196" s="4">
        <v>0</v>
      </c>
      <c r="AO196" s="4">
        <v>0</v>
      </c>
      <c r="AP196" s="3" t="s">
        <v>58</v>
      </c>
      <c r="AQ196" s="3" t="s">
        <v>58</v>
      </c>
      <c r="AS196" s="6" t="str">
        <f>HYPERLINK("https://creighton-primo.hosted.exlibrisgroup.com/primo-explore/search?tab=default_tab&amp;search_scope=EVERYTHING&amp;vid=01CRU&amp;lang=en_US&amp;offset=0&amp;query=any,contains,991001959109702656","Catalog Record")</f>
        <v>Catalog Record</v>
      </c>
      <c r="AT196" s="6" t="str">
        <f>HYPERLINK("http://www.worldcat.org/oclc/24801302","WorldCat Record")</f>
        <v>WorldCat Record</v>
      </c>
      <c r="AU196" s="3" t="s">
        <v>2708</v>
      </c>
      <c r="AV196" s="3" t="s">
        <v>2709</v>
      </c>
      <c r="AW196" s="3" t="s">
        <v>2710</v>
      </c>
      <c r="AX196" s="3" t="s">
        <v>2710</v>
      </c>
      <c r="AY196" s="3" t="s">
        <v>2711</v>
      </c>
      <c r="AZ196" s="3" t="s">
        <v>73</v>
      </c>
      <c r="BB196" s="3" t="s">
        <v>2712</v>
      </c>
      <c r="BC196" s="3" t="s">
        <v>2713</v>
      </c>
      <c r="BD196" s="3" t="s">
        <v>2714</v>
      </c>
    </row>
    <row r="197" spans="1:56" ht="41.25" customHeight="1" x14ac:dyDescent="0.25">
      <c r="A197" s="7" t="s">
        <v>58</v>
      </c>
      <c r="B197" s="2" t="s">
        <v>2715</v>
      </c>
      <c r="C197" s="2" t="s">
        <v>2716</v>
      </c>
      <c r="D197" s="2" t="s">
        <v>2717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K197" s="2" t="s">
        <v>2718</v>
      </c>
      <c r="L197" s="2" t="s">
        <v>2719</v>
      </c>
      <c r="M197" s="3" t="s">
        <v>612</v>
      </c>
      <c r="N197" s="2" t="s">
        <v>2720</v>
      </c>
      <c r="O197" s="3" t="s">
        <v>64</v>
      </c>
      <c r="P197" s="3" t="s">
        <v>65</v>
      </c>
      <c r="R197" s="3" t="s">
        <v>2200</v>
      </c>
      <c r="S197" s="4">
        <v>1</v>
      </c>
      <c r="T197" s="4">
        <v>1</v>
      </c>
      <c r="U197" s="5" t="s">
        <v>2721</v>
      </c>
      <c r="V197" s="5" t="s">
        <v>2721</v>
      </c>
      <c r="W197" s="5" t="s">
        <v>2721</v>
      </c>
      <c r="X197" s="5" t="s">
        <v>2721</v>
      </c>
      <c r="Y197" s="4">
        <v>11</v>
      </c>
      <c r="Z197" s="4">
        <v>11</v>
      </c>
      <c r="AA197" s="4">
        <v>70</v>
      </c>
      <c r="AB197" s="4">
        <v>1</v>
      </c>
      <c r="AC197" s="4">
        <v>1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3" t="s">
        <v>58</v>
      </c>
      <c r="AQ197" s="3" t="s">
        <v>58</v>
      </c>
      <c r="AS197" s="6" t="str">
        <f>HYPERLINK("https://creighton-primo.hosted.exlibrisgroup.com/primo-explore/search?tab=default_tab&amp;search_scope=EVERYTHING&amp;vid=01CRU&amp;lang=en_US&amp;offset=0&amp;query=any,contains,991004043239702656","Catalog Record")</f>
        <v>Catalog Record</v>
      </c>
      <c r="AT197" s="6" t="str">
        <f>HYPERLINK("http://www.worldcat.org/oclc/40502831","WorldCat Record")</f>
        <v>WorldCat Record</v>
      </c>
      <c r="AU197" s="3" t="s">
        <v>2722</v>
      </c>
      <c r="AV197" s="3" t="s">
        <v>2723</v>
      </c>
      <c r="AW197" s="3" t="s">
        <v>2724</v>
      </c>
      <c r="AX197" s="3" t="s">
        <v>2724</v>
      </c>
      <c r="AY197" s="3" t="s">
        <v>2725</v>
      </c>
      <c r="AZ197" s="3" t="s">
        <v>73</v>
      </c>
      <c r="BB197" s="3" t="s">
        <v>2726</v>
      </c>
      <c r="BC197" s="3" t="s">
        <v>2727</v>
      </c>
      <c r="BD197" s="3" t="s">
        <v>2728</v>
      </c>
    </row>
    <row r="198" spans="1:56" ht="41.25" customHeight="1" x14ac:dyDescent="0.25">
      <c r="A198" s="7" t="s">
        <v>58</v>
      </c>
      <c r="B198" s="2" t="s">
        <v>2729</v>
      </c>
      <c r="C198" s="2" t="s">
        <v>2730</v>
      </c>
      <c r="D198" s="2" t="s">
        <v>2731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K198" s="2" t="s">
        <v>2732</v>
      </c>
      <c r="L198" s="2" t="s">
        <v>2733</v>
      </c>
      <c r="M198" s="3" t="s">
        <v>132</v>
      </c>
      <c r="O198" s="3" t="s">
        <v>64</v>
      </c>
      <c r="P198" s="3" t="s">
        <v>65</v>
      </c>
      <c r="R198" s="3" t="s">
        <v>2200</v>
      </c>
      <c r="S198" s="4">
        <v>1</v>
      </c>
      <c r="T198" s="4">
        <v>1</v>
      </c>
      <c r="U198" s="5" t="s">
        <v>2706</v>
      </c>
      <c r="V198" s="5" t="s">
        <v>2706</v>
      </c>
      <c r="W198" s="5" t="s">
        <v>799</v>
      </c>
      <c r="X198" s="5" t="s">
        <v>799</v>
      </c>
      <c r="Y198" s="4">
        <v>763</v>
      </c>
      <c r="Z198" s="4">
        <v>693</v>
      </c>
      <c r="AA198" s="4">
        <v>793</v>
      </c>
      <c r="AB198" s="4">
        <v>8</v>
      </c>
      <c r="AC198" s="4">
        <v>8</v>
      </c>
      <c r="AD198" s="4">
        <v>14</v>
      </c>
      <c r="AE198" s="4">
        <v>16</v>
      </c>
      <c r="AF198" s="4">
        <v>3</v>
      </c>
      <c r="AG198" s="4">
        <v>5</v>
      </c>
      <c r="AH198" s="4">
        <v>2</v>
      </c>
      <c r="AI198" s="4">
        <v>2</v>
      </c>
      <c r="AJ198" s="4">
        <v>5</v>
      </c>
      <c r="AK198" s="4">
        <v>5</v>
      </c>
      <c r="AL198" s="4">
        <v>6</v>
      </c>
      <c r="AM198" s="4">
        <v>6</v>
      </c>
      <c r="AN198" s="4">
        <v>0</v>
      </c>
      <c r="AO198" s="4">
        <v>0</v>
      </c>
      <c r="AP198" s="3" t="s">
        <v>58</v>
      </c>
      <c r="AQ198" s="3" t="s">
        <v>85</v>
      </c>
      <c r="AR198" s="6" t="str">
        <f>HYPERLINK("http://catalog.hathitrust.org/Record/001522217","HathiTrust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HYPERLINK("https://creighton-primo.hosted.exlibrisgroup.com/primo-explore/search?tab=default_tab&amp;search_scope=EVERYTHING&amp;vid=01CRU&amp;lang=en_US&amp;offset=0&amp;query=any,contains,991000817839702656","Catalog Record")</f>
        <v>Catalog Record</v>
      </c>
      <c r="AT198" s="6" t="str">
        <f>HYPERLINK("http://www.worldcat.org/oclc/143421","WorldCat Record")</f>
        <v>WorldCat Record</v>
      </c>
      <c r="AU198" s="3" t="s">
        <v>2734</v>
      </c>
      <c r="AV198" s="3" t="s">
        <v>2735</v>
      </c>
      <c r="AW198" s="3" t="s">
        <v>2736</v>
      </c>
      <c r="AX198" s="3" t="s">
        <v>2736</v>
      </c>
      <c r="AY198" s="3" t="s">
        <v>2737</v>
      </c>
      <c r="AZ198" s="3" t="s">
        <v>73</v>
      </c>
      <c r="BB198" s="3" t="s">
        <v>2738</v>
      </c>
      <c r="BC198" s="3" t="s">
        <v>2739</v>
      </c>
      <c r="BD198" s="3" t="s">
        <v>2740</v>
      </c>
    </row>
    <row r="199" spans="1:56" ht="41.25" customHeight="1" x14ac:dyDescent="0.25">
      <c r="A199" s="7" t="s">
        <v>58</v>
      </c>
      <c r="B199" s="2" t="s">
        <v>2741</v>
      </c>
      <c r="C199" s="2" t="s">
        <v>2742</v>
      </c>
      <c r="D199" s="2" t="s">
        <v>2743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2744</v>
      </c>
      <c r="L199" s="2" t="s">
        <v>2745</v>
      </c>
      <c r="M199" s="3" t="s">
        <v>333</v>
      </c>
      <c r="O199" s="3" t="s">
        <v>64</v>
      </c>
      <c r="P199" s="3" t="s">
        <v>670</v>
      </c>
      <c r="Q199" s="2" t="s">
        <v>2746</v>
      </c>
      <c r="R199" s="3" t="s">
        <v>2200</v>
      </c>
      <c r="S199" s="4">
        <v>6</v>
      </c>
      <c r="T199" s="4">
        <v>6</v>
      </c>
      <c r="U199" s="5" t="s">
        <v>2464</v>
      </c>
      <c r="V199" s="5" t="s">
        <v>2464</v>
      </c>
      <c r="W199" s="5" t="s">
        <v>1533</v>
      </c>
      <c r="X199" s="5" t="s">
        <v>1533</v>
      </c>
      <c r="Y199" s="4">
        <v>70</v>
      </c>
      <c r="Z199" s="4">
        <v>57</v>
      </c>
      <c r="AA199" s="4">
        <v>57</v>
      </c>
      <c r="AB199" s="4">
        <v>1</v>
      </c>
      <c r="AC199" s="4">
        <v>1</v>
      </c>
      <c r="AD199" s="4">
        <v>1</v>
      </c>
      <c r="AE199" s="4">
        <v>1</v>
      </c>
      <c r="AF199" s="4">
        <v>0</v>
      </c>
      <c r="AG199" s="4">
        <v>0</v>
      </c>
      <c r="AH199" s="4">
        <v>0</v>
      </c>
      <c r="AI199" s="4">
        <v>0</v>
      </c>
      <c r="AJ199" s="4">
        <v>1</v>
      </c>
      <c r="AK199" s="4">
        <v>1</v>
      </c>
      <c r="AL199" s="4">
        <v>0</v>
      </c>
      <c r="AM199" s="4">
        <v>0</v>
      </c>
      <c r="AN199" s="4">
        <v>0</v>
      </c>
      <c r="AO199" s="4">
        <v>0</v>
      </c>
      <c r="AP199" s="3" t="s">
        <v>58</v>
      </c>
      <c r="AQ199" s="3" t="s">
        <v>58</v>
      </c>
      <c r="AS199" s="6" t="str">
        <f>HYPERLINK("https://creighton-primo.hosted.exlibrisgroup.com/primo-explore/search?tab=default_tab&amp;search_scope=EVERYTHING&amp;vid=01CRU&amp;lang=en_US&amp;offset=0&amp;query=any,contains,991003015049702656","Catalog Record")</f>
        <v>Catalog Record</v>
      </c>
      <c r="AT199" s="6" t="str">
        <f>HYPERLINK("http://www.worldcat.org/oclc/40990416","WorldCat Record")</f>
        <v>WorldCat Record</v>
      </c>
      <c r="AU199" s="3" t="s">
        <v>2747</v>
      </c>
      <c r="AV199" s="3" t="s">
        <v>2748</v>
      </c>
      <c r="AW199" s="3" t="s">
        <v>2749</v>
      </c>
      <c r="AX199" s="3" t="s">
        <v>2749</v>
      </c>
      <c r="AY199" s="3" t="s">
        <v>2750</v>
      </c>
      <c r="AZ199" s="3" t="s">
        <v>73</v>
      </c>
      <c r="BB199" s="3" t="s">
        <v>2751</v>
      </c>
      <c r="BC199" s="3" t="s">
        <v>2752</v>
      </c>
      <c r="BD199" s="3" t="s">
        <v>2753</v>
      </c>
    </row>
    <row r="200" spans="1:56" ht="41.25" customHeight="1" x14ac:dyDescent="0.25">
      <c r="A200" s="7" t="s">
        <v>58</v>
      </c>
      <c r="B200" s="2" t="s">
        <v>2754</v>
      </c>
      <c r="C200" s="2" t="s">
        <v>2755</v>
      </c>
      <c r="D200" s="2" t="s">
        <v>2756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2757</v>
      </c>
      <c r="L200" s="2" t="s">
        <v>2758</v>
      </c>
      <c r="M200" s="3" t="s">
        <v>1754</v>
      </c>
      <c r="O200" s="3" t="s">
        <v>64</v>
      </c>
      <c r="P200" s="3" t="s">
        <v>334</v>
      </c>
      <c r="R200" s="3" t="s">
        <v>2200</v>
      </c>
      <c r="S200" s="4">
        <v>12</v>
      </c>
      <c r="T200" s="4">
        <v>12</v>
      </c>
      <c r="U200" s="5" t="s">
        <v>2759</v>
      </c>
      <c r="V200" s="5" t="s">
        <v>2759</v>
      </c>
      <c r="W200" s="5" t="s">
        <v>2760</v>
      </c>
      <c r="X200" s="5" t="s">
        <v>2760</v>
      </c>
      <c r="Y200" s="4">
        <v>705</v>
      </c>
      <c r="Z200" s="4">
        <v>652</v>
      </c>
      <c r="AA200" s="4">
        <v>678</v>
      </c>
      <c r="AB200" s="4">
        <v>4</v>
      </c>
      <c r="AC200" s="4">
        <v>4</v>
      </c>
      <c r="AD200" s="4">
        <v>7</v>
      </c>
      <c r="AE200" s="4">
        <v>7</v>
      </c>
      <c r="AF200" s="4">
        <v>1</v>
      </c>
      <c r="AG200" s="4">
        <v>1</v>
      </c>
      <c r="AH200" s="4">
        <v>1</v>
      </c>
      <c r="AI200" s="4">
        <v>1</v>
      </c>
      <c r="AJ200" s="4">
        <v>2</v>
      </c>
      <c r="AK200" s="4">
        <v>2</v>
      </c>
      <c r="AL200" s="4">
        <v>2</v>
      </c>
      <c r="AM200" s="4">
        <v>2</v>
      </c>
      <c r="AN200" s="4">
        <v>2</v>
      </c>
      <c r="AO200" s="4">
        <v>2</v>
      </c>
      <c r="AP200" s="3" t="s">
        <v>58</v>
      </c>
      <c r="AQ200" s="3" t="s">
        <v>85</v>
      </c>
      <c r="AR200" s="6" t="str">
        <f>HYPERLINK("http://catalog.hathitrust.org/Record/004410483","HathiTrust Record")</f>
        <v>HathiTrust Record</v>
      </c>
      <c r="AS200" s="6" t="str">
        <f>HYPERLINK("https://creighton-primo.hosted.exlibrisgroup.com/primo-explore/search?tab=default_tab&amp;search_scope=EVERYTHING&amp;vid=01CRU&amp;lang=en_US&amp;offset=0&amp;query=any,contains,991001179579702656","Catalog Record")</f>
        <v>Catalog Record</v>
      </c>
      <c r="AT200" s="6" t="str">
        <f>HYPERLINK("http://www.worldcat.org/oclc/17106638","WorldCat Record")</f>
        <v>WorldCat Record</v>
      </c>
      <c r="AU200" s="3" t="s">
        <v>2761</v>
      </c>
      <c r="AV200" s="3" t="s">
        <v>2762</v>
      </c>
      <c r="AW200" s="3" t="s">
        <v>2763</v>
      </c>
      <c r="AX200" s="3" t="s">
        <v>2763</v>
      </c>
      <c r="AY200" s="3" t="s">
        <v>2764</v>
      </c>
      <c r="AZ200" s="3" t="s">
        <v>73</v>
      </c>
      <c r="BB200" s="3" t="s">
        <v>2765</v>
      </c>
      <c r="BC200" s="3" t="s">
        <v>2766</v>
      </c>
      <c r="BD200" s="3" t="s">
        <v>2767</v>
      </c>
    </row>
    <row r="201" spans="1:56" ht="41.25" customHeight="1" x14ac:dyDescent="0.25">
      <c r="A201" s="7" t="s">
        <v>58</v>
      </c>
      <c r="B201" s="2" t="s">
        <v>2768</v>
      </c>
      <c r="C201" s="2" t="s">
        <v>2769</v>
      </c>
      <c r="D201" s="2" t="s">
        <v>2770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2771</v>
      </c>
      <c r="L201" s="2" t="s">
        <v>2772</v>
      </c>
      <c r="M201" s="3" t="s">
        <v>262</v>
      </c>
      <c r="O201" s="3" t="s">
        <v>64</v>
      </c>
      <c r="P201" s="3" t="s">
        <v>65</v>
      </c>
      <c r="Q201" s="2" t="s">
        <v>2773</v>
      </c>
      <c r="R201" s="3" t="s">
        <v>2200</v>
      </c>
      <c r="S201" s="4">
        <v>9</v>
      </c>
      <c r="T201" s="4">
        <v>9</v>
      </c>
      <c r="U201" s="5" t="s">
        <v>2774</v>
      </c>
      <c r="V201" s="5" t="s">
        <v>2774</v>
      </c>
      <c r="W201" s="5" t="s">
        <v>1245</v>
      </c>
      <c r="X201" s="5" t="s">
        <v>1245</v>
      </c>
      <c r="Y201" s="4">
        <v>367</v>
      </c>
      <c r="Z201" s="4">
        <v>345</v>
      </c>
      <c r="AA201" s="4">
        <v>345</v>
      </c>
      <c r="AB201" s="4">
        <v>5</v>
      </c>
      <c r="AC201" s="4">
        <v>5</v>
      </c>
      <c r="AD201" s="4">
        <v>7</v>
      </c>
      <c r="AE201" s="4">
        <v>7</v>
      </c>
      <c r="AF201" s="4">
        <v>2</v>
      </c>
      <c r="AG201" s="4">
        <v>2</v>
      </c>
      <c r="AH201" s="4">
        <v>1</v>
      </c>
      <c r="AI201" s="4">
        <v>1</v>
      </c>
      <c r="AJ201" s="4">
        <v>2</v>
      </c>
      <c r="AK201" s="4">
        <v>2</v>
      </c>
      <c r="AL201" s="4">
        <v>3</v>
      </c>
      <c r="AM201" s="4">
        <v>3</v>
      </c>
      <c r="AN201" s="4">
        <v>0</v>
      </c>
      <c r="AO201" s="4">
        <v>0</v>
      </c>
      <c r="AP201" s="3" t="s">
        <v>58</v>
      </c>
      <c r="AQ201" s="3" t="s">
        <v>58</v>
      </c>
      <c r="AS201" s="6" t="str">
        <f>HYPERLINK("https://creighton-primo.hosted.exlibrisgroup.com/primo-explore/search?tab=default_tab&amp;search_scope=EVERYTHING&amp;vid=01CRU&amp;lang=en_US&amp;offset=0&amp;query=any,contains,991003933099702656","Catalog Record")</f>
        <v>Catalog Record</v>
      </c>
      <c r="AT201" s="6" t="str">
        <f>HYPERLINK("http://www.worldcat.org/oclc/1904913","WorldCat Record")</f>
        <v>WorldCat Record</v>
      </c>
      <c r="AU201" s="3" t="s">
        <v>2775</v>
      </c>
      <c r="AV201" s="3" t="s">
        <v>2776</v>
      </c>
      <c r="AW201" s="3" t="s">
        <v>2777</v>
      </c>
      <c r="AX201" s="3" t="s">
        <v>2777</v>
      </c>
      <c r="AY201" s="3" t="s">
        <v>2778</v>
      </c>
      <c r="AZ201" s="3" t="s">
        <v>73</v>
      </c>
      <c r="BB201" s="3" t="s">
        <v>2779</v>
      </c>
      <c r="BC201" s="3" t="s">
        <v>2780</v>
      </c>
      <c r="BD201" s="3" t="s">
        <v>2781</v>
      </c>
    </row>
    <row r="202" spans="1:56" ht="41.25" customHeight="1" x14ac:dyDescent="0.25">
      <c r="A202" s="7" t="s">
        <v>58</v>
      </c>
      <c r="B202" s="2" t="s">
        <v>2782</v>
      </c>
      <c r="C202" s="2" t="s">
        <v>2783</v>
      </c>
      <c r="D202" s="2" t="s">
        <v>2784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K202" s="2" t="s">
        <v>2785</v>
      </c>
      <c r="L202" s="2" t="s">
        <v>2786</v>
      </c>
      <c r="M202" s="3" t="s">
        <v>940</v>
      </c>
      <c r="O202" s="3" t="s">
        <v>64</v>
      </c>
      <c r="P202" s="3" t="s">
        <v>65</v>
      </c>
      <c r="R202" s="3" t="s">
        <v>2200</v>
      </c>
      <c r="S202" s="4">
        <v>15</v>
      </c>
      <c r="T202" s="4">
        <v>15</v>
      </c>
      <c r="U202" s="5" t="s">
        <v>2759</v>
      </c>
      <c r="V202" s="5" t="s">
        <v>2759</v>
      </c>
      <c r="W202" s="5" t="s">
        <v>2787</v>
      </c>
      <c r="X202" s="5" t="s">
        <v>2787</v>
      </c>
      <c r="Y202" s="4">
        <v>769</v>
      </c>
      <c r="Z202" s="4">
        <v>717</v>
      </c>
      <c r="AA202" s="4">
        <v>803</v>
      </c>
      <c r="AB202" s="4">
        <v>6</v>
      </c>
      <c r="AC202" s="4">
        <v>6</v>
      </c>
      <c r="AD202" s="4">
        <v>13</v>
      </c>
      <c r="AE202" s="4">
        <v>15</v>
      </c>
      <c r="AF202" s="4">
        <v>4</v>
      </c>
      <c r="AG202" s="4">
        <v>4</v>
      </c>
      <c r="AH202" s="4">
        <v>3</v>
      </c>
      <c r="AI202" s="4">
        <v>3</v>
      </c>
      <c r="AJ202" s="4">
        <v>4</v>
      </c>
      <c r="AK202" s="4">
        <v>6</v>
      </c>
      <c r="AL202" s="4">
        <v>4</v>
      </c>
      <c r="AM202" s="4">
        <v>4</v>
      </c>
      <c r="AN202" s="4">
        <v>0</v>
      </c>
      <c r="AO202" s="4">
        <v>0</v>
      </c>
      <c r="AP202" s="3" t="s">
        <v>58</v>
      </c>
      <c r="AQ202" s="3" t="s">
        <v>85</v>
      </c>
      <c r="AR202" s="6" t="str">
        <f>HYPERLINK("http://catalog.hathitrust.org/Record/004183282","HathiTrust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HYPERLINK("https://creighton-primo.hosted.exlibrisgroup.com/primo-explore/search?tab=default_tab&amp;search_scope=EVERYTHING&amp;vid=01CRU&amp;lang=en_US&amp;offset=0&amp;query=any,contains,991001884529702656","Catalog Record")</f>
        <v>Catalog Record</v>
      </c>
      <c r="AT202" s="6" t="str">
        <f>HYPERLINK("http://www.worldcat.org/oclc/23766340","WorldCat Record")</f>
        <v>WorldCat Record</v>
      </c>
      <c r="AU202" s="3" t="s">
        <v>2788</v>
      </c>
      <c r="AV202" s="3" t="s">
        <v>2789</v>
      </c>
      <c r="AW202" s="3" t="s">
        <v>2790</v>
      </c>
      <c r="AX202" s="3" t="s">
        <v>2790</v>
      </c>
      <c r="AY202" s="3" t="s">
        <v>2791</v>
      </c>
      <c r="AZ202" s="3" t="s">
        <v>73</v>
      </c>
      <c r="BB202" s="3" t="s">
        <v>2792</v>
      </c>
      <c r="BC202" s="3" t="s">
        <v>2793</v>
      </c>
      <c r="BD202" s="3" t="s">
        <v>2794</v>
      </c>
    </row>
    <row r="203" spans="1:56" ht="41.25" customHeight="1" x14ac:dyDescent="0.25">
      <c r="A203" s="7" t="s">
        <v>58</v>
      </c>
      <c r="B203" s="2" t="s">
        <v>2795</v>
      </c>
      <c r="C203" s="2" t="s">
        <v>2796</v>
      </c>
      <c r="D203" s="2" t="s">
        <v>2797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2798</v>
      </c>
      <c r="L203" s="2" t="s">
        <v>2799</v>
      </c>
      <c r="M203" s="3" t="s">
        <v>612</v>
      </c>
      <c r="N203" s="2" t="s">
        <v>528</v>
      </c>
      <c r="O203" s="3" t="s">
        <v>64</v>
      </c>
      <c r="P203" s="3" t="s">
        <v>65</v>
      </c>
      <c r="R203" s="3" t="s">
        <v>2200</v>
      </c>
      <c r="S203" s="4">
        <v>8</v>
      </c>
      <c r="T203" s="4">
        <v>8</v>
      </c>
      <c r="U203" s="5" t="s">
        <v>2800</v>
      </c>
      <c r="V203" s="5" t="s">
        <v>2800</v>
      </c>
      <c r="W203" s="5" t="s">
        <v>2801</v>
      </c>
      <c r="X203" s="5" t="s">
        <v>2801</v>
      </c>
      <c r="Y203" s="4">
        <v>467</v>
      </c>
      <c r="Z203" s="4">
        <v>450</v>
      </c>
      <c r="AA203" s="4">
        <v>674</v>
      </c>
      <c r="AB203" s="4">
        <v>4</v>
      </c>
      <c r="AC203" s="4">
        <v>6</v>
      </c>
      <c r="AD203" s="4">
        <v>6</v>
      </c>
      <c r="AE203" s="4">
        <v>10</v>
      </c>
      <c r="AF203" s="4">
        <v>2</v>
      </c>
      <c r="AG203" s="4">
        <v>4</v>
      </c>
      <c r="AH203" s="4">
        <v>1</v>
      </c>
      <c r="AI203" s="4">
        <v>2</v>
      </c>
      <c r="AJ203" s="4">
        <v>2</v>
      </c>
      <c r="AK203" s="4">
        <v>2</v>
      </c>
      <c r="AL203" s="4">
        <v>2</v>
      </c>
      <c r="AM203" s="4">
        <v>3</v>
      </c>
      <c r="AN203" s="4">
        <v>0</v>
      </c>
      <c r="AO203" s="4">
        <v>0</v>
      </c>
      <c r="AP203" s="3" t="s">
        <v>58</v>
      </c>
      <c r="AQ203" s="3" t="s">
        <v>58</v>
      </c>
      <c r="AS203" s="6" t="str">
        <f>HYPERLINK("https://creighton-primo.hosted.exlibrisgroup.com/primo-explore/search?tab=default_tab&amp;search_scope=EVERYTHING&amp;vid=01CRU&amp;lang=en_US&amp;offset=0&amp;query=any,contains,991003213379702656","Catalog Record")</f>
        <v>Catalog Record</v>
      </c>
      <c r="AT203" s="6" t="str">
        <f>HYPERLINK("http://www.worldcat.org/oclc/41086719","WorldCat Record")</f>
        <v>WorldCat Record</v>
      </c>
      <c r="AU203" s="3" t="s">
        <v>2802</v>
      </c>
      <c r="AV203" s="3" t="s">
        <v>2803</v>
      </c>
      <c r="AW203" s="3" t="s">
        <v>2804</v>
      </c>
      <c r="AX203" s="3" t="s">
        <v>2804</v>
      </c>
      <c r="AY203" s="3" t="s">
        <v>2805</v>
      </c>
      <c r="AZ203" s="3" t="s">
        <v>73</v>
      </c>
      <c r="BB203" s="3" t="s">
        <v>2806</v>
      </c>
      <c r="BC203" s="3" t="s">
        <v>2807</v>
      </c>
      <c r="BD203" s="3" t="s">
        <v>2808</v>
      </c>
    </row>
    <row r="204" spans="1:56" ht="41.25" customHeight="1" x14ac:dyDescent="0.25">
      <c r="A204" s="7" t="s">
        <v>58</v>
      </c>
      <c r="B204" s="2" t="s">
        <v>2809</v>
      </c>
      <c r="C204" s="2" t="s">
        <v>2810</v>
      </c>
      <c r="D204" s="2" t="s">
        <v>2811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K204" s="2" t="s">
        <v>2812</v>
      </c>
      <c r="L204" s="2" t="s">
        <v>2813</v>
      </c>
      <c r="M204" s="3" t="s">
        <v>612</v>
      </c>
      <c r="N204" s="2" t="s">
        <v>2814</v>
      </c>
      <c r="O204" s="3" t="s">
        <v>2323</v>
      </c>
      <c r="P204" s="3" t="s">
        <v>2815</v>
      </c>
      <c r="R204" s="3" t="s">
        <v>2200</v>
      </c>
      <c r="S204" s="4">
        <v>1</v>
      </c>
      <c r="T204" s="4">
        <v>1</v>
      </c>
      <c r="U204" s="5" t="s">
        <v>2816</v>
      </c>
      <c r="V204" s="5" t="s">
        <v>2816</v>
      </c>
      <c r="W204" s="5" t="s">
        <v>2817</v>
      </c>
      <c r="X204" s="5" t="s">
        <v>2817</v>
      </c>
      <c r="Y204" s="4">
        <v>1</v>
      </c>
      <c r="Z204" s="4">
        <v>1</v>
      </c>
      <c r="AA204" s="4">
        <v>1</v>
      </c>
      <c r="AB204" s="4">
        <v>1</v>
      </c>
      <c r="AC204" s="4">
        <v>1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3" t="s">
        <v>58</v>
      </c>
      <c r="AQ204" s="3" t="s">
        <v>58</v>
      </c>
      <c r="AS204" s="6" t="str">
        <f>HYPERLINK("https://creighton-primo.hosted.exlibrisgroup.com/primo-explore/search?tab=default_tab&amp;search_scope=EVERYTHING&amp;vid=01CRU&amp;lang=en_US&amp;offset=0&amp;query=any,contains,991003336409702656","Catalog Record")</f>
        <v>Catalog Record</v>
      </c>
      <c r="AT204" s="6" t="str">
        <f>HYPERLINK("http://www.worldcat.org/oclc/45003826","WorldCat Record")</f>
        <v>WorldCat Record</v>
      </c>
      <c r="AU204" s="3" t="s">
        <v>2818</v>
      </c>
      <c r="AV204" s="3" t="s">
        <v>2819</v>
      </c>
      <c r="AW204" s="3" t="s">
        <v>2820</v>
      </c>
      <c r="AX204" s="3" t="s">
        <v>2820</v>
      </c>
      <c r="AY204" s="3" t="s">
        <v>2821</v>
      </c>
      <c r="AZ204" s="3" t="s">
        <v>73</v>
      </c>
      <c r="BC204" s="3" t="s">
        <v>2822</v>
      </c>
      <c r="BD204" s="3" t="s">
        <v>2823</v>
      </c>
    </row>
    <row r="205" spans="1:56" ht="41.25" customHeight="1" x14ac:dyDescent="0.25">
      <c r="A205" s="7" t="s">
        <v>58</v>
      </c>
      <c r="B205" s="2" t="s">
        <v>2824</v>
      </c>
      <c r="C205" s="2" t="s">
        <v>2825</v>
      </c>
      <c r="D205" s="2" t="s">
        <v>2826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2827</v>
      </c>
      <c r="L205" s="2" t="s">
        <v>2828</v>
      </c>
      <c r="M205" s="3" t="s">
        <v>403</v>
      </c>
      <c r="O205" s="3" t="s">
        <v>64</v>
      </c>
      <c r="P205" s="3" t="s">
        <v>373</v>
      </c>
      <c r="R205" s="3" t="s">
        <v>2200</v>
      </c>
      <c r="S205" s="4">
        <v>23</v>
      </c>
      <c r="T205" s="4">
        <v>23</v>
      </c>
      <c r="U205" s="5" t="s">
        <v>2829</v>
      </c>
      <c r="V205" s="5" t="s">
        <v>2829</v>
      </c>
      <c r="W205" s="5" t="s">
        <v>2830</v>
      </c>
      <c r="X205" s="5" t="s">
        <v>2830</v>
      </c>
      <c r="Y205" s="4">
        <v>173</v>
      </c>
      <c r="Z205" s="4">
        <v>128</v>
      </c>
      <c r="AA205" s="4">
        <v>228</v>
      </c>
      <c r="AB205" s="4">
        <v>2</v>
      </c>
      <c r="AC205" s="4">
        <v>3</v>
      </c>
      <c r="AD205" s="4">
        <v>2</v>
      </c>
      <c r="AE205" s="4">
        <v>3</v>
      </c>
      <c r="AF205" s="4">
        <v>0</v>
      </c>
      <c r="AG205" s="4">
        <v>0</v>
      </c>
      <c r="AH205" s="4">
        <v>0</v>
      </c>
      <c r="AI205" s="4">
        <v>0</v>
      </c>
      <c r="AJ205" s="4">
        <v>1</v>
      </c>
      <c r="AK205" s="4">
        <v>1</v>
      </c>
      <c r="AL205" s="4">
        <v>1</v>
      </c>
      <c r="AM205" s="4">
        <v>2</v>
      </c>
      <c r="AN205" s="4">
        <v>0</v>
      </c>
      <c r="AO205" s="4">
        <v>0</v>
      </c>
      <c r="AP205" s="3" t="s">
        <v>58</v>
      </c>
      <c r="AQ205" s="3" t="s">
        <v>85</v>
      </c>
      <c r="AR205" s="6" t="str">
        <f>HYPERLINK("http://catalog.hathitrust.org/Record/009057039","HathiTrust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HYPERLINK("https://creighton-primo.hosted.exlibrisgroup.com/primo-explore/search?tab=default_tab&amp;search_scope=EVERYTHING&amp;vid=01CRU&amp;lang=en_US&amp;offset=0&amp;query=any,contains,991004665939702656","Catalog Record")</f>
        <v>Catalog Record</v>
      </c>
      <c r="AT205" s="6" t="str">
        <f>HYPERLINK("http://www.worldcat.org/oclc/4503930","WorldCat Record")</f>
        <v>WorldCat Record</v>
      </c>
      <c r="AU205" s="3" t="s">
        <v>2831</v>
      </c>
      <c r="AV205" s="3" t="s">
        <v>2832</v>
      </c>
      <c r="AW205" s="3" t="s">
        <v>2833</v>
      </c>
      <c r="AX205" s="3" t="s">
        <v>2833</v>
      </c>
      <c r="AY205" s="3" t="s">
        <v>2834</v>
      </c>
      <c r="AZ205" s="3" t="s">
        <v>73</v>
      </c>
      <c r="BB205" s="3" t="s">
        <v>2835</v>
      </c>
      <c r="BC205" s="3" t="s">
        <v>2836</v>
      </c>
      <c r="BD205" s="3" t="s">
        <v>2837</v>
      </c>
    </row>
    <row r="206" spans="1:56" ht="41.25" customHeight="1" x14ac:dyDescent="0.25">
      <c r="A206" s="7" t="s">
        <v>58</v>
      </c>
      <c r="B206" s="2" t="s">
        <v>2838</v>
      </c>
      <c r="C206" s="2" t="s">
        <v>2839</v>
      </c>
      <c r="D206" s="2" t="s">
        <v>2840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L206" s="2" t="s">
        <v>2841</v>
      </c>
      <c r="M206" s="3" t="s">
        <v>437</v>
      </c>
      <c r="O206" s="3" t="s">
        <v>64</v>
      </c>
      <c r="P206" s="3" t="s">
        <v>65</v>
      </c>
      <c r="R206" s="3" t="s">
        <v>2200</v>
      </c>
      <c r="S206" s="4">
        <v>2</v>
      </c>
      <c r="T206" s="4">
        <v>2</v>
      </c>
      <c r="U206" s="5" t="s">
        <v>2842</v>
      </c>
      <c r="V206" s="5" t="s">
        <v>2842</v>
      </c>
      <c r="W206" s="5" t="s">
        <v>1044</v>
      </c>
      <c r="X206" s="5" t="s">
        <v>1044</v>
      </c>
      <c r="Y206" s="4">
        <v>347</v>
      </c>
      <c r="Z206" s="4">
        <v>338</v>
      </c>
      <c r="AA206" s="4">
        <v>398</v>
      </c>
      <c r="AB206" s="4">
        <v>4</v>
      </c>
      <c r="AC206" s="4">
        <v>4</v>
      </c>
      <c r="AD206" s="4">
        <v>7</v>
      </c>
      <c r="AE206" s="4">
        <v>7</v>
      </c>
      <c r="AF206" s="4">
        <v>2</v>
      </c>
      <c r="AG206" s="4">
        <v>2</v>
      </c>
      <c r="AH206" s="4">
        <v>1</v>
      </c>
      <c r="AI206" s="4">
        <v>1</v>
      </c>
      <c r="AJ206" s="4">
        <v>3</v>
      </c>
      <c r="AK206" s="4">
        <v>3</v>
      </c>
      <c r="AL206" s="4">
        <v>2</v>
      </c>
      <c r="AM206" s="4">
        <v>2</v>
      </c>
      <c r="AN206" s="4">
        <v>0</v>
      </c>
      <c r="AO206" s="4">
        <v>0</v>
      </c>
      <c r="AP206" s="3" t="s">
        <v>58</v>
      </c>
      <c r="AQ206" s="3" t="s">
        <v>58</v>
      </c>
      <c r="AS206" s="6" t="str">
        <f>HYPERLINK("https://creighton-primo.hosted.exlibrisgroup.com/primo-explore/search?tab=default_tab&amp;search_scope=EVERYTHING&amp;vid=01CRU&amp;lang=en_US&amp;offset=0&amp;query=any,contains,991004997889702656","Catalog Record")</f>
        <v>Catalog Record</v>
      </c>
      <c r="AT206" s="6" t="str">
        <f>HYPERLINK("http://www.worldcat.org/oclc/6532164","WorldCat Record")</f>
        <v>WorldCat Record</v>
      </c>
      <c r="AU206" s="3" t="s">
        <v>2843</v>
      </c>
      <c r="AV206" s="3" t="s">
        <v>2844</v>
      </c>
      <c r="AW206" s="3" t="s">
        <v>2845</v>
      </c>
      <c r="AX206" s="3" t="s">
        <v>2845</v>
      </c>
      <c r="AY206" s="3" t="s">
        <v>2846</v>
      </c>
      <c r="AZ206" s="3" t="s">
        <v>73</v>
      </c>
      <c r="BB206" s="3" t="s">
        <v>2847</v>
      </c>
      <c r="BC206" s="3" t="s">
        <v>2848</v>
      </c>
      <c r="BD206" s="3" t="s">
        <v>2849</v>
      </c>
    </row>
    <row r="207" spans="1:56" ht="41.25" customHeight="1" x14ac:dyDescent="0.25">
      <c r="A207" s="7" t="s">
        <v>58</v>
      </c>
      <c r="B207" s="2" t="s">
        <v>2850</v>
      </c>
      <c r="C207" s="2" t="s">
        <v>2851</v>
      </c>
      <c r="D207" s="2" t="s">
        <v>2852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K207" s="2" t="s">
        <v>2853</v>
      </c>
      <c r="L207" s="2" t="s">
        <v>2854</v>
      </c>
      <c r="M207" s="3" t="s">
        <v>98</v>
      </c>
      <c r="O207" s="3" t="s">
        <v>64</v>
      </c>
      <c r="P207" s="3" t="s">
        <v>373</v>
      </c>
      <c r="R207" s="3" t="s">
        <v>2200</v>
      </c>
      <c r="S207" s="4">
        <v>2</v>
      </c>
      <c r="T207" s="4">
        <v>2</v>
      </c>
      <c r="U207" s="5" t="s">
        <v>2855</v>
      </c>
      <c r="V207" s="5" t="s">
        <v>2855</v>
      </c>
      <c r="W207" s="5" t="s">
        <v>2856</v>
      </c>
      <c r="X207" s="5" t="s">
        <v>2856</v>
      </c>
      <c r="Y207" s="4">
        <v>94</v>
      </c>
      <c r="Z207" s="4">
        <v>91</v>
      </c>
      <c r="AA207" s="4">
        <v>109</v>
      </c>
      <c r="AB207" s="4">
        <v>1</v>
      </c>
      <c r="AC207" s="4">
        <v>1</v>
      </c>
      <c r="AD207" s="4">
        <v>0</v>
      </c>
      <c r="AE207" s="4">
        <v>2</v>
      </c>
      <c r="AF207" s="4">
        <v>0</v>
      </c>
      <c r="AG207" s="4">
        <v>1</v>
      </c>
      <c r="AH207" s="4">
        <v>0</v>
      </c>
      <c r="AI207" s="4">
        <v>1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3" t="s">
        <v>58</v>
      </c>
      <c r="AQ207" s="3" t="s">
        <v>85</v>
      </c>
      <c r="AR207" s="6" t="str">
        <f>HYPERLINK("http://catalog.hathitrust.org/Record/009180191","HathiTrust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HYPERLINK("https://creighton-primo.hosted.exlibrisgroup.com/primo-explore/search?tab=default_tab&amp;search_scope=EVERYTHING&amp;vid=01CRU&amp;lang=en_US&amp;offset=0&amp;query=any,contains,991001478049702656","Catalog Record")</f>
        <v>Catalog Record</v>
      </c>
      <c r="AT207" s="6" t="str">
        <f>HYPERLINK("http://www.worldcat.org/oclc/19589604","WorldCat Record")</f>
        <v>WorldCat Record</v>
      </c>
      <c r="AU207" s="3" t="s">
        <v>2857</v>
      </c>
      <c r="AV207" s="3" t="s">
        <v>2858</v>
      </c>
      <c r="AW207" s="3" t="s">
        <v>2859</v>
      </c>
      <c r="AX207" s="3" t="s">
        <v>2859</v>
      </c>
      <c r="AY207" s="3" t="s">
        <v>2860</v>
      </c>
      <c r="AZ207" s="3" t="s">
        <v>73</v>
      </c>
      <c r="BB207" s="3" t="s">
        <v>2861</v>
      </c>
      <c r="BC207" s="3" t="s">
        <v>2862</v>
      </c>
      <c r="BD207" s="3" t="s">
        <v>2863</v>
      </c>
    </row>
    <row r="208" spans="1:56" ht="41.25" customHeight="1" x14ac:dyDescent="0.25">
      <c r="A208" s="7" t="s">
        <v>58</v>
      </c>
      <c r="B208" s="2" t="s">
        <v>2864</v>
      </c>
      <c r="C208" s="2" t="s">
        <v>2865</v>
      </c>
      <c r="D208" s="2" t="s">
        <v>2866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K208" s="2" t="s">
        <v>2867</v>
      </c>
      <c r="L208" s="2" t="s">
        <v>2868</v>
      </c>
      <c r="M208" s="3" t="s">
        <v>176</v>
      </c>
      <c r="O208" s="3" t="s">
        <v>64</v>
      </c>
      <c r="P208" s="3" t="s">
        <v>65</v>
      </c>
      <c r="Q208" s="2" t="s">
        <v>2869</v>
      </c>
      <c r="R208" s="3" t="s">
        <v>2200</v>
      </c>
      <c r="S208" s="4">
        <v>7</v>
      </c>
      <c r="T208" s="4">
        <v>7</v>
      </c>
      <c r="U208" s="5" t="s">
        <v>2870</v>
      </c>
      <c r="V208" s="5" t="s">
        <v>2870</v>
      </c>
      <c r="W208" s="5" t="s">
        <v>2871</v>
      </c>
      <c r="X208" s="5" t="s">
        <v>2871</v>
      </c>
      <c r="Y208" s="4">
        <v>718</v>
      </c>
      <c r="Z208" s="4">
        <v>687</v>
      </c>
      <c r="AA208" s="4">
        <v>730</v>
      </c>
      <c r="AB208" s="4">
        <v>4</v>
      </c>
      <c r="AC208" s="4">
        <v>4</v>
      </c>
      <c r="AD208" s="4">
        <v>7</v>
      </c>
      <c r="AE208" s="4">
        <v>9</v>
      </c>
      <c r="AF208" s="4">
        <v>3</v>
      </c>
      <c r="AG208" s="4">
        <v>4</v>
      </c>
      <c r="AH208" s="4">
        <v>1</v>
      </c>
      <c r="AI208" s="4">
        <v>1</v>
      </c>
      <c r="AJ208" s="4">
        <v>2</v>
      </c>
      <c r="AK208" s="4">
        <v>3</v>
      </c>
      <c r="AL208" s="4">
        <v>1</v>
      </c>
      <c r="AM208" s="4">
        <v>1</v>
      </c>
      <c r="AN208" s="4">
        <v>0</v>
      </c>
      <c r="AO208" s="4">
        <v>0</v>
      </c>
      <c r="AP208" s="3" t="s">
        <v>58</v>
      </c>
      <c r="AQ208" s="3" t="s">
        <v>58</v>
      </c>
      <c r="AS208" s="6" t="str">
        <f>HYPERLINK("https://creighton-primo.hosted.exlibrisgroup.com/primo-explore/search?tab=default_tab&amp;search_scope=EVERYTHING&amp;vid=01CRU&amp;lang=en_US&amp;offset=0&amp;query=any,contains,991000725689702656","Catalog Record")</f>
        <v>Catalog Record</v>
      </c>
      <c r="AT208" s="6" t="str">
        <f>HYPERLINK("http://www.worldcat.org/oclc/127644","WorldCat Record")</f>
        <v>WorldCat Record</v>
      </c>
      <c r="AU208" s="3" t="s">
        <v>2872</v>
      </c>
      <c r="AV208" s="3" t="s">
        <v>2873</v>
      </c>
      <c r="AW208" s="3" t="s">
        <v>2874</v>
      </c>
      <c r="AX208" s="3" t="s">
        <v>2874</v>
      </c>
      <c r="AY208" s="3" t="s">
        <v>2875</v>
      </c>
      <c r="AZ208" s="3" t="s">
        <v>73</v>
      </c>
      <c r="BC208" s="3" t="s">
        <v>2876</v>
      </c>
      <c r="BD208" s="3" t="s">
        <v>2877</v>
      </c>
    </row>
    <row r="209" spans="1:56" ht="41.25" customHeight="1" x14ac:dyDescent="0.25">
      <c r="A209" s="7" t="s">
        <v>58</v>
      </c>
      <c r="B209" s="2" t="s">
        <v>2878</v>
      </c>
      <c r="C209" s="2" t="s">
        <v>2879</v>
      </c>
      <c r="D209" s="2" t="s">
        <v>2880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K209" s="2" t="s">
        <v>2867</v>
      </c>
      <c r="L209" s="2" t="s">
        <v>2881</v>
      </c>
      <c r="M209" s="3" t="s">
        <v>1172</v>
      </c>
      <c r="O209" s="3" t="s">
        <v>64</v>
      </c>
      <c r="P209" s="3" t="s">
        <v>65</v>
      </c>
      <c r="Q209" s="2" t="s">
        <v>2869</v>
      </c>
      <c r="R209" s="3" t="s">
        <v>2200</v>
      </c>
      <c r="S209" s="4">
        <v>9</v>
      </c>
      <c r="T209" s="4">
        <v>9</v>
      </c>
      <c r="U209" s="5" t="s">
        <v>2882</v>
      </c>
      <c r="V209" s="5" t="s">
        <v>2882</v>
      </c>
      <c r="W209" s="5" t="s">
        <v>2883</v>
      </c>
      <c r="X209" s="5" t="s">
        <v>2883</v>
      </c>
      <c r="Y209" s="4">
        <v>871</v>
      </c>
      <c r="Z209" s="4">
        <v>823</v>
      </c>
      <c r="AA209" s="4">
        <v>938</v>
      </c>
      <c r="AB209" s="4">
        <v>5</v>
      </c>
      <c r="AC209" s="4">
        <v>5</v>
      </c>
      <c r="AD209" s="4">
        <v>9</v>
      </c>
      <c r="AE209" s="4">
        <v>10</v>
      </c>
      <c r="AF209" s="4">
        <v>6</v>
      </c>
      <c r="AG209" s="4">
        <v>7</v>
      </c>
      <c r="AH209" s="4">
        <v>0</v>
      </c>
      <c r="AI209" s="4">
        <v>0</v>
      </c>
      <c r="AJ209" s="4">
        <v>4</v>
      </c>
      <c r="AK209" s="4">
        <v>5</v>
      </c>
      <c r="AL209" s="4">
        <v>1</v>
      </c>
      <c r="AM209" s="4">
        <v>1</v>
      </c>
      <c r="AN209" s="4">
        <v>0</v>
      </c>
      <c r="AO209" s="4">
        <v>0</v>
      </c>
      <c r="AP209" s="3" t="s">
        <v>58</v>
      </c>
      <c r="AQ209" s="3" t="s">
        <v>85</v>
      </c>
      <c r="AR209" s="6" t="str">
        <f>HYPERLINK("http://catalog.hathitrust.org/Record/007473270","HathiTrust Record")</f>
        <v>HathiTrust Record</v>
      </c>
      <c r="AS209" s="6" t="str">
        <f>HYPERLINK("https://creighton-primo.hosted.exlibrisgroup.com/primo-explore/search?tab=default_tab&amp;search_scope=EVERYTHING&amp;vid=01CRU&amp;lang=en_US&amp;offset=0&amp;query=any,contains,991002887899702656","Catalog Record")</f>
        <v>Catalog Record</v>
      </c>
      <c r="AT209" s="6" t="str">
        <f>HYPERLINK("http://www.worldcat.org/oclc/509832","WorldCat Record")</f>
        <v>WorldCat Record</v>
      </c>
      <c r="AU209" s="3" t="s">
        <v>2884</v>
      </c>
      <c r="AV209" s="3" t="s">
        <v>2885</v>
      </c>
      <c r="AW209" s="3" t="s">
        <v>2886</v>
      </c>
      <c r="AX209" s="3" t="s">
        <v>2886</v>
      </c>
      <c r="AY209" s="3" t="s">
        <v>2887</v>
      </c>
      <c r="AZ209" s="3" t="s">
        <v>73</v>
      </c>
      <c r="BC209" s="3" t="s">
        <v>2888</v>
      </c>
      <c r="BD209" s="3" t="s">
        <v>2889</v>
      </c>
    </row>
    <row r="210" spans="1:56" ht="41.25" customHeight="1" x14ac:dyDescent="0.25">
      <c r="A210" s="7" t="s">
        <v>58</v>
      </c>
      <c r="B210" s="2" t="s">
        <v>2890</v>
      </c>
      <c r="C210" s="2" t="s">
        <v>2891</v>
      </c>
      <c r="D210" s="2" t="s">
        <v>2892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K210" s="2" t="s">
        <v>2893</v>
      </c>
      <c r="L210" s="2" t="s">
        <v>2894</v>
      </c>
      <c r="M210" s="3" t="s">
        <v>1754</v>
      </c>
      <c r="O210" s="3" t="s">
        <v>64</v>
      </c>
      <c r="P210" s="3" t="s">
        <v>1244</v>
      </c>
      <c r="R210" s="3" t="s">
        <v>2200</v>
      </c>
      <c r="S210" s="4">
        <v>4</v>
      </c>
      <c r="T210" s="4">
        <v>4</v>
      </c>
      <c r="U210" s="5" t="s">
        <v>2895</v>
      </c>
      <c r="V210" s="5" t="s">
        <v>2895</v>
      </c>
      <c r="W210" s="5" t="s">
        <v>2896</v>
      </c>
      <c r="X210" s="5" t="s">
        <v>2896</v>
      </c>
      <c r="Y210" s="4">
        <v>74</v>
      </c>
      <c r="Z210" s="4">
        <v>73</v>
      </c>
      <c r="AA210" s="4">
        <v>178</v>
      </c>
      <c r="AB210" s="4">
        <v>12</v>
      </c>
      <c r="AC210" s="4">
        <v>15</v>
      </c>
      <c r="AD210" s="4">
        <v>1</v>
      </c>
      <c r="AE210" s="4">
        <v>2</v>
      </c>
      <c r="AF210" s="4">
        <v>0</v>
      </c>
      <c r="AG210" s="4">
        <v>0</v>
      </c>
      <c r="AH210" s="4">
        <v>0</v>
      </c>
      <c r="AI210" s="4">
        <v>0</v>
      </c>
      <c r="AJ210" s="4">
        <v>0</v>
      </c>
      <c r="AK210" s="4">
        <v>0</v>
      </c>
      <c r="AL210" s="4">
        <v>1</v>
      </c>
      <c r="AM210" s="4">
        <v>2</v>
      </c>
      <c r="AN210" s="4">
        <v>0</v>
      </c>
      <c r="AO210" s="4">
        <v>0</v>
      </c>
      <c r="AP210" s="3" t="s">
        <v>58</v>
      </c>
      <c r="AQ210" s="3" t="s">
        <v>58</v>
      </c>
      <c r="AS210" s="6" t="str">
        <f>HYPERLINK("https://creighton-primo.hosted.exlibrisgroup.com/primo-explore/search?tab=default_tab&amp;search_scope=EVERYTHING&amp;vid=01CRU&amp;lang=en_US&amp;offset=0&amp;query=any,contains,991001728579702656","Catalog Record")</f>
        <v>Catalog Record</v>
      </c>
      <c r="AT210" s="6" t="str">
        <f>HYPERLINK("http://www.worldcat.org/oclc/21907340","WorldCat Record")</f>
        <v>WorldCat Record</v>
      </c>
      <c r="AU210" s="3" t="s">
        <v>2897</v>
      </c>
      <c r="AV210" s="3" t="s">
        <v>2898</v>
      </c>
      <c r="AW210" s="3" t="s">
        <v>2899</v>
      </c>
      <c r="AX210" s="3" t="s">
        <v>2899</v>
      </c>
      <c r="AY210" s="3" t="s">
        <v>2900</v>
      </c>
      <c r="AZ210" s="3" t="s">
        <v>73</v>
      </c>
      <c r="BB210" s="3" t="s">
        <v>2901</v>
      </c>
      <c r="BC210" s="3" t="s">
        <v>2902</v>
      </c>
      <c r="BD210" s="3" t="s">
        <v>2903</v>
      </c>
    </row>
    <row r="211" spans="1:56" ht="41.25" customHeight="1" x14ac:dyDescent="0.25">
      <c r="A211" s="7" t="s">
        <v>58</v>
      </c>
      <c r="B211" s="2" t="s">
        <v>2904</v>
      </c>
      <c r="C211" s="2" t="s">
        <v>2905</v>
      </c>
      <c r="D211" s="2" t="s">
        <v>2906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2907</v>
      </c>
      <c r="L211" s="2" t="s">
        <v>2908</v>
      </c>
      <c r="M211" s="3" t="s">
        <v>1754</v>
      </c>
      <c r="O211" s="3" t="s">
        <v>64</v>
      </c>
      <c r="P211" s="3" t="s">
        <v>755</v>
      </c>
      <c r="R211" s="3" t="s">
        <v>2200</v>
      </c>
      <c r="S211" s="4">
        <v>8</v>
      </c>
      <c r="T211" s="4">
        <v>8</v>
      </c>
      <c r="U211" s="5" t="s">
        <v>2909</v>
      </c>
      <c r="V211" s="5" t="s">
        <v>2909</v>
      </c>
      <c r="W211" s="5" t="s">
        <v>2910</v>
      </c>
      <c r="X211" s="5" t="s">
        <v>2910</v>
      </c>
      <c r="Y211" s="4">
        <v>628</v>
      </c>
      <c r="Z211" s="4">
        <v>608</v>
      </c>
      <c r="AA211" s="4">
        <v>814</v>
      </c>
      <c r="AB211" s="4">
        <v>3</v>
      </c>
      <c r="AC211" s="4">
        <v>5</v>
      </c>
      <c r="AD211" s="4">
        <v>1</v>
      </c>
      <c r="AE211" s="4">
        <v>1</v>
      </c>
      <c r="AF211" s="4">
        <v>0</v>
      </c>
      <c r="AG211" s="4">
        <v>0</v>
      </c>
      <c r="AH211" s="4">
        <v>0</v>
      </c>
      <c r="AI211" s="4">
        <v>0</v>
      </c>
      <c r="AJ211" s="4">
        <v>0</v>
      </c>
      <c r="AK211" s="4">
        <v>0</v>
      </c>
      <c r="AL211" s="4">
        <v>1</v>
      </c>
      <c r="AM211" s="4">
        <v>1</v>
      </c>
      <c r="AN211" s="4">
        <v>0</v>
      </c>
      <c r="AO211" s="4">
        <v>0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HYPERLINK("https://creighton-primo.hosted.exlibrisgroup.com/primo-explore/search?tab=default_tab&amp;search_scope=EVERYTHING&amp;vid=01CRU&amp;lang=en_US&amp;offset=0&amp;query=any,contains,991001338849702656","Catalog Record")</f>
        <v>Catalog Record</v>
      </c>
      <c r="AT211" s="6" t="str">
        <f>HYPERLINK("http://www.worldcat.org/oclc/18379252","WorldCat Record")</f>
        <v>WorldCat Record</v>
      </c>
      <c r="AU211" s="3" t="s">
        <v>2911</v>
      </c>
      <c r="AV211" s="3" t="s">
        <v>2912</v>
      </c>
      <c r="AW211" s="3" t="s">
        <v>2913</v>
      </c>
      <c r="AX211" s="3" t="s">
        <v>2913</v>
      </c>
      <c r="AY211" s="3" t="s">
        <v>2914</v>
      </c>
      <c r="AZ211" s="3" t="s">
        <v>73</v>
      </c>
      <c r="BB211" s="3" t="s">
        <v>2915</v>
      </c>
      <c r="BC211" s="3" t="s">
        <v>2916</v>
      </c>
      <c r="BD211" s="3" t="s">
        <v>2917</v>
      </c>
    </row>
    <row r="212" spans="1:56" ht="41.25" customHeight="1" x14ac:dyDescent="0.25">
      <c r="A212" s="7" t="s">
        <v>58</v>
      </c>
      <c r="B212" s="2" t="s">
        <v>2918</v>
      </c>
      <c r="C212" s="2" t="s">
        <v>2919</v>
      </c>
      <c r="D212" s="2" t="s">
        <v>2920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2921</v>
      </c>
      <c r="L212" s="2" t="s">
        <v>2922</v>
      </c>
      <c r="M212" s="3" t="s">
        <v>230</v>
      </c>
      <c r="O212" s="3" t="s">
        <v>64</v>
      </c>
      <c r="P212" s="3" t="s">
        <v>65</v>
      </c>
      <c r="R212" s="3" t="s">
        <v>2200</v>
      </c>
      <c r="S212" s="4">
        <v>1</v>
      </c>
      <c r="T212" s="4">
        <v>1</v>
      </c>
      <c r="U212" s="5" t="s">
        <v>2923</v>
      </c>
      <c r="V212" s="5" t="s">
        <v>2923</v>
      </c>
      <c r="W212" s="5" t="s">
        <v>2924</v>
      </c>
      <c r="X212" s="5" t="s">
        <v>2924</v>
      </c>
      <c r="Y212" s="4">
        <v>119</v>
      </c>
      <c r="Z212" s="4">
        <v>113</v>
      </c>
      <c r="AA212" s="4">
        <v>115</v>
      </c>
      <c r="AB212" s="4">
        <v>2</v>
      </c>
      <c r="AC212" s="4">
        <v>2</v>
      </c>
      <c r="AD212" s="4">
        <v>1</v>
      </c>
      <c r="AE212" s="4">
        <v>1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1</v>
      </c>
      <c r="AM212" s="4">
        <v>1</v>
      </c>
      <c r="AN212" s="4">
        <v>0</v>
      </c>
      <c r="AO212" s="4">
        <v>0</v>
      </c>
      <c r="AP212" s="3" t="s">
        <v>58</v>
      </c>
      <c r="AQ212" s="3" t="s">
        <v>58</v>
      </c>
      <c r="AS212" s="6" t="str">
        <f>HYPERLINK("https://creighton-primo.hosted.exlibrisgroup.com/primo-explore/search?tab=default_tab&amp;search_scope=EVERYTHING&amp;vid=01CRU&amp;lang=en_US&amp;offset=0&amp;query=any,contains,991004619429702656","Catalog Record")</f>
        <v>Catalog Record</v>
      </c>
      <c r="AT212" s="6" t="str">
        <f>HYPERLINK("http://www.worldcat.org/oclc/4056328","WorldCat Record")</f>
        <v>WorldCat Record</v>
      </c>
      <c r="AU212" s="3" t="s">
        <v>2925</v>
      </c>
      <c r="AV212" s="3" t="s">
        <v>2926</v>
      </c>
      <c r="AW212" s="3" t="s">
        <v>2927</v>
      </c>
      <c r="AX212" s="3" t="s">
        <v>2927</v>
      </c>
      <c r="AY212" s="3" t="s">
        <v>2928</v>
      </c>
      <c r="AZ212" s="3" t="s">
        <v>73</v>
      </c>
      <c r="BB212" s="3" t="s">
        <v>2929</v>
      </c>
      <c r="BC212" s="3" t="s">
        <v>2930</v>
      </c>
      <c r="BD212" s="3" t="s">
        <v>2931</v>
      </c>
    </row>
    <row r="213" spans="1:56" ht="41.25" customHeight="1" x14ac:dyDescent="0.25">
      <c r="A213" s="7" t="s">
        <v>58</v>
      </c>
      <c r="B213" s="2" t="s">
        <v>2932</v>
      </c>
      <c r="C213" s="2" t="s">
        <v>2933</v>
      </c>
      <c r="D213" s="2" t="s">
        <v>2934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2935</v>
      </c>
      <c r="L213" s="2" t="s">
        <v>2936</v>
      </c>
      <c r="M213" s="3" t="s">
        <v>81</v>
      </c>
      <c r="O213" s="3" t="s">
        <v>64</v>
      </c>
      <c r="P213" s="3" t="s">
        <v>65</v>
      </c>
      <c r="R213" s="3" t="s">
        <v>2200</v>
      </c>
      <c r="S213" s="4">
        <v>4</v>
      </c>
      <c r="T213" s="4">
        <v>4</v>
      </c>
      <c r="U213" s="5" t="s">
        <v>2937</v>
      </c>
      <c r="V213" s="5" t="s">
        <v>2937</v>
      </c>
      <c r="W213" s="5" t="s">
        <v>1044</v>
      </c>
      <c r="X213" s="5" t="s">
        <v>1044</v>
      </c>
      <c r="Y213" s="4">
        <v>221</v>
      </c>
      <c r="Z213" s="4">
        <v>207</v>
      </c>
      <c r="AA213" s="4">
        <v>221</v>
      </c>
      <c r="AB213" s="4">
        <v>3</v>
      </c>
      <c r="AC213" s="4">
        <v>3</v>
      </c>
      <c r="AD213" s="4">
        <v>2</v>
      </c>
      <c r="AE213" s="4">
        <v>2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2</v>
      </c>
      <c r="AM213" s="4">
        <v>2</v>
      </c>
      <c r="AN213" s="4">
        <v>0</v>
      </c>
      <c r="AO213" s="4">
        <v>0</v>
      </c>
      <c r="AP213" s="3" t="s">
        <v>58</v>
      </c>
      <c r="AQ213" s="3" t="s">
        <v>58</v>
      </c>
      <c r="AS213" s="6" t="str">
        <f>HYPERLINK("https://creighton-primo.hosted.exlibrisgroup.com/primo-explore/search?tab=default_tab&amp;search_scope=EVERYTHING&amp;vid=01CRU&amp;lang=en_US&amp;offset=0&amp;query=any,contains,991004030619702656","Catalog Record")</f>
        <v>Catalog Record</v>
      </c>
      <c r="AT213" s="6" t="str">
        <f>HYPERLINK("http://www.worldcat.org/oclc/2151202","WorldCat Record")</f>
        <v>WorldCat Record</v>
      </c>
      <c r="AU213" s="3" t="s">
        <v>2938</v>
      </c>
      <c r="AV213" s="3" t="s">
        <v>2939</v>
      </c>
      <c r="AW213" s="3" t="s">
        <v>2940</v>
      </c>
      <c r="AX213" s="3" t="s">
        <v>2940</v>
      </c>
      <c r="AY213" s="3" t="s">
        <v>2941</v>
      </c>
      <c r="AZ213" s="3" t="s">
        <v>73</v>
      </c>
      <c r="BB213" s="3" t="s">
        <v>2942</v>
      </c>
      <c r="BC213" s="3" t="s">
        <v>2943</v>
      </c>
      <c r="BD213" s="3" t="s">
        <v>2944</v>
      </c>
    </row>
    <row r="214" spans="1:56" ht="41.25" customHeight="1" x14ac:dyDescent="0.25">
      <c r="A214" s="7" t="s">
        <v>58</v>
      </c>
      <c r="B214" s="2" t="s">
        <v>2945</v>
      </c>
      <c r="C214" s="2" t="s">
        <v>2946</v>
      </c>
      <c r="D214" s="2" t="s">
        <v>2947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2948</v>
      </c>
      <c r="L214" s="2" t="s">
        <v>2949</v>
      </c>
      <c r="M214" s="3" t="s">
        <v>262</v>
      </c>
      <c r="O214" s="3" t="s">
        <v>64</v>
      </c>
      <c r="P214" s="3" t="s">
        <v>2950</v>
      </c>
      <c r="R214" s="3" t="s">
        <v>2200</v>
      </c>
      <c r="S214" s="4">
        <v>3</v>
      </c>
      <c r="T214" s="4">
        <v>3</v>
      </c>
      <c r="U214" s="5" t="s">
        <v>2951</v>
      </c>
      <c r="V214" s="5" t="s">
        <v>2951</v>
      </c>
      <c r="W214" s="5" t="s">
        <v>2952</v>
      </c>
      <c r="X214" s="5" t="s">
        <v>2952</v>
      </c>
      <c r="Y214" s="4">
        <v>203</v>
      </c>
      <c r="Z214" s="4">
        <v>184</v>
      </c>
      <c r="AA214" s="4">
        <v>222</v>
      </c>
      <c r="AB214" s="4">
        <v>1</v>
      </c>
      <c r="AC214" s="4">
        <v>1</v>
      </c>
      <c r="AD214" s="4">
        <v>1</v>
      </c>
      <c r="AE214" s="4">
        <v>2</v>
      </c>
      <c r="AF214" s="4">
        <v>0</v>
      </c>
      <c r="AG214" s="4">
        <v>1</v>
      </c>
      <c r="AH214" s="4">
        <v>0</v>
      </c>
      <c r="AI214" s="4">
        <v>0</v>
      </c>
      <c r="AJ214" s="4">
        <v>1</v>
      </c>
      <c r="AK214" s="4">
        <v>1</v>
      </c>
      <c r="AL214" s="4">
        <v>0</v>
      </c>
      <c r="AM214" s="4">
        <v>0</v>
      </c>
      <c r="AN214" s="4">
        <v>0</v>
      </c>
      <c r="AO214" s="4">
        <v>0</v>
      </c>
      <c r="AP214" s="3" t="s">
        <v>58</v>
      </c>
      <c r="AQ214" s="3" t="s">
        <v>58</v>
      </c>
      <c r="AS214" s="6" t="str">
        <f>HYPERLINK("https://creighton-primo.hosted.exlibrisgroup.com/primo-explore/search?tab=default_tab&amp;search_scope=EVERYTHING&amp;vid=01CRU&amp;lang=en_US&amp;offset=0&amp;query=any,contains,991003972079702656","Catalog Record")</f>
        <v>Catalog Record</v>
      </c>
      <c r="AT214" s="6" t="str">
        <f>HYPERLINK("http://www.worldcat.org/oclc/1993003","WorldCat Record")</f>
        <v>WorldCat Record</v>
      </c>
      <c r="AU214" s="3" t="s">
        <v>2953</v>
      </c>
      <c r="AV214" s="3" t="s">
        <v>2954</v>
      </c>
      <c r="AW214" s="3" t="s">
        <v>2955</v>
      </c>
      <c r="AX214" s="3" t="s">
        <v>2955</v>
      </c>
      <c r="AY214" s="3" t="s">
        <v>2956</v>
      </c>
      <c r="AZ214" s="3" t="s">
        <v>73</v>
      </c>
      <c r="BB214" s="3" t="s">
        <v>2957</v>
      </c>
      <c r="BC214" s="3" t="s">
        <v>2958</v>
      </c>
      <c r="BD214" s="3" t="s">
        <v>2959</v>
      </c>
    </row>
    <row r="215" spans="1:56" ht="41.25" customHeight="1" x14ac:dyDescent="0.25">
      <c r="A215" s="7" t="s">
        <v>58</v>
      </c>
      <c r="B215" s="2" t="s">
        <v>2960</v>
      </c>
      <c r="C215" s="2" t="s">
        <v>2961</v>
      </c>
      <c r="D215" s="2" t="s">
        <v>2962</v>
      </c>
      <c r="F215" s="3" t="s">
        <v>58</v>
      </c>
      <c r="G215" s="3" t="s">
        <v>59</v>
      </c>
      <c r="H215" s="3" t="s">
        <v>58</v>
      </c>
      <c r="I215" s="3" t="s">
        <v>58</v>
      </c>
      <c r="J215" s="3" t="s">
        <v>60</v>
      </c>
      <c r="K215" s="2" t="s">
        <v>2963</v>
      </c>
      <c r="L215" s="2" t="s">
        <v>2964</v>
      </c>
      <c r="M215" s="3" t="s">
        <v>132</v>
      </c>
      <c r="O215" s="3" t="s">
        <v>64</v>
      </c>
      <c r="P215" s="3" t="s">
        <v>65</v>
      </c>
      <c r="Q215" s="2" t="s">
        <v>2869</v>
      </c>
      <c r="R215" s="3" t="s">
        <v>2200</v>
      </c>
      <c r="S215" s="4">
        <v>5</v>
      </c>
      <c r="T215" s="4">
        <v>5</v>
      </c>
      <c r="U215" s="5" t="s">
        <v>2965</v>
      </c>
      <c r="V215" s="5" t="s">
        <v>2965</v>
      </c>
      <c r="W215" s="5" t="s">
        <v>2966</v>
      </c>
      <c r="X215" s="5" t="s">
        <v>2966</v>
      </c>
      <c r="Y215" s="4">
        <v>731</v>
      </c>
      <c r="Z215" s="4">
        <v>713</v>
      </c>
      <c r="AA215" s="4">
        <v>790</v>
      </c>
      <c r="AB215" s="4">
        <v>4</v>
      </c>
      <c r="AC215" s="4">
        <v>4</v>
      </c>
      <c r="AD215" s="4">
        <v>7</v>
      </c>
      <c r="AE215" s="4">
        <v>8</v>
      </c>
      <c r="AF215" s="4">
        <v>4</v>
      </c>
      <c r="AG215" s="4">
        <v>4</v>
      </c>
      <c r="AH215" s="4">
        <v>0</v>
      </c>
      <c r="AI215" s="4">
        <v>0</v>
      </c>
      <c r="AJ215" s="4">
        <v>3</v>
      </c>
      <c r="AK215" s="4">
        <v>4</v>
      </c>
      <c r="AL215" s="4">
        <v>1</v>
      </c>
      <c r="AM215" s="4">
        <v>1</v>
      </c>
      <c r="AN215" s="4">
        <v>0</v>
      </c>
      <c r="AO215" s="4">
        <v>0</v>
      </c>
      <c r="AP215" s="3" t="s">
        <v>58</v>
      </c>
      <c r="AQ215" s="3" t="s">
        <v>58</v>
      </c>
      <c r="AS215" s="6" t="str">
        <f>HYPERLINK("https://creighton-primo.hosted.exlibrisgroup.com/primo-explore/search?tab=default_tab&amp;search_scope=EVERYTHING&amp;vid=01CRU&amp;lang=en_US&amp;offset=0&amp;query=any,contains,991000862069702656","Catalog Record")</f>
        <v>Catalog Record</v>
      </c>
      <c r="AT215" s="6" t="str">
        <f>HYPERLINK("http://www.worldcat.org/oclc/150494","WorldCat Record")</f>
        <v>WorldCat Record</v>
      </c>
      <c r="AU215" s="3" t="s">
        <v>2967</v>
      </c>
      <c r="AV215" s="3" t="s">
        <v>2968</v>
      </c>
      <c r="AW215" s="3" t="s">
        <v>2969</v>
      </c>
      <c r="AX215" s="3" t="s">
        <v>2969</v>
      </c>
      <c r="AY215" s="3" t="s">
        <v>2970</v>
      </c>
      <c r="AZ215" s="3" t="s">
        <v>73</v>
      </c>
      <c r="BC215" s="3" t="s">
        <v>2971</v>
      </c>
      <c r="BD215" s="3" t="s">
        <v>2972</v>
      </c>
    </row>
    <row r="216" spans="1:56" ht="41.25" customHeight="1" x14ac:dyDescent="0.25">
      <c r="A216" s="7" t="s">
        <v>58</v>
      </c>
      <c r="B216" s="2" t="s">
        <v>2973</v>
      </c>
      <c r="C216" s="2" t="s">
        <v>2974</v>
      </c>
      <c r="D216" s="2" t="s">
        <v>2975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L216" s="2" t="s">
        <v>2976</v>
      </c>
      <c r="M216" s="3" t="s">
        <v>612</v>
      </c>
      <c r="O216" s="3" t="s">
        <v>64</v>
      </c>
      <c r="P216" s="3" t="s">
        <v>2977</v>
      </c>
      <c r="R216" s="3" t="s">
        <v>2200</v>
      </c>
      <c r="S216" s="4">
        <v>6</v>
      </c>
      <c r="T216" s="4">
        <v>6</v>
      </c>
      <c r="U216" s="5" t="s">
        <v>2978</v>
      </c>
      <c r="V216" s="5" t="s">
        <v>2978</v>
      </c>
      <c r="W216" s="5" t="s">
        <v>2979</v>
      </c>
      <c r="X216" s="5" t="s">
        <v>2979</v>
      </c>
      <c r="Y216" s="4">
        <v>8</v>
      </c>
      <c r="Z216" s="4">
        <v>8</v>
      </c>
      <c r="AA216" s="4">
        <v>8</v>
      </c>
      <c r="AB216" s="4">
        <v>6</v>
      </c>
      <c r="AC216" s="4">
        <v>6</v>
      </c>
      <c r="AD216" s="4">
        <v>1</v>
      </c>
      <c r="AE216" s="4">
        <v>1</v>
      </c>
      <c r="AF216" s="4">
        <v>0</v>
      </c>
      <c r="AG216" s="4">
        <v>0</v>
      </c>
      <c r="AH216" s="4">
        <v>0</v>
      </c>
      <c r="AI216" s="4">
        <v>0</v>
      </c>
      <c r="AJ216" s="4">
        <v>0</v>
      </c>
      <c r="AK216" s="4">
        <v>0</v>
      </c>
      <c r="AL216" s="4">
        <v>1</v>
      </c>
      <c r="AM216" s="4">
        <v>1</v>
      </c>
      <c r="AN216" s="4">
        <v>0</v>
      </c>
      <c r="AO216" s="4">
        <v>0</v>
      </c>
      <c r="AP216" s="3" t="s">
        <v>58</v>
      </c>
      <c r="AQ216" s="3" t="s">
        <v>58</v>
      </c>
      <c r="AS216" s="6" t="str">
        <f>HYPERLINK("https://creighton-primo.hosted.exlibrisgroup.com/primo-explore/search?tab=default_tab&amp;search_scope=EVERYTHING&amp;vid=01CRU&amp;lang=en_US&amp;offset=0&amp;query=any,contains,991003052859702656","Catalog Record")</f>
        <v>Catalog Record</v>
      </c>
      <c r="AT216" s="6" t="str">
        <f>HYPERLINK("http://www.worldcat.org/oclc/43374633","WorldCat Record")</f>
        <v>WorldCat Record</v>
      </c>
      <c r="AU216" s="3" t="s">
        <v>2980</v>
      </c>
      <c r="AV216" s="3" t="s">
        <v>2981</v>
      </c>
      <c r="AW216" s="3" t="s">
        <v>2982</v>
      </c>
      <c r="AX216" s="3" t="s">
        <v>2982</v>
      </c>
      <c r="AY216" s="3" t="s">
        <v>2983</v>
      </c>
      <c r="AZ216" s="3" t="s">
        <v>73</v>
      </c>
      <c r="BC216" s="3" t="s">
        <v>2984</v>
      </c>
      <c r="BD216" s="3" t="s">
        <v>2985</v>
      </c>
    </row>
    <row r="217" spans="1:56" ht="41.25" customHeight="1" x14ac:dyDescent="0.25">
      <c r="A217" s="7" t="s">
        <v>58</v>
      </c>
      <c r="B217" s="2" t="s">
        <v>2986</v>
      </c>
      <c r="C217" s="2" t="s">
        <v>2987</v>
      </c>
      <c r="D217" s="2" t="s">
        <v>2988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L217" s="2" t="s">
        <v>2989</v>
      </c>
      <c r="M217" s="3" t="s">
        <v>1754</v>
      </c>
      <c r="O217" s="3" t="s">
        <v>64</v>
      </c>
      <c r="P217" s="3" t="s">
        <v>2977</v>
      </c>
      <c r="R217" s="3" t="s">
        <v>2200</v>
      </c>
      <c r="S217" s="4">
        <v>6</v>
      </c>
      <c r="T217" s="4">
        <v>6</v>
      </c>
      <c r="U217" s="5" t="s">
        <v>2990</v>
      </c>
      <c r="V217" s="5" t="s">
        <v>2990</v>
      </c>
      <c r="W217" s="5" t="s">
        <v>2991</v>
      </c>
      <c r="X217" s="5" t="s">
        <v>2991</v>
      </c>
      <c r="Y217" s="4">
        <v>13</v>
      </c>
      <c r="Z217" s="4">
        <v>13</v>
      </c>
      <c r="AA217" s="4">
        <v>13</v>
      </c>
      <c r="AB217" s="4">
        <v>11</v>
      </c>
      <c r="AC217" s="4">
        <v>11</v>
      </c>
      <c r="AD217" s="4">
        <v>4</v>
      </c>
      <c r="AE217" s="4">
        <v>4</v>
      </c>
      <c r="AF217" s="4">
        <v>0</v>
      </c>
      <c r="AG217" s="4">
        <v>0</v>
      </c>
      <c r="AH217" s="4">
        <v>0</v>
      </c>
      <c r="AI217" s="4">
        <v>0</v>
      </c>
      <c r="AJ217" s="4">
        <v>0</v>
      </c>
      <c r="AK217" s="4">
        <v>0</v>
      </c>
      <c r="AL217" s="4">
        <v>4</v>
      </c>
      <c r="AM217" s="4">
        <v>4</v>
      </c>
      <c r="AN217" s="4">
        <v>0</v>
      </c>
      <c r="AO217" s="4">
        <v>0</v>
      </c>
      <c r="AP217" s="3" t="s">
        <v>58</v>
      </c>
      <c r="AQ217" s="3" t="s">
        <v>58</v>
      </c>
      <c r="AS217" s="6" t="str">
        <f>HYPERLINK("https://creighton-primo.hosted.exlibrisgroup.com/primo-explore/search?tab=default_tab&amp;search_scope=EVERYTHING&amp;vid=01CRU&amp;lang=en_US&amp;offset=0&amp;query=any,contains,991001220979702656","Catalog Record")</f>
        <v>Catalog Record</v>
      </c>
      <c r="AT217" s="6" t="str">
        <f>HYPERLINK("http://www.worldcat.org/oclc/17464198","WorldCat Record")</f>
        <v>WorldCat Record</v>
      </c>
      <c r="AU217" s="3" t="s">
        <v>2992</v>
      </c>
      <c r="AV217" s="3" t="s">
        <v>2993</v>
      </c>
      <c r="AW217" s="3" t="s">
        <v>2994</v>
      </c>
      <c r="AX217" s="3" t="s">
        <v>2994</v>
      </c>
      <c r="AY217" s="3" t="s">
        <v>2995</v>
      </c>
      <c r="AZ217" s="3" t="s">
        <v>73</v>
      </c>
      <c r="BC217" s="3" t="s">
        <v>2996</v>
      </c>
      <c r="BD217" s="3" t="s">
        <v>2997</v>
      </c>
    </row>
    <row r="218" spans="1:56" ht="41.25" customHeight="1" x14ac:dyDescent="0.25">
      <c r="A218" s="7" t="s">
        <v>58</v>
      </c>
      <c r="B218" s="2" t="s">
        <v>2998</v>
      </c>
      <c r="C218" s="2" t="s">
        <v>2999</v>
      </c>
      <c r="D218" s="2" t="s">
        <v>3000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3001</v>
      </c>
      <c r="L218" s="2" t="s">
        <v>3002</v>
      </c>
      <c r="M218" s="3" t="s">
        <v>98</v>
      </c>
      <c r="N218" s="2" t="s">
        <v>528</v>
      </c>
      <c r="O218" s="3" t="s">
        <v>64</v>
      </c>
      <c r="P218" s="3" t="s">
        <v>2977</v>
      </c>
      <c r="R218" s="3" t="s">
        <v>2200</v>
      </c>
      <c r="S218" s="4">
        <v>5</v>
      </c>
      <c r="T218" s="4">
        <v>5</v>
      </c>
      <c r="U218" s="5" t="s">
        <v>3003</v>
      </c>
      <c r="V218" s="5" t="s">
        <v>3003</v>
      </c>
      <c r="W218" s="5" t="s">
        <v>3004</v>
      </c>
      <c r="X218" s="5" t="s">
        <v>3004</v>
      </c>
      <c r="Y218" s="4">
        <v>23</v>
      </c>
      <c r="Z218" s="4">
        <v>23</v>
      </c>
      <c r="AA218" s="4">
        <v>23</v>
      </c>
      <c r="AB218" s="4">
        <v>16</v>
      </c>
      <c r="AC218" s="4">
        <v>16</v>
      </c>
      <c r="AD218" s="4">
        <v>3</v>
      </c>
      <c r="AE218" s="4">
        <v>3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3</v>
      </c>
      <c r="AM218" s="4">
        <v>3</v>
      </c>
      <c r="AN218" s="4">
        <v>0</v>
      </c>
      <c r="AO218" s="4">
        <v>0</v>
      </c>
      <c r="AP218" s="3" t="s">
        <v>58</v>
      </c>
      <c r="AQ218" s="3" t="s">
        <v>58</v>
      </c>
      <c r="AS218" s="6" t="str">
        <f>HYPERLINK("https://creighton-primo.hosted.exlibrisgroup.com/primo-explore/search?tab=default_tab&amp;search_scope=EVERYTHING&amp;vid=01CRU&amp;lang=en_US&amp;offset=0&amp;query=any,contains,991001452329702656","Catalog Record")</f>
        <v>Catalog Record</v>
      </c>
      <c r="AT218" s="6" t="str">
        <f>HYPERLINK("http://www.worldcat.org/oclc/19337968","WorldCat Record")</f>
        <v>WorldCat Record</v>
      </c>
      <c r="AU218" s="3" t="s">
        <v>3005</v>
      </c>
      <c r="AV218" s="3" t="s">
        <v>3006</v>
      </c>
      <c r="AW218" s="3" t="s">
        <v>3007</v>
      </c>
      <c r="AX218" s="3" t="s">
        <v>3007</v>
      </c>
      <c r="AY218" s="3" t="s">
        <v>3008</v>
      </c>
      <c r="AZ218" s="3" t="s">
        <v>73</v>
      </c>
      <c r="BC218" s="3" t="s">
        <v>3009</v>
      </c>
      <c r="BD218" s="3" t="s">
        <v>3010</v>
      </c>
    </row>
    <row r="219" spans="1:56" ht="41.25" customHeight="1" x14ac:dyDescent="0.25">
      <c r="A219" s="7" t="s">
        <v>58</v>
      </c>
      <c r="B219" s="2" t="s">
        <v>3011</v>
      </c>
      <c r="C219" s="2" t="s">
        <v>3012</v>
      </c>
      <c r="D219" s="2" t="s">
        <v>3013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3014</v>
      </c>
      <c r="L219" s="2" t="s">
        <v>3015</v>
      </c>
      <c r="M219" s="3" t="s">
        <v>3016</v>
      </c>
      <c r="O219" s="3" t="s">
        <v>64</v>
      </c>
      <c r="P219" s="3" t="s">
        <v>334</v>
      </c>
      <c r="R219" s="3" t="s">
        <v>2200</v>
      </c>
      <c r="S219" s="4">
        <v>1</v>
      </c>
      <c r="T219" s="4">
        <v>1</v>
      </c>
      <c r="U219" s="5" t="s">
        <v>3017</v>
      </c>
      <c r="V219" s="5" t="s">
        <v>3017</v>
      </c>
      <c r="W219" s="5" t="s">
        <v>3018</v>
      </c>
      <c r="X219" s="5" t="s">
        <v>3018</v>
      </c>
      <c r="Y219" s="4">
        <v>98</v>
      </c>
      <c r="Z219" s="4">
        <v>96</v>
      </c>
      <c r="AA219" s="4">
        <v>142</v>
      </c>
      <c r="AB219" s="4">
        <v>2</v>
      </c>
      <c r="AC219" s="4">
        <v>2</v>
      </c>
      <c r="AD219" s="4">
        <v>5</v>
      </c>
      <c r="AE219" s="4">
        <v>5</v>
      </c>
      <c r="AF219" s="4">
        <v>2</v>
      </c>
      <c r="AG219" s="4">
        <v>2</v>
      </c>
      <c r="AH219" s="4">
        <v>0</v>
      </c>
      <c r="AI219" s="4">
        <v>0</v>
      </c>
      <c r="AJ219" s="4">
        <v>3</v>
      </c>
      <c r="AK219" s="4">
        <v>3</v>
      </c>
      <c r="AL219" s="4">
        <v>1</v>
      </c>
      <c r="AM219" s="4">
        <v>1</v>
      </c>
      <c r="AN219" s="4">
        <v>0</v>
      </c>
      <c r="AO219" s="4">
        <v>0</v>
      </c>
      <c r="AP219" s="3" t="s">
        <v>58</v>
      </c>
      <c r="AQ219" s="3" t="s">
        <v>58</v>
      </c>
      <c r="AS219" s="6" t="str">
        <f>HYPERLINK("https://creighton-primo.hosted.exlibrisgroup.com/primo-explore/search?tab=default_tab&amp;search_scope=EVERYTHING&amp;vid=01CRU&amp;lang=en_US&amp;offset=0&amp;query=any,contains,991004288579702656","Catalog Record")</f>
        <v>Catalog Record</v>
      </c>
      <c r="AT219" s="6" t="str">
        <f>HYPERLINK("http://www.worldcat.org/oclc/2933904","WorldCat Record")</f>
        <v>WorldCat Record</v>
      </c>
      <c r="AU219" s="3" t="s">
        <v>3019</v>
      </c>
      <c r="AV219" s="3" t="s">
        <v>3020</v>
      </c>
      <c r="AW219" s="3" t="s">
        <v>3021</v>
      </c>
      <c r="AX219" s="3" t="s">
        <v>3021</v>
      </c>
      <c r="AY219" s="3" t="s">
        <v>3022</v>
      </c>
      <c r="AZ219" s="3" t="s">
        <v>73</v>
      </c>
      <c r="BC219" s="3" t="s">
        <v>3023</v>
      </c>
      <c r="BD219" s="3" t="s">
        <v>3024</v>
      </c>
    </row>
    <row r="220" spans="1:56" ht="41.25" customHeight="1" x14ac:dyDescent="0.25">
      <c r="A220" s="7" t="s">
        <v>58</v>
      </c>
      <c r="B220" s="2" t="s">
        <v>3025</v>
      </c>
      <c r="C220" s="2" t="s">
        <v>3026</v>
      </c>
      <c r="D220" s="2" t="s">
        <v>3027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K220" s="2" t="s">
        <v>3028</v>
      </c>
      <c r="L220" s="2" t="s">
        <v>2964</v>
      </c>
      <c r="M220" s="3" t="s">
        <v>132</v>
      </c>
      <c r="O220" s="3" t="s">
        <v>64</v>
      </c>
      <c r="P220" s="3" t="s">
        <v>65</v>
      </c>
      <c r="Q220" s="2" t="s">
        <v>2869</v>
      </c>
      <c r="R220" s="3" t="s">
        <v>2200</v>
      </c>
      <c r="S220" s="4">
        <v>7</v>
      </c>
      <c r="T220" s="4">
        <v>7</v>
      </c>
      <c r="U220" s="5" t="s">
        <v>3029</v>
      </c>
      <c r="V220" s="5" t="s">
        <v>3029</v>
      </c>
      <c r="W220" s="5" t="s">
        <v>3030</v>
      </c>
      <c r="X220" s="5" t="s">
        <v>3030</v>
      </c>
      <c r="Y220" s="4">
        <v>703</v>
      </c>
      <c r="Z220" s="4">
        <v>687</v>
      </c>
      <c r="AA220" s="4">
        <v>783</v>
      </c>
      <c r="AB220" s="4">
        <v>7</v>
      </c>
      <c r="AC220" s="4">
        <v>7</v>
      </c>
      <c r="AD220" s="4">
        <v>11</v>
      </c>
      <c r="AE220" s="4">
        <v>14</v>
      </c>
      <c r="AF220" s="4">
        <v>4</v>
      </c>
      <c r="AG220" s="4">
        <v>5</v>
      </c>
      <c r="AH220" s="4">
        <v>0</v>
      </c>
      <c r="AI220" s="4">
        <v>1</v>
      </c>
      <c r="AJ220" s="4">
        <v>6</v>
      </c>
      <c r="AK220" s="4">
        <v>7</v>
      </c>
      <c r="AL220" s="4">
        <v>3</v>
      </c>
      <c r="AM220" s="4">
        <v>3</v>
      </c>
      <c r="AN220" s="4">
        <v>0</v>
      </c>
      <c r="AO220" s="4">
        <v>0</v>
      </c>
      <c r="AP220" s="3" t="s">
        <v>58</v>
      </c>
      <c r="AQ220" s="3" t="s">
        <v>85</v>
      </c>
      <c r="AR220" s="6" t="str">
        <f>HYPERLINK("http://catalog.hathitrust.org/Record/009429092","HathiTrust Record")</f>
        <v>HathiTrust Record</v>
      </c>
      <c r="AS220" s="6" t="str">
        <f>HYPERLINK("https://creighton-primo.hosted.exlibrisgroup.com/primo-explore/search?tab=default_tab&amp;search_scope=EVERYTHING&amp;vid=01CRU&amp;lang=en_US&amp;offset=0&amp;query=any,contains,991000741809702656","Catalog Record")</f>
        <v>Catalog Record</v>
      </c>
      <c r="AT220" s="6" t="str">
        <f>HYPERLINK("http://www.worldcat.org/oclc/129474","WorldCat Record")</f>
        <v>WorldCat Record</v>
      </c>
      <c r="AU220" s="3" t="s">
        <v>3031</v>
      </c>
      <c r="AV220" s="3" t="s">
        <v>3032</v>
      </c>
      <c r="AW220" s="3" t="s">
        <v>3033</v>
      </c>
      <c r="AX220" s="3" t="s">
        <v>3033</v>
      </c>
      <c r="AY220" s="3" t="s">
        <v>3034</v>
      </c>
      <c r="AZ220" s="3" t="s">
        <v>73</v>
      </c>
      <c r="BC220" s="3" t="s">
        <v>3035</v>
      </c>
      <c r="BD220" s="3" t="s">
        <v>3036</v>
      </c>
    </row>
    <row r="221" spans="1:56" ht="41.25" customHeight="1" x14ac:dyDescent="0.25">
      <c r="A221" s="7" t="s">
        <v>58</v>
      </c>
      <c r="B221" s="2" t="s">
        <v>3037</v>
      </c>
      <c r="C221" s="2" t="s">
        <v>3038</v>
      </c>
      <c r="D221" s="2" t="s">
        <v>3039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3040</v>
      </c>
      <c r="L221" s="2" t="s">
        <v>3041</v>
      </c>
      <c r="M221" s="3" t="s">
        <v>176</v>
      </c>
      <c r="O221" s="3" t="s">
        <v>64</v>
      </c>
      <c r="P221" s="3" t="s">
        <v>65</v>
      </c>
      <c r="Q221" s="2" t="s">
        <v>2869</v>
      </c>
      <c r="R221" s="3" t="s">
        <v>2200</v>
      </c>
      <c r="S221" s="4">
        <v>2</v>
      </c>
      <c r="T221" s="4">
        <v>2</v>
      </c>
      <c r="U221" s="5" t="s">
        <v>3042</v>
      </c>
      <c r="V221" s="5" t="s">
        <v>3042</v>
      </c>
      <c r="W221" s="5" t="s">
        <v>799</v>
      </c>
      <c r="X221" s="5" t="s">
        <v>799</v>
      </c>
      <c r="Y221" s="4">
        <v>857</v>
      </c>
      <c r="Z221" s="4">
        <v>812</v>
      </c>
      <c r="AA221" s="4">
        <v>962</v>
      </c>
      <c r="AB221" s="4">
        <v>10</v>
      </c>
      <c r="AC221" s="4">
        <v>10</v>
      </c>
      <c r="AD221" s="4">
        <v>13</v>
      </c>
      <c r="AE221" s="4">
        <v>14</v>
      </c>
      <c r="AF221" s="4">
        <v>5</v>
      </c>
      <c r="AG221" s="4">
        <v>5</v>
      </c>
      <c r="AH221" s="4">
        <v>0</v>
      </c>
      <c r="AI221" s="4">
        <v>0</v>
      </c>
      <c r="AJ221" s="4">
        <v>3</v>
      </c>
      <c r="AK221" s="4">
        <v>4</v>
      </c>
      <c r="AL221" s="4">
        <v>5</v>
      </c>
      <c r="AM221" s="4">
        <v>5</v>
      </c>
      <c r="AN221" s="4">
        <v>0</v>
      </c>
      <c r="AO221" s="4">
        <v>0</v>
      </c>
      <c r="AP221" s="3" t="s">
        <v>58</v>
      </c>
      <c r="AQ221" s="3" t="s">
        <v>85</v>
      </c>
      <c r="AR221" s="6" t="str">
        <f>HYPERLINK("http://catalog.hathitrust.org/Record/007476703","HathiTrust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HYPERLINK("https://creighton-primo.hosted.exlibrisgroup.com/primo-explore/search?tab=default_tab&amp;search_scope=EVERYTHING&amp;vid=01CRU&amp;lang=en_US&amp;offset=0&amp;query=any,contains,991000371719702656","Catalog Record")</f>
        <v>Catalog Record</v>
      </c>
      <c r="AT221" s="6" t="str">
        <f>HYPERLINK("http://www.worldcat.org/oclc/71446","WorldCat Record")</f>
        <v>WorldCat Record</v>
      </c>
      <c r="AU221" s="3" t="s">
        <v>3043</v>
      </c>
      <c r="AV221" s="3" t="s">
        <v>3044</v>
      </c>
      <c r="AW221" s="3" t="s">
        <v>3045</v>
      </c>
      <c r="AX221" s="3" t="s">
        <v>3045</v>
      </c>
      <c r="AY221" s="3" t="s">
        <v>3046</v>
      </c>
      <c r="AZ221" s="3" t="s">
        <v>73</v>
      </c>
      <c r="BC221" s="3" t="s">
        <v>3047</v>
      </c>
      <c r="BD221" s="3" t="s">
        <v>3048</v>
      </c>
    </row>
    <row r="222" spans="1:56" ht="41.25" customHeight="1" x14ac:dyDescent="0.25">
      <c r="A222" s="7" t="s">
        <v>58</v>
      </c>
      <c r="B222" s="2" t="s">
        <v>3049</v>
      </c>
      <c r="C222" s="2" t="s">
        <v>3050</v>
      </c>
      <c r="D222" s="2" t="s">
        <v>3051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3052</v>
      </c>
      <c r="L222" s="2" t="s">
        <v>3053</v>
      </c>
      <c r="M222" s="3" t="s">
        <v>839</v>
      </c>
      <c r="O222" s="3" t="s">
        <v>64</v>
      </c>
      <c r="P222" s="3" t="s">
        <v>65</v>
      </c>
      <c r="R222" s="3" t="s">
        <v>2200</v>
      </c>
      <c r="S222" s="4">
        <v>7</v>
      </c>
      <c r="T222" s="4">
        <v>7</v>
      </c>
      <c r="U222" s="5" t="s">
        <v>3054</v>
      </c>
      <c r="V222" s="5" t="s">
        <v>3054</v>
      </c>
      <c r="W222" s="5" t="s">
        <v>3055</v>
      </c>
      <c r="X222" s="5" t="s">
        <v>3055</v>
      </c>
      <c r="Y222" s="4">
        <v>159</v>
      </c>
      <c r="Z222" s="4">
        <v>144</v>
      </c>
      <c r="AA222" s="4">
        <v>144</v>
      </c>
      <c r="AB222" s="4">
        <v>1</v>
      </c>
      <c r="AC222" s="4">
        <v>1</v>
      </c>
      <c r="AD222" s="4">
        <v>3</v>
      </c>
      <c r="AE222" s="4">
        <v>3</v>
      </c>
      <c r="AF222" s="4">
        <v>0</v>
      </c>
      <c r="AG222" s="4">
        <v>0</v>
      </c>
      <c r="AH222" s="4">
        <v>1</v>
      </c>
      <c r="AI222" s="4">
        <v>1</v>
      </c>
      <c r="AJ222" s="4">
        <v>3</v>
      </c>
      <c r="AK222" s="4">
        <v>3</v>
      </c>
      <c r="AL222" s="4">
        <v>0</v>
      </c>
      <c r="AM222" s="4">
        <v>0</v>
      </c>
      <c r="AN222" s="4">
        <v>0</v>
      </c>
      <c r="AO222" s="4">
        <v>0</v>
      </c>
      <c r="AP222" s="3" t="s">
        <v>58</v>
      </c>
      <c r="AQ222" s="3" t="s">
        <v>58</v>
      </c>
      <c r="AS222" s="6" t="str">
        <f>HYPERLINK("https://creighton-primo.hosted.exlibrisgroup.com/primo-explore/search?tab=default_tab&amp;search_scope=EVERYTHING&amp;vid=01CRU&amp;lang=en_US&amp;offset=0&amp;query=any,contains,991000659319702656","Catalog Record")</f>
        <v>Catalog Record</v>
      </c>
      <c r="AT222" s="6" t="str">
        <f>HYPERLINK("http://www.worldcat.org/oclc/12236085","WorldCat Record")</f>
        <v>WorldCat Record</v>
      </c>
      <c r="AU222" s="3" t="s">
        <v>3056</v>
      </c>
      <c r="AV222" s="3" t="s">
        <v>3057</v>
      </c>
      <c r="AW222" s="3" t="s">
        <v>3058</v>
      </c>
      <c r="AX222" s="3" t="s">
        <v>3058</v>
      </c>
      <c r="AY222" s="3" t="s">
        <v>3059</v>
      </c>
      <c r="AZ222" s="3" t="s">
        <v>73</v>
      </c>
      <c r="BB222" s="3" t="s">
        <v>3060</v>
      </c>
      <c r="BC222" s="3" t="s">
        <v>3061</v>
      </c>
      <c r="BD222" s="3" t="s">
        <v>3062</v>
      </c>
    </row>
    <row r="223" spans="1:56" ht="41.25" customHeight="1" x14ac:dyDescent="0.25">
      <c r="A223" s="7" t="s">
        <v>58</v>
      </c>
      <c r="B223" s="2" t="s">
        <v>3063</v>
      </c>
      <c r="C223" s="2" t="s">
        <v>3064</v>
      </c>
      <c r="D223" s="2" t="s">
        <v>3065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3066</v>
      </c>
      <c r="L223" s="2" t="s">
        <v>3067</v>
      </c>
      <c r="M223" s="3" t="s">
        <v>543</v>
      </c>
      <c r="O223" s="3" t="s">
        <v>64</v>
      </c>
      <c r="P223" s="3" t="s">
        <v>513</v>
      </c>
      <c r="R223" s="3" t="s">
        <v>2200</v>
      </c>
      <c r="S223" s="4">
        <v>4</v>
      </c>
      <c r="T223" s="4">
        <v>4</v>
      </c>
      <c r="U223" s="5" t="s">
        <v>3068</v>
      </c>
      <c r="V223" s="5" t="s">
        <v>3068</v>
      </c>
      <c r="W223" s="5" t="s">
        <v>1044</v>
      </c>
      <c r="X223" s="5" t="s">
        <v>1044</v>
      </c>
      <c r="Y223" s="4">
        <v>106</v>
      </c>
      <c r="Z223" s="4">
        <v>103</v>
      </c>
      <c r="AA223" s="4">
        <v>104</v>
      </c>
      <c r="AB223" s="4">
        <v>2</v>
      </c>
      <c r="AC223" s="4">
        <v>2</v>
      </c>
      <c r="AD223" s="4">
        <v>1</v>
      </c>
      <c r="AE223" s="4">
        <v>1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1</v>
      </c>
      <c r="AM223" s="4">
        <v>1</v>
      </c>
      <c r="AN223" s="4">
        <v>0</v>
      </c>
      <c r="AO223" s="4">
        <v>0</v>
      </c>
      <c r="AP223" s="3" t="s">
        <v>58</v>
      </c>
      <c r="AQ223" s="3" t="s">
        <v>58</v>
      </c>
      <c r="AS223" s="6" t="str">
        <f>HYPERLINK("https://creighton-primo.hosted.exlibrisgroup.com/primo-explore/search?tab=default_tab&amp;search_scope=EVERYTHING&amp;vid=01CRU&amp;lang=en_US&amp;offset=0&amp;query=any,contains,991003065769702656","Catalog Record")</f>
        <v>Catalog Record</v>
      </c>
      <c r="AT223" s="6" t="str">
        <f>HYPERLINK("http://www.worldcat.org/oclc/622071","WorldCat Record")</f>
        <v>WorldCat Record</v>
      </c>
      <c r="AU223" s="3" t="s">
        <v>3069</v>
      </c>
      <c r="AV223" s="3" t="s">
        <v>3070</v>
      </c>
      <c r="AW223" s="3" t="s">
        <v>3071</v>
      </c>
      <c r="AX223" s="3" t="s">
        <v>3071</v>
      </c>
      <c r="AY223" s="3" t="s">
        <v>3072</v>
      </c>
      <c r="AZ223" s="3" t="s">
        <v>73</v>
      </c>
      <c r="BC223" s="3" t="s">
        <v>3073</v>
      </c>
      <c r="BD223" s="3" t="s">
        <v>3074</v>
      </c>
    </row>
    <row r="224" spans="1:56" ht="41.25" customHeight="1" x14ac:dyDescent="0.25">
      <c r="A224" s="7" t="s">
        <v>58</v>
      </c>
      <c r="B224" s="2" t="s">
        <v>3075</v>
      </c>
      <c r="C224" s="2" t="s">
        <v>3076</v>
      </c>
      <c r="D224" s="2" t="s">
        <v>3077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3078</v>
      </c>
      <c r="L224" s="2" t="s">
        <v>3079</v>
      </c>
      <c r="M224" s="3" t="s">
        <v>1754</v>
      </c>
      <c r="N224" s="2" t="s">
        <v>3080</v>
      </c>
      <c r="O224" s="3" t="s">
        <v>64</v>
      </c>
      <c r="P224" s="3" t="s">
        <v>373</v>
      </c>
      <c r="R224" s="3" t="s">
        <v>2200</v>
      </c>
      <c r="S224" s="4">
        <v>3</v>
      </c>
      <c r="T224" s="4">
        <v>3</v>
      </c>
      <c r="U224" s="5" t="s">
        <v>3081</v>
      </c>
      <c r="V224" s="5" t="s">
        <v>3081</v>
      </c>
      <c r="W224" s="5" t="s">
        <v>1044</v>
      </c>
      <c r="X224" s="5" t="s">
        <v>1044</v>
      </c>
      <c r="Y224" s="4">
        <v>68</v>
      </c>
      <c r="Z224" s="4">
        <v>68</v>
      </c>
      <c r="AA224" s="4">
        <v>412</v>
      </c>
      <c r="AB224" s="4">
        <v>1</v>
      </c>
      <c r="AC224" s="4">
        <v>3</v>
      </c>
      <c r="AD224" s="4">
        <v>0</v>
      </c>
      <c r="AE224" s="4">
        <v>9</v>
      </c>
      <c r="AF224" s="4">
        <v>0</v>
      </c>
      <c r="AG224" s="4">
        <v>3</v>
      </c>
      <c r="AH224" s="4">
        <v>0</v>
      </c>
      <c r="AI224" s="4">
        <v>3</v>
      </c>
      <c r="AJ224" s="4">
        <v>0</v>
      </c>
      <c r="AK224" s="4">
        <v>2</v>
      </c>
      <c r="AL224" s="4">
        <v>0</v>
      </c>
      <c r="AM224" s="4">
        <v>2</v>
      </c>
      <c r="AN224" s="4">
        <v>0</v>
      </c>
      <c r="AO224" s="4">
        <v>0</v>
      </c>
      <c r="AP224" s="3" t="s">
        <v>58</v>
      </c>
      <c r="AQ224" s="3" t="s">
        <v>58</v>
      </c>
      <c r="AS224" s="6" t="str">
        <f>HYPERLINK("https://creighton-primo.hosted.exlibrisgroup.com/primo-explore/search?tab=default_tab&amp;search_scope=EVERYTHING&amp;vid=01CRU&amp;lang=en_US&amp;offset=0&amp;query=any,contains,991001048199702656","Catalog Record")</f>
        <v>Catalog Record</v>
      </c>
      <c r="AT224" s="6" t="str">
        <f>HYPERLINK("http://www.worldcat.org/oclc/15630563","WorldCat Record")</f>
        <v>WorldCat Record</v>
      </c>
      <c r="AU224" s="3" t="s">
        <v>3082</v>
      </c>
      <c r="AV224" s="3" t="s">
        <v>3083</v>
      </c>
      <c r="AW224" s="3" t="s">
        <v>3084</v>
      </c>
      <c r="AX224" s="3" t="s">
        <v>3084</v>
      </c>
      <c r="AY224" s="3" t="s">
        <v>3085</v>
      </c>
      <c r="AZ224" s="3" t="s">
        <v>73</v>
      </c>
      <c r="BB224" s="3" t="s">
        <v>3086</v>
      </c>
      <c r="BC224" s="3" t="s">
        <v>3087</v>
      </c>
      <c r="BD224" s="3" t="s">
        <v>3088</v>
      </c>
    </row>
    <row r="225" spans="1:56" ht="41.25" customHeight="1" x14ac:dyDescent="0.25">
      <c r="A225" s="7" t="s">
        <v>58</v>
      </c>
      <c r="B225" s="2" t="s">
        <v>3089</v>
      </c>
      <c r="C225" s="2" t="s">
        <v>3090</v>
      </c>
      <c r="D225" s="2" t="s">
        <v>3091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3092</v>
      </c>
      <c r="L225" s="2" t="s">
        <v>3093</v>
      </c>
      <c r="M225" s="3" t="s">
        <v>262</v>
      </c>
      <c r="N225" s="2" t="s">
        <v>528</v>
      </c>
      <c r="O225" s="3" t="s">
        <v>64</v>
      </c>
      <c r="P225" s="3" t="s">
        <v>65</v>
      </c>
      <c r="R225" s="3" t="s">
        <v>2200</v>
      </c>
      <c r="S225" s="4">
        <v>16</v>
      </c>
      <c r="T225" s="4">
        <v>16</v>
      </c>
      <c r="U225" s="5" t="s">
        <v>3094</v>
      </c>
      <c r="V225" s="5" t="s">
        <v>3094</v>
      </c>
      <c r="W225" s="5" t="s">
        <v>3095</v>
      </c>
      <c r="X225" s="5" t="s">
        <v>3095</v>
      </c>
      <c r="Y225" s="4">
        <v>930</v>
      </c>
      <c r="Z225" s="4">
        <v>901</v>
      </c>
      <c r="AA225" s="4">
        <v>1024</v>
      </c>
      <c r="AB225" s="4">
        <v>5</v>
      </c>
      <c r="AC225" s="4">
        <v>5</v>
      </c>
      <c r="AD225" s="4">
        <v>2</v>
      </c>
      <c r="AE225" s="4">
        <v>3</v>
      </c>
      <c r="AF225" s="4">
        <v>0</v>
      </c>
      <c r="AG225" s="4">
        <v>0</v>
      </c>
      <c r="AH225" s="4">
        <v>0</v>
      </c>
      <c r="AI225" s="4">
        <v>0</v>
      </c>
      <c r="AJ225" s="4">
        <v>1</v>
      </c>
      <c r="AK225" s="4">
        <v>2</v>
      </c>
      <c r="AL225" s="4">
        <v>1</v>
      </c>
      <c r="AM225" s="4">
        <v>1</v>
      </c>
      <c r="AN225" s="4">
        <v>0</v>
      </c>
      <c r="AO225" s="4">
        <v>0</v>
      </c>
      <c r="AP225" s="3" t="s">
        <v>58</v>
      </c>
      <c r="AQ225" s="3" t="s">
        <v>58</v>
      </c>
      <c r="AS225" s="6" t="str">
        <f>HYPERLINK("https://creighton-primo.hosted.exlibrisgroup.com/primo-explore/search?tab=default_tab&amp;search_scope=EVERYTHING&amp;vid=01CRU&amp;lang=en_US&amp;offset=0&amp;query=any,contains,991003720979702656","Catalog Record")</f>
        <v>Catalog Record</v>
      </c>
      <c r="AT225" s="6" t="str">
        <f>HYPERLINK("http://www.worldcat.org/oclc/1366101","WorldCat Record")</f>
        <v>WorldCat Record</v>
      </c>
      <c r="AU225" s="3" t="s">
        <v>3096</v>
      </c>
      <c r="AV225" s="3" t="s">
        <v>3097</v>
      </c>
      <c r="AW225" s="3" t="s">
        <v>3098</v>
      </c>
      <c r="AX225" s="3" t="s">
        <v>3098</v>
      </c>
      <c r="AY225" s="3" t="s">
        <v>3099</v>
      </c>
      <c r="AZ225" s="3" t="s">
        <v>73</v>
      </c>
      <c r="BB225" s="3" t="s">
        <v>3100</v>
      </c>
      <c r="BC225" s="3" t="s">
        <v>3101</v>
      </c>
      <c r="BD225" s="3" t="s">
        <v>3102</v>
      </c>
    </row>
    <row r="226" spans="1:56" ht="41.25" customHeight="1" x14ac:dyDescent="0.25">
      <c r="A226" s="7" t="s">
        <v>58</v>
      </c>
      <c r="B226" s="2" t="s">
        <v>3103</v>
      </c>
      <c r="C226" s="2" t="s">
        <v>3104</v>
      </c>
      <c r="D226" s="2" t="s">
        <v>3105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3106</v>
      </c>
      <c r="L226" s="2" t="s">
        <v>3107</v>
      </c>
      <c r="M226" s="3" t="s">
        <v>452</v>
      </c>
      <c r="N226" s="2" t="s">
        <v>3108</v>
      </c>
      <c r="O226" s="3" t="s">
        <v>64</v>
      </c>
      <c r="P226" s="3" t="s">
        <v>373</v>
      </c>
      <c r="R226" s="3" t="s">
        <v>2200</v>
      </c>
      <c r="S226" s="4">
        <v>8</v>
      </c>
      <c r="T226" s="4">
        <v>8</v>
      </c>
      <c r="U226" s="5" t="s">
        <v>3109</v>
      </c>
      <c r="V226" s="5" t="s">
        <v>3109</v>
      </c>
      <c r="W226" s="5" t="s">
        <v>799</v>
      </c>
      <c r="X226" s="5" t="s">
        <v>799</v>
      </c>
      <c r="Y226" s="4">
        <v>106</v>
      </c>
      <c r="Z226" s="4">
        <v>104</v>
      </c>
      <c r="AA226" s="4">
        <v>111</v>
      </c>
      <c r="AB226" s="4">
        <v>1</v>
      </c>
      <c r="AC226" s="4">
        <v>1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3" t="s">
        <v>58</v>
      </c>
      <c r="AQ226" s="3" t="s">
        <v>85</v>
      </c>
      <c r="AR226" s="6" t="str">
        <f>HYPERLINK("http://catalog.hathitrust.org/Record/010746714","HathiTrust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HYPERLINK("https://creighton-primo.hosted.exlibrisgroup.com/primo-explore/search?tab=default_tab&amp;search_scope=EVERYTHING&amp;vid=01CRU&amp;lang=en_US&amp;offset=0&amp;query=any,contains,991003362239702656","Catalog Record")</f>
        <v>Catalog Record</v>
      </c>
      <c r="AT226" s="6" t="str">
        <f>HYPERLINK("http://www.worldcat.org/oclc/898029","WorldCat Record")</f>
        <v>WorldCat Record</v>
      </c>
      <c r="AU226" s="3" t="s">
        <v>3110</v>
      </c>
      <c r="AV226" s="3" t="s">
        <v>3111</v>
      </c>
      <c r="AW226" s="3" t="s">
        <v>3112</v>
      </c>
      <c r="AX226" s="3" t="s">
        <v>3112</v>
      </c>
      <c r="AY226" s="3" t="s">
        <v>3113</v>
      </c>
      <c r="AZ226" s="3" t="s">
        <v>73</v>
      </c>
      <c r="BB226" s="3" t="s">
        <v>3114</v>
      </c>
      <c r="BC226" s="3" t="s">
        <v>3115</v>
      </c>
      <c r="BD226" s="3" t="s">
        <v>3116</v>
      </c>
    </row>
    <row r="227" spans="1:56" ht="41.25" customHeight="1" x14ac:dyDescent="0.25">
      <c r="A227" s="7" t="s">
        <v>58</v>
      </c>
      <c r="B227" s="2" t="s">
        <v>3117</v>
      </c>
      <c r="C227" s="2" t="s">
        <v>3118</v>
      </c>
      <c r="D227" s="2" t="s">
        <v>3119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3120</v>
      </c>
      <c r="L227" s="2" t="s">
        <v>3121</v>
      </c>
      <c r="M227" s="3" t="s">
        <v>81</v>
      </c>
      <c r="O227" s="3" t="s">
        <v>64</v>
      </c>
      <c r="P227" s="3" t="s">
        <v>65</v>
      </c>
      <c r="R227" s="3" t="s">
        <v>2200</v>
      </c>
      <c r="S227" s="4">
        <v>1</v>
      </c>
      <c r="T227" s="4">
        <v>1</v>
      </c>
      <c r="U227" s="5" t="s">
        <v>3122</v>
      </c>
      <c r="V227" s="5" t="s">
        <v>3122</v>
      </c>
      <c r="W227" s="5" t="s">
        <v>2991</v>
      </c>
      <c r="X227" s="5" t="s">
        <v>2991</v>
      </c>
      <c r="Y227" s="4">
        <v>67</v>
      </c>
      <c r="Z227" s="4">
        <v>66</v>
      </c>
      <c r="AA227" s="4">
        <v>271</v>
      </c>
      <c r="AB227" s="4">
        <v>1</v>
      </c>
      <c r="AC227" s="4">
        <v>2</v>
      </c>
      <c r="AD227" s="4">
        <v>0</v>
      </c>
      <c r="AE227" s="4">
        <v>2</v>
      </c>
      <c r="AF227" s="4">
        <v>0</v>
      </c>
      <c r="AG227" s="4">
        <v>0</v>
      </c>
      <c r="AH227" s="4">
        <v>0</v>
      </c>
      <c r="AI227" s="4">
        <v>1</v>
      </c>
      <c r="AJ227" s="4">
        <v>0</v>
      </c>
      <c r="AK227" s="4">
        <v>0</v>
      </c>
      <c r="AL227" s="4">
        <v>0</v>
      </c>
      <c r="AM227" s="4">
        <v>1</v>
      </c>
      <c r="AN227" s="4">
        <v>0</v>
      </c>
      <c r="AO227" s="4">
        <v>0</v>
      </c>
      <c r="AP227" s="3" t="s">
        <v>58</v>
      </c>
      <c r="AQ227" s="3" t="s">
        <v>58</v>
      </c>
      <c r="AS227" s="6" t="str">
        <f>HYPERLINK("https://creighton-primo.hosted.exlibrisgroup.com/primo-explore/search?tab=default_tab&amp;search_scope=EVERYTHING&amp;vid=01CRU&amp;lang=en_US&amp;offset=0&amp;query=any,contains,991004321589702656","Catalog Record")</f>
        <v>Catalog Record</v>
      </c>
      <c r="AT227" s="6" t="str">
        <f>HYPERLINK("http://www.worldcat.org/oclc/3018181","WorldCat Record")</f>
        <v>WorldCat Record</v>
      </c>
      <c r="AU227" s="3" t="s">
        <v>3123</v>
      </c>
      <c r="AV227" s="3" t="s">
        <v>3124</v>
      </c>
      <c r="AW227" s="3" t="s">
        <v>3125</v>
      </c>
      <c r="AX227" s="3" t="s">
        <v>3125</v>
      </c>
      <c r="AY227" s="3" t="s">
        <v>3126</v>
      </c>
      <c r="AZ227" s="3" t="s">
        <v>73</v>
      </c>
      <c r="BB227" s="3" t="s">
        <v>3127</v>
      </c>
      <c r="BC227" s="3" t="s">
        <v>3128</v>
      </c>
      <c r="BD227" s="3" t="s">
        <v>3129</v>
      </c>
    </row>
    <row r="228" spans="1:56" ht="41.25" customHeight="1" x14ac:dyDescent="0.25">
      <c r="A228" s="7" t="s">
        <v>58</v>
      </c>
      <c r="B228" s="2" t="s">
        <v>3130</v>
      </c>
      <c r="C228" s="2" t="s">
        <v>3131</v>
      </c>
      <c r="D228" s="2" t="s">
        <v>3132</v>
      </c>
      <c r="F228" s="3" t="s">
        <v>58</v>
      </c>
      <c r="G228" s="3" t="s">
        <v>59</v>
      </c>
      <c r="H228" s="3" t="s">
        <v>85</v>
      </c>
      <c r="I228" s="3" t="s">
        <v>58</v>
      </c>
      <c r="J228" s="3" t="s">
        <v>60</v>
      </c>
      <c r="K228" s="2" t="s">
        <v>3133</v>
      </c>
      <c r="L228" s="2" t="s">
        <v>3134</v>
      </c>
      <c r="M228" s="3" t="s">
        <v>1172</v>
      </c>
      <c r="O228" s="3" t="s">
        <v>64</v>
      </c>
      <c r="P228" s="3" t="s">
        <v>65</v>
      </c>
      <c r="Q228" s="2" t="s">
        <v>2869</v>
      </c>
      <c r="R228" s="3" t="s">
        <v>2200</v>
      </c>
      <c r="S228" s="4">
        <v>16</v>
      </c>
      <c r="T228" s="4">
        <v>28</v>
      </c>
      <c r="U228" s="5" t="s">
        <v>3135</v>
      </c>
      <c r="V228" s="5" t="s">
        <v>3135</v>
      </c>
      <c r="W228" s="5" t="s">
        <v>3136</v>
      </c>
      <c r="X228" s="5" t="s">
        <v>3136</v>
      </c>
      <c r="Y228" s="4">
        <v>1018</v>
      </c>
      <c r="Z228" s="4">
        <v>956</v>
      </c>
      <c r="AA228" s="4">
        <v>1138</v>
      </c>
      <c r="AB228" s="4">
        <v>10</v>
      </c>
      <c r="AC228" s="4">
        <v>10</v>
      </c>
      <c r="AD228" s="4">
        <v>10</v>
      </c>
      <c r="AE228" s="4">
        <v>10</v>
      </c>
      <c r="AF228" s="4">
        <v>4</v>
      </c>
      <c r="AG228" s="4">
        <v>4</v>
      </c>
      <c r="AH228" s="4">
        <v>0</v>
      </c>
      <c r="AI228" s="4">
        <v>0</v>
      </c>
      <c r="AJ228" s="4">
        <v>2</v>
      </c>
      <c r="AK228" s="4">
        <v>2</v>
      </c>
      <c r="AL228" s="4">
        <v>4</v>
      </c>
      <c r="AM228" s="4">
        <v>4</v>
      </c>
      <c r="AN228" s="4">
        <v>0</v>
      </c>
      <c r="AO228" s="4">
        <v>0</v>
      </c>
      <c r="AP228" s="3" t="s">
        <v>58</v>
      </c>
      <c r="AQ228" s="3" t="s">
        <v>58</v>
      </c>
      <c r="AS228" s="6" t="str">
        <f>HYPERLINK("https://creighton-primo.hosted.exlibrisgroup.com/primo-explore/search?tab=default_tab&amp;search_scope=EVERYTHING&amp;vid=01CRU&amp;lang=en_US&amp;offset=0&amp;query=any,contains,991001560609702656","Catalog Record")</f>
        <v>Catalog Record</v>
      </c>
      <c r="AT228" s="6" t="str">
        <f>HYPERLINK("http://www.worldcat.org/oclc/232680","WorldCat Record")</f>
        <v>WorldCat Record</v>
      </c>
      <c r="AU228" s="3" t="s">
        <v>3137</v>
      </c>
      <c r="AV228" s="3" t="s">
        <v>3138</v>
      </c>
      <c r="AW228" s="3" t="s">
        <v>3139</v>
      </c>
      <c r="AX228" s="3" t="s">
        <v>3139</v>
      </c>
      <c r="AY228" s="3" t="s">
        <v>3140</v>
      </c>
      <c r="AZ228" s="3" t="s">
        <v>73</v>
      </c>
      <c r="BC228" s="3" t="s">
        <v>3141</v>
      </c>
      <c r="BD228" s="3" t="s">
        <v>3142</v>
      </c>
    </row>
    <row r="229" spans="1:56" ht="41.25" customHeight="1" x14ac:dyDescent="0.25">
      <c r="A229" s="7" t="s">
        <v>58</v>
      </c>
      <c r="B229" s="2" t="s">
        <v>3130</v>
      </c>
      <c r="C229" s="2" t="s">
        <v>3131</v>
      </c>
      <c r="D229" s="2" t="s">
        <v>3132</v>
      </c>
      <c r="F229" s="3" t="s">
        <v>58</v>
      </c>
      <c r="G229" s="3" t="s">
        <v>59</v>
      </c>
      <c r="H229" s="3" t="s">
        <v>85</v>
      </c>
      <c r="I229" s="3" t="s">
        <v>58</v>
      </c>
      <c r="J229" s="3" t="s">
        <v>60</v>
      </c>
      <c r="K229" s="2" t="s">
        <v>3133</v>
      </c>
      <c r="L229" s="2" t="s">
        <v>3134</v>
      </c>
      <c r="M229" s="3" t="s">
        <v>1172</v>
      </c>
      <c r="O229" s="3" t="s">
        <v>64</v>
      </c>
      <c r="P229" s="3" t="s">
        <v>65</v>
      </c>
      <c r="Q229" s="2" t="s">
        <v>2869</v>
      </c>
      <c r="R229" s="3" t="s">
        <v>2200</v>
      </c>
      <c r="S229" s="4">
        <v>12</v>
      </c>
      <c r="T229" s="4">
        <v>28</v>
      </c>
      <c r="U229" s="5" t="s">
        <v>3143</v>
      </c>
      <c r="V229" s="5" t="s">
        <v>3135</v>
      </c>
      <c r="W229" s="5" t="s">
        <v>3144</v>
      </c>
      <c r="X229" s="5" t="s">
        <v>3136</v>
      </c>
      <c r="Y229" s="4">
        <v>1018</v>
      </c>
      <c r="Z229" s="4">
        <v>956</v>
      </c>
      <c r="AA229" s="4">
        <v>1138</v>
      </c>
      <c r="AB229" s="4">
        <v>10</v>
      </c>
      <c r="AC229" s="4">
        <v>10</v>
      </c>
      <c r="AD229" s="4">
        <v>10</v>
      </c>
      <c r="AE229" s="4">
        <v>10</v>
      </c>
      <c r="AF229" s="4">
        <v>4</v>
      </c>
      <c r="AG229" s="4">
        <v>4</v>
      </c>
      <c r="AH229" s="4">
        <v>0</v>
      </c>
      <c r="AI229" s="4">
        <v>0</v>
      </c>
      <c r="AJ229" s="4">
        <v>2</v>
      </c>
      <c r="AK229" s="4">
        <v>2</v>
      </c>
      <c r="AL229" s="4">
        <v>4</v>
      </c>
      <c r="AM229" s="4">
        <v>4</v>
      </c>
      <c r="AN229" s="4">
        <v>0</v>
      </c>
      <c r="AO229" s="4">
        <v>0</v>
      </c>
      <c r="AP229" s="3" t="s">
        <v>58</v>
      </c>
      <c r="AQ229" s="3" t="s">
        <v>58</v>
      </c>
      <c r="AS229" s="6" t="str">
        <f>HYPERLINK("https://creighton-primo.hosted.exlibrisgroup.com/primo-explore/search?tab=default_tab&amp;search_scope=EVERYTHING&amp;vid=01CRU&amp;lang=en_US&amp;offset=0&amp;query=any,contains,991001560609702656","Catalog Record")</f>
        <v>Catalog Record</v>
      </c>
      <c r="AT229" s="6" t="str">
        <f>HYPERLINK("http://www.worldcat.org/oclc/232680","WorldCat Record")</f>
        <v>WorldCat Record</v>
      </c>
      <c r="AU229" s="3" t="s">
        <v>3137</v>
      </c>
      <c r="AV229" s="3" t="s">
        <v>3138</v>
      </c>
      <c r="AW229" s="3" t="s">
        <v>3139</v>
      </c>
      <c r="AX229" s="3" t="s">
        <v>3139</v>
      </c>
      <c r="AY229" s="3" t="s">
        <v>3140</v>
      </c>
      <c r="AZ229" s="3" t="s">
        <v>73</v>
      </c>
      <c r="BC229" s="3" t="s">
        <v>3145</v>
      </c>
      <c r="BD229" s="3" t="s">
        <v>3146</v>
      </c>
    </row>
    <row r="230" spans="1:56" ht="41.25" customHeight="1" x14ac:dyDescent="0.25">
      <c r="A230" s="7" t="s">
        <v>58</v>
      </c>
      <c r="B230" s="2" t="s">
        <v>3147</v>
      </c>
      <c r="C230" s="2" t="s">
        <v>3148</v>
      </c>
      <c r="D230" s="2" t="s">
        <v>3149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L230" s="2" t="s">
        <v>3150</v>
      </c>
      <c r="M230" s="3" t="s">
        <v>98</v>
      </c>
      <c r="O230" s="3" t="s">
        <v>64</v>
      </c>
      <c r="P230" s="3" t="s">
        <v>388</v>
      </c>
      <c r="R230" s="3" t="s">
        <v>2200</v>
      </c>
      <c r="S230" s="4">
        <v>3</v>
      </c>
      <c r="T230" s="4">
        <v>3</v>
      </c>
      <c r="U230" s="5" t="s">
        <v>3151</v>
      </c>
      <c r="V230" s="5" t="s">
        <v>3151</v>
      </c>
      <c r="W230" s="5" t="s">
        <v>2339</v>
      </c>
      <c r="X230" s="5" t="s">
        <v>2339</v>
      </c>
      <c r="Y230" s="4">
        <v>150</v>
      </c>
      <c r="Z230" s="4">
        <v>148</v>
      </c>
      <c r="AA230" s="4">
        <v>148</v>
      </c>
      <c r="AB230" s="4">
        <v>4</v>
      </c>
      <c r="AC230" s="4">
        <v>4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4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3" t="s">
        <v>58</v>
      </c>
      <c r="AQ230" s="3" t="s">
        <v>58</v>
      </c>
      <c r="AS230" s="6" t="str">
        <f>HYPERLINK("https://creighton-primo.hosted.exlibrisgroup.com/primo-explore/search?tab=default_tab&amp;search_scope=EVERYTHING&amp;vid=01CRU&amp;lang=en_US&amp;offset=0&amp;query=any,contains,991001500919702656","Catalog Record")</f>
        <v>Catalog Record</v>
      </c>
      <c r="AT230" s="6" t="str">
        <f>HYPERLINK("http://www.worldcat.org/oclc/19793525","WorldCat Record")</f>
        <v>WorldCat Record</v>
      </c>
      <c r="AU230" s="3" t="s">
        <v>3152</v>
      </c>
      <c r="AV230" s="3" t="s">
        <v>3153</v>
      </c>
      <c r="AW230" s="3" t="s">
        <v>3154</v>
      </c>
      <c r="AX230" s="3" t="s">
        <v>3154</v>
      </c>
      <c r="AY230" s="3" t="s">
        <v>3155</v>
      </c>
      <c r="AZ230" s="3" t="s">
        <v>73</v>
      </c>
      <c r="BC230" s="3" t="s">
        <v>3156</v>
      </c>
      <c r="BD230" s="3" t="s">
        <v>3157</v>
      </c>
    </row>
    <row r="231" spans="1:56" ht="41.25" customHeight="1" x14ac:dyDescent="0.25">
      <c r="A231" s="7" t="s">
        <v>58</v>
      </c>
      <c r="B231" s="2" t="s">
        <v>3158</v>
      </c>
      <c r="C231" s="2" t="s">
        <v>3159</v>
      </c>
      <c r="D231" s="2" t="s">
        <v>3160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K231" s="2" t="s">
        <v>3161</v>
      </c>
      <c r="L231" s="2" t="s">
        <v>3162</v>
      </c>
      <c r="M231" s="3" t="s">
        <v>2322</v>
      </c>
      <c r="O231" s="3" t="s">
        <v>2323</v>
      </c>
      <c r="P231" s="3" t="s">
        <v>2324</v>
      </c>
      <c r="R231" s="3" t="s">
        <v>2200</v>
      </c>
      <c r="S231" s="4">
        <v>1</v>
      </c>
      <c r="T231" s="4">
        <v>1</v>
      </c>
      <c r="U231" s="5" t="s">
        <v>3163</v>
      </c>
      <c r="V231" s="5" t="s">
        <v>3163</v>
      </c>
      <c r="W231" s="5" t="s">
        <v>3164</v>
      </c>
      <c r="X231" s="5" t="s">
        <v>3164</v>
      </c>
      <c r="Y231" s="4">
        <v>51</v>
      </c>
      <c r="Z231" s="4">
        <v>37</v>
      </c>
      <c r="AA231" s="4">
        <v>38</v>
      </c>
      <c r="AB231" s="4">
        <v>2</v>
      </c>
      <c r="AC231" s="4">
        <v>2</v>
      </c>
      <c r="AD231" s="4">
        <v>3</v>
      </c>
      <c r="AE231" s="4">
        <v>3</v>
      </c>
      <c r="AF231" s="4">
        <v>1</v>
      </c>
      <c r="AG231" s="4">
        <v>1</v>
      </c>
      <c r="AH231" s="4">
        <v>1</v>
      </c>
      <c r="AI231" s="4">
        <v>1</v>
      </c>
      <c r="AJ231" s="4">
        <v>1</v>
      </c>
      <c r="AK231" s="4">
        <v>1</v>
      </c>
      <c r="AL231" s="4">
        <v>1</v>
      </c>
      <c r="AM231" s="4">
        <v>1</v>
      </c>
      <c r="AN231" s="4">
        <v>0</v>
      </c>
      <c r="AO231" s="4">
        <v>0</v>
      </c>
      <c r="AP231" s="3" t="s">
        <v>58</v>
      </c>
      <c r="AQ231" s="3" t="s">
        <v>58</v>
      </c>
      <c r="AS231" s="6" t="str">
        <f>HYPERLINK("https://creighton-primo.hosted.exlibrisgroup.com/primo-explore/search?tab=default_tab&amp;search_scope=EVERYTHING&amp;vid=01CRU&amp;lang=en_US&amp;offset=0&amp;query=any,contains,991002869939702656","Catalog Record")</f>
        <v>Catalog Record</v>
      </c>
      <c r="AT231" s="6" t="str">
        <f>HYPERLINK("http://www.worldcat.org/oclc/40452925","WorldCat Record")</f>
        <v>WorldCat Record</v>
      </c>
      <c r="AU231" s="3" t="s">
        <v>3165</v>
      </c>
      <c r="AV231" s="3" t="s">
        <v>3166</v>
      </c>
      <c r="AW231" s="3" t="s">
        <v>3167</v>
      </c>
      <c r="AX231" s="3" t="s">
        <v>3167</v>
      </c>
      <c r="AY231" s="3" t="s">
        <v>3168</v>
      </c>
      <c r="AZ231" s="3" t="s">
        <v>73</v>
      </c>
      <c r="BB231" s="3" t="s">
        <v>3169</v>
      </c>
      <c r="BC231" s="3" t="s">
        <v>3170</v>
      </c>
      <c r="BD231" s="3" t="s">
        <v>3171</v>
      </c>
    </row>
    <row r="232" spans="1:56" ht="41.25" customHeight="1" x14ac:dyDescent="0.25">
      <c r="A232" s="7" t="s">
        <v>58</v>
      </c>
      <c r="B232" s="2" t="s">
        <v>3172</v>
      </c>
      <c r="C232" s="2" t="s">
        <v>3173</v>
      </c>
      <c r="D232" s="2" t="s">
        <v>3174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K232" s="2" t="s">
        <v>3175</v>
      </c>
      <c r="L232" s="2" t="s">
        <v>3176</v>
      </c>
      <c r="M232" s="3" t="s">
        <v>685</v>
      </c>
      <c r="O232" s="3" t="s">
        <v>64</v>
      </c>
      <c r="P232" s="3" t="s">
        <v>3177</v>
      </c>
      <c r="Q232" s="2" t="s">
        <v>3178</v>
      </c>
      <c r="R232" s="3" t="s">
        <v>2200</v>
      </c>
      <c r="S232" s="4">
        <v>4</v>
      </c>
      <c r="T232" s="4">
        <v>4</v>
      </c>
      <c r="U232" s="5" t="s">
        <v>3179</v>
      </c>
      <c r="V232" s="5" t="s">
        <v>3179</v>
      </c>
      <c r="W232" s="5" t="s">
        <v>3180</v>
      </c>
      <c r="X232" s="5" t="s">
        <v>3180</v>
      </c>
      <c r="Y232" s="4">
        <v>134</v>
      </c>
      <c r="Z232" s="4">
        <v>128</v>
      </c>
      <c r="AA232" s="4">
        <v>130</v>
      </c>
      <c r="AB232" s="4">
        <v>1</v>
      </c>
      <c r="AC232" s="4">
        <v>1</v>
      </c>
      <c r="AD232" s="4">
        <v>1</v>
      </c>
      <c r="AE232" s="4">
        <v>1</v>
      </c>
      <c r="AF232" s="4">
        <v>0</v>
      </c>
      <c r="AG232" s="4">
        <v>0</v>
      </c>
      <c r="AH232" s="4">
        <v>0</v>
      </c>
      <c r="AI232" s="4">
        <v>0</v>
      </c>
      <c r="AJ232" s="4">
        <v>1</v>
      </c>
      <c r="AK232" s="4">
        <v>1</v>
      </c>
      <c r="AL232" s="4">
        <v>0</v>
      </c>
      <c r="AM232" s="4">
        <v>0</v>
      </c>
      <c r="AN232" s="4">
        <v>0</v>
      </c>
      <c r="AO232" s="4">
        <v>0</v>
      </c>
      <c r="AP232" s="3" t="s">
        <v>58</v>
      </c>
      <c r="AQ232" s="3" t="s">
        <v>58</v>
      </c>
      <c r="AS232" s="6" t="str">
        <f>HYPERLINK("https://creighton-primo.hosted.exlibrisgroup.com/primo-explore/search?tab=default_tab&amp;search_scope=EVERYTHING&amp;vid=01CRU&amp;lang=en_US&amp;offset=0&amp;query=any,contains,991003755869702656","Catalog Record")</f>
        <v>Catalog Record</v>
      </c>
      <c r="AT232" s="6" t="str">
        <f>HYPERLINK("http://www.worldcat.org/oclc/1436285","WorldCat Record")</f>
        <v>WorldCat Record</v>
      </c>
      <c r="AU232" s="3" t="s">
        <v>3181</v>
      </c>
      <c r="AV232" s="3" t="s">
        <v>3182</v>
      </c>
      <c r="AW232" s="3" t="s">
        <v>3183</v>
      </c>
      <c r="AX232" s="3" t="s">
        <v>3183</v>
      </c>
      <c r="AY232" s="3" t="s">
        <v>3184</v>
      </c>
      <c r="AZ232" s="3" t="s">
        <v>73</v>
      </c>
      <c r="BC232" s="3" t="s">
        <v>3185</v>
      </c>
      <c r="BD232" s="3" t="s">
        <v>3186</v>
      </c>
    </row>
    <row r="233" spans="1:56" ht="41.25" customHeight="1" x14ac:dyDescent="0.25">
      <c r="A233" s="7" t="s">
        <v>58</v>
      </c>
      <c r="B233" s="2" t="s">
        <v>3187</v>
      </c>
      <c r="C233" s="2" t="s">
        <v>3188</v>
      </c>
      <c r="D233" s="2" t="s">
        <v>3189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K233" s="2" t="s">
        <v>3190</v>
      </c>
      <c r="L233" s="2" t="s">
        <v>3041</v>
      </c>
      <c r="M233" s="3" t="s">
        <v>176</v>
      </c>
      <c r="O233" s="3" t="s">
        <v>64</v>
      </c>
      <c r="P233" s="3" t="s">
        <v>65</v>
      </c>
      <c r="Q233" s="2" t="s">
        <v>2869</v>
      </c>
      <c r="R233" s="3" t="s">
        <v>2200</v>
      </c>
      <c r="S233" s="4">
        <v>3</v>
      </c>
      <c r="T233" s="4">
        <v>3</v>
      </c>
      <c r="U233" s="5" t="s">
        <v>3191</v>
      </c>
      <c r="V233" s="5" t="s">
        <v>3191</v>
      </c>
      <c r="W233" s="5" t="s">
        <v>799</v>
      </c>
      <c r="X233" s="5" t="s">
        <v>799</v>
      </c>
      <c r="Y233" s="4">
        <v>838</v>
      </c>
      <c r="Z233" s="4">
        <v>804</v>
      </c>
      <c r="AA233" s="4">
        <v>956</v>
      </c>
      <c r="AB233" s="4">
        <v>7</v>
      </c>
      <c r="AC233" s="4">
        <v>8</v>
      </c>
      <c r="AD233" s="4">
        <v>6</v>
      </c>
      <c r="AE233" s="4">
        <v>12</v>
      </c>
      <c r="AF233" s="4">
        <v>1</v>
      </c>
      <c r="AG233" s="4">
        <v>4</v>
      </c>
      <c r="AH233" s="4">
        <v>0</v>
      </c>
      <c r="AI233" s="4">
        <v>1</v>
      </c>
      <c r="AJ233" s="4">
        <v>2</v>
      </c>
      <c r="AK233" s="4">
        <v>3</v>
      </c>
      <c r="AL233" s="4">
        <v>3</v>
      </c>
      <c r="AM233" s="4">
        <v>4</v>
      </c>
      <c r="AN233" s="4">
        <v>0</v>
      </c>
      <c r="AO233" s="4">
        <v>0</v>
      </c>
      <c r="AP233" s="3" t="s">
        <v>58</v>
      </c>
      <c r="AQ233" s="3" t="s">
        <v>85</v>
      </c>
      <c r="AR233" s="6" t="str">
        <f>HYPERLINK("http://catalog.hathitrust.org/Record/007471721","HathiTrust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HYPERLINK("https://creighton-primo.hosted.exlibrisgroup.com/primo-explore/search?tab=default_tab&amp;search_scope=EVERYTHING&amp;vid=01CRU&amp;lang=en_US&amp;offset=0&amp;query=any,contains,991000519999702656","Catalog Record")</f>
        <v>Catalog Record</v>
      </c>
      <c r="AT233" s="6" t="str">
        <f>HYPERLINK("http://www.worldcat.org/oclc/87633","WorldCat Record")</f>
        <v>WorldCat Record</v>
      </c>
      <c r="AU233" s="3" t="s">
        <v>3192</v>
      </c>
      <c r="AV233" s="3" t="s">
        <v>3193</v>
      </c>
      <c r="AW233" s="3" t="s">
        <v>3194</v>
      </c>
      <c r="AX233" s="3" t="s">
        <v>3194</v>
      </c>
      <c r="AY233" s="3" t="s">
        <v>3195</v>
      </c>
      <c r="AZ233" s="3" t="s">
        <v>73</v>
      </c>
      <c r="BC233" s="3" t="s">
        <v>3196</v>
      </c>
      <c r="BD233" s="3" t="s">
        <v>3197</v>
      </c>
    </row>
    <row r="234" spans="1:56" ht="41.25" customHeight="1" x14ac:dyDescent="0.25">
      <c r="A234" s="7" t="s">
        <v>58</v>
      </c>
      <c r="B234" s="2" t="s">
        <v>3198</v>
      </c>
      <c r="C234" s="2" t="s">
        <v>3199</v>
      </c>
      <c r="D234" s="2" t="s">
        <v>3200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K234" s="2" t="s">
        <v>3201</v>
      </c>
      <c r="L234" s="2" t="s">
        <v>3134</v>
      </c>
      <c r="M234" s="3" t="s">
        <v>1172</v>
      </c>
      <c r="O234" s="3" t="s">
        <v>64</v>
      </c>
      <c r="P234" s="3" t="s">
        <v>65</v>
      </c>
      <c r="Q234" s="2" t="s">
        <v>2869</v>
      </c>
      <c r="R234" s="3" t="s">
        <v>2200</v>
      </c>
      <c r="S234" s="4">
        <v>12</v>
      </c>
      <c r="T234" s="4">
        <v>12</v>
      </c>
      <c r="U234" s="5" t="s">
        <v>3202</v>
      </c>
      <c r="V234" s="5" t="s">
        <v>3202</v>
      </c>
      <c r="W234" s="5" t="s">
        <v>3203</v>
      </c>
      <c r="X234" s="5" t="s">
        <v>3203</v>
      </c>
      <c r="Y234" s="4">
        <v>1007</v>
      </c>
      <c r="Z234" s="4">
        <v>963</v>
      </c>
      <c r="AA234" s="4">
        <v>1147</v>
      </c>
      <c r="AB234" s="4">
        <v>10</v>
      </c>
      <c r="AC234" s="4">
        <v>10</v>
      </c>
      <c r="AD234" s="4">
        <v>16</v>
      </c>
      <c r="AE234" s="4">
        <v>18</v>
      </c>
      <c r="AF234" s="4">
        <v>6</v>
      </c>
      <c r="AG234" s="4">
        <v>7</v>
      </c>
      <c r="AH234" s="4">
        <v>0</v>
      </c>
      <c r="AI234" s="4">
        <v>0</v>
      </c>
      <c r="AJ234" s="4">
        <v>7</v>
      </c>
      <c r="AK234" s="4">
        <v>8</v>
      </c>
      <c r="AL234" s="4">
        <v>5</v>
      </c>
      <c r="AM234" s="4">
        <v>5</v>
      </c>
      <c r="AN234" s="4">
        <v>0</v>
      </c>
      <c r="AO234" s="4">
        <v>0</v>
      </c>
      <c r="AP234" s="3" t="s">
        <v>58</v>
      </c>
      <c r="AQ234" s="3" t="s">
        <v>85</v>
      </c>
      <c r="AR234" s="6" t="str">
        <f>HYPERLINK("http://catalog.hathitrust.org/Record/009158813","HathiTrust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HYPERLINK("https://creighton-primo.hosted.exlibrisgroup.com/primo-explore/search?tab=default_tab&amp;search_scope=EVERYTHING&amp;vid=01CRU&amp;lang=en_US&amp;offset=0&amp;query=any,contains,991002809859702656","Catalog Record")</f>
        <v>Catalog Record</v>
      </c>
      <c r="AT234" s="6" t="str">
        <f>HYPERLINK("http://www.worldcat.org/oclc/451990","WorldCat Record")</f>
        <v>WorldCat Record</v>
      </c>
      <c r="AU234" s="3" t="s">
        <v>3204</v>
      </c>
      <c r="AV234" s="3" t="s">
        <v>3205</v>
      </c>
      <c r="AW234" s="3" t="s">
        <v>3206</v>
      </c>
      <c r="AX234" s="3" t="s">
        <v>3206</v>
      </c>
      <c r="AY234" s="3" t="s">
        <v>3207</v>
      </c>
      <c r="AZ234" s="3" t="s">
        <v>73</v>
      </c>
      <c r="BC234" s="3" t="s">
        <v>3208</v>
      </c>
      <c r="BD234" s="3" t="s">
        <v>3209</v>
      </c>
    </row>
    <row r="235" spans="1:56" ht="41.25" customHeight="1" x14ac:dyDescent="0.25">
      <c r="A235" s="7" t="s">
        <v>58</v>
      </c>
      <c r="B235" s="2" t="s">
        <v>3210</v>
      </c>
      <c r="C235" s="2" t="s">
        <v>3211</v>
      </c>
      <c r="D235" s="2" t="s">
        <v>3212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3213</v>
      </c>
      <c r="L235" s="2" t="s">
        <v>3214</v>
      </c>
      <c r="M235" s="3" t="s">
        <v>63</v>
      </c>
      <c r="O235" s="3" t="s">
        <v>64</v>
      </c>
      <c r="P235" s="3" t="s">
        <v>65</v>
      </c>
      <c r="Q235" s="2" t="s">
        <v>2869</v>
      </c>
      <c r="R235" s="3" t="s">
        <v>2200</v>
      </c>
      <c r="S235" s="4">
        <v>12</v>
      </c>
      <c r="T235" s="4">
        <v>12</v>
      </c>
      <c r="U235" s="5" t="s">
        <v>3215</v>
      </c>
      <c r="V235" s="5" t="s">
        <v>3215</v>
      </c>
      <c r="W235" s="5" t="s">
        <v>293</v>
      </c>
      <c r="X235" s="5" t="s">
        <v>293</v>
      </c>
      <c r="Y235" s="4">
        <v>940</v>
      </c>
      <c r="Z235" s="4">
        <v>895</v>
      </c>
      <c r="AA235" s="4">
        <v>1114</v>
      </c>
      <c r="AB235" s="4">
        <v>6</v>
      </c>
      <c r="AC235" s="4">
        <v>8</v>
      </c>
      <c r="AD235" s="4">
        <v>10</v>
      </c>
      <c r="AE235" s="4">
        <v>12</v>
      </c>
      <c r="AF235" s="4">
        <v>5</v>
      </c>
      <c r="AG235" s="4">
        <v>6</v>
      </c>
      <c r="AH235" s="4">
        <v>1</v>
      </c>
      <c r="AI235" s="4">
        <v>1</v>
      </c>
      <c r="AJ235" s="4">
        <v>2</v>
      </c>
      <c r="AK235" s="4">
        <v>2</v>
      </c>
      <c r="AL235" s="4">
        <v>2</v>
      </c>
      <c r="AM235" s="4">
        <v>3</v>
      </c>
      <c r="AN235" s="4">
        <v>0</v>
      </c>
      <c r="AO235" s="4">
        <v>0</v>
      </c>
      <c r="AP235" s="3" t="s">
        <v>58</v>
      </c>
      <c r="AQ235" s="3" t="s">
        <v>85</v>
      </c>
      <c r="AR235" s="6" t="str">
        <f>HYPERLINK("http://catalog.hathitrust.org/Record/007551186","HathiTrust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HYPERLINK("https://creighton-primo.hosted.exlibrisgroup.com/primo-explore/search?tab=default_tab&amp;search_scope=EVERYTHING&amp;vid=01CRU&amp;lang=en_US&amp;offset=0&amp;query=any,contains,991000157069702656","Catalog Record")</f>
        <v>Catalog Record</v>
      </c>
      <c r="AT235" s="6" t="str">
        <f>HYPERLINK("http://www.worldcat.org/oclc/60428","WorldCat Record")</f>
        <v>WorldCat Record</v>
      </c>
      <c r="AU235" s="3" t="s">
        <v>3216</v>
      </c>
      <c r="AV235" s="3" t="s">
        <v>3217</v>
      </c>
      <c r="AW235" s="3" t="s">
        <v>3218</v>
      </c>
      <c r="AX235" s="3" t="s">
        <v>3218</v>
      </c>
      <c r="AY235" s="3" t="s">
        <v>3219</v>
      </c>
      <c r="AZ235" s="3" t="s">
        <v>73</v>
      </c>
      <c r="BC235" s="3" t="s">
        <v>3220</v>
      </c>
      <c r="BD235" s="3" t="s">
        <v>3221</v>
      </c>
    </row>
    <row r="236" spans="1:56" ht="41.25" customHeight="1" x14ac:dyDescent="0.25">
      <c r="A236" s="7" t="s">
        <v>58</v>
      </c>
      <c r="B236" s="2" t="s">
        <v>3222</v>
      </c>
      <c r="C236" s="2" t="s">
        <v>3223</v>
      </c>
      <c r="D236" s="2" t="s">
        <v>3224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L236" s="2" t="s">
        <v>3225</v>
      </c>
      <c r="M236" s="3" t="s">
        <v>176</v>
      </c>
      <c r="O236" s="3" t="s">
        <v>64</v>
      </c>
      <c r="P236" s="3" t="s">
        <v>3226</v>
      </c>
      <c r="R236" s="3" t="s">
        <v>2200</v>
      </c>
      <c r="S236" s="4">
        <v>16</v>
      </c>
      <c r="T236" s="4">
        <v>16</v>
      </c>
      <c r="U236" s="5" t="s">
        <v>3227</v>
      </c>
      <c r="V236" s="5" t="s">
        <v>3227</v>
      </c>
      <c r="W236" s="5" t="s">
        <v>3228</v>
      </c>
      <c r="X236" s="5" t="s">
        <v>3228</v>
      </c>
      <c r="Y236" s="4">
        <v>61</v>
      </c>
      <c r="Z236" s="4">
        <v>51</v>
      </c>
      <c r="AA236" s="4">
        <v>51</v>
      </c>
      <c r="AB236" s="4">
        <v>1</v>
      </c>
      <c r="AC236" s="4">
        <v>1</v>
      </c>
      <c r="AD236" s="4">
        <v>0</v>
      </c>
      <c r="AE236" s="4">
        <v>0</v>
      </c>
      <c r="AF236" s="4">
        <v>0</v>
      </c>
      <c r="AG236" s="4">
        <v>0</v>
      </c>
      <c r="AH236" s="4">
        <v>0</v>
      </c>
      <c r="AI236" s="4">
        <v>0</v>
      </c>
      <c r="AJ236" s="4">
        <v>0</v>
      </c>
      <c r="AK236" s="4">
        <v>0</v>
      </c>
      <c r="AL236" s="4">
        <v>0</v>
      </c>
      <c r="AM236" s="4">
        <v>0</v>
      </c>
      <c r="AN236" s="4">
        <v>0</v>
      </c>
      <c r="AO236" s="4">
        <v>0</v>
      </c>
      <c r="AP236" s="3" t="s">
        <v>58</v>
      </c>
      <c r="AQ236" s="3" t="s">
        <v>58</v>
      </c>
      <c r="AS236" s="6" t="str">
        <f>HYPERLINK("https://creighton-primo.hosted.exlibrisgroup.com/primo-explore/search?tab=default_tab&amp;search_scope=EVERYTHING&amp;vid=01CRU&amp;lang=en_US&amp;offset=0&amp;query=any,contains,991000803059702656","Catalog Record")</f>
        <v>Catalog Record</v>
      </c>
      <c r="AT236" s="6" t="str">
        <f>HYPERLINK("http://www.worldcat.org/oclc/139661","WorldCat Record")</f>
        <v>WorldCat Record</v>
      </c>
      <c r="AU236" s="3" t="s">
        <v>3229</v>
      </c>
      <c r="AV236" s="3" t="s">
        <v>3230</v>
      </c>
      <c r="AW236" s="3" t="s">
        <v>3231</v>
      </c>
      <c r="AX236" s="3" t="s">
        <v>3231</v>
      </c>
      <c r="AY236" s="3" t="s">
        <v>3232</v>
      </c>
      <c r="AZ236" s="3" t="s">
        <v>73</v>
      </c>
      <c r="BC236" s="3" t="s">
        <v>3233</v>
      </c>
      <c r="BD236" s="3" t="s">
        <v>3234</v>
      </c>
    </row>
    <row r="237" spans="1:56" ht="41.25" customHeight="1" x14ac:dyDescent="0.25">
      <c r="A237" s="7" t="s">
        <v>58</v>
      </c>
      <c r="B237" s="2" t="s">
        <v>3235</v>
      </c>
      <c r="C237" s="2" t="s">
        <v>3236</v>
      </c>
      <c r="D237" s="2" t="s">
        <v>3237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3238</v>
      </c>
      <c r="L237" s="2" t="s">
        <v>3239</v>
      </c>
      <c r="M237" s="3" t="s">
        <v>1754</v>
      </c>
      <c r="N237" s="2" t="s">
        <v>3240</v>
      </c>
      <c r="O237" s="3" t="s">
        <v>64</v>
      </c>
      <c r="P237" s="3" t="s">
        <v>698</v>
      </c>
      <c r="R237" s="3" t="s">
        <v>2200</v>
      </c>
      <c r="S237" s="4">
        <v>13</v>
      </c>
      <c r="T237" s="4">
        <v>13</v>
      </c>
      <c r="U237" s="5" t="s">
        <v>3241</v>
      </c>
      <c r="V237" s="5" t="s">
        <v>3241</v>
      </c>
      <c r="W237" s="5" t="s">
        <v>756</v>
      </c>
      <c r="X237" s="5" t="s">
        <v>756</v>
      </c>
      <c r="Y237" s="4">
        <v>21</v>
      </c>
      <c r="Z237" s="4">
        <v>18</v>
      </c>
      <c r="AA237" s="4">
        <v>161</v>
      </c>
      <c r="AB237" s="4">
        <v>1</v>
      </c>
      <c r="AC237" s="4">
        <v>2</v>
      </c>
      <c r="AD237" s="4">
        <v>1</v>
      </c>
      <c r="AE237" s="4">
        <v>2</v>
      </c>
      <c r="AF237" s="4">
        <v>0</v>
      </c>
      <c r="AG237" s="4">
        <v>0</v>
      </c>
      <c r="AH237" s="4">
        <v>0</v>
      </c>
      <c r="AI237" s="4">
        <v>0</v>
      </c>
      <c r="AJ237" s="4">
        <v>1</v>
      </c>
      <c r="AK237" s="4">
        <v>1</v>
      </c>
      <c r="AL237" s="4">
        <v>0</v>
      </c>
      <c r="AM237" s="4">
        <v>1</v>
      </c>
      <c r="AN237" s="4">
        <v>0</v>
      </c>
      <c r="AO237" s="4">
        <v>0</v>
      </c>
      <c r="AP237" s="3" t="s">
        <v>58</v>
      </c>
      <c r="AQ237" s="3" t="s">
        <v>58</v>
      </c>
      <c r="AS237" s="6" t="str">
        <f>HYPERLINK("https://creighton-primo.hosted.exlibrisgroup.com/primo-explore/search?tab=default_tab&amp;search_scope=EVERYTHING&amp;vid=01CRU&amp;lang=en_US&amp;offset=0&amp;query=any,contains,991001698119702656","Catalog Record")</f>
        <v>Catalog Record</v>
      </c>
      <c r="AT237" s="6" t="str">
        <f>HYPERLINK("http://www.worldcat.org/oclc/21512108","WorldCat Record")</f>
        <v>WorldCat Record</v>
      </c>
      <c r="AU237" s="3" t="s">
        <v>3242</v>
      </c>
      <c r="AV237" s="3" t="s">
        <v>3243</v>
      </c>
      <c r="AW237" s="3" t="s">
        <v>3244</v>
      </c>
      <c r="AX237" s="3" t="s">
        <v>3244</v>
      </c>
      <c r="AY237" s="3" t="s">
        <v>3245</v>
      </c>
      <c r="AZ237" s="3" t="s">
        <v>73</v>
      </c>
      <c r="BB237" s="3" t="s">
        <v>3246</v>
      </c>
      <c r="BC237" s="3" t="s">
        <v>3247</v>
      </c>
      <c r="BD237" s="3" t="s">
        <v>3248</v>
      </c>
    </row>
    <row r="238" spans="1:56" ht="41.25" customHeight="1" x14ac:dyDescent="0.25">
      <c r="A238" s="7" t="s">
        <v>58</v>
      </c>
      <c r="B238" s="2" t="s">
        <v>3249</v>
      </c>
      <c r="C238" s="2" t="s">
        <v>3250</v>
      </c>
      <c r="D238" s="2" t="s">
        <v>3251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K238" s="2" t="s">
        <v>3252</v>
      </c>
      <c r="L238" s="2" t="s">
        <v>3253</v>
      </c>
      <c r="M238" s="3" t="s">
        <v>452</v>
      </c>
      <c r="O238" s="3" t="s">
        <v>64</v>
      </c>
      <c r="P238" s="3" t="s">
        <v>65</v>
      </c>
      <c r="R238" s="3" t="s">
        <v>2200</v>
      </c>
      <c r="S238" s="4">
        <v>3</v>
      </c>
      <c r="T238" s="4">
        <v>3</v>
      </c>
      <c r="U238" s="5" t="s">
        <v>3254</v>
      </c>
      <c r="V238" s="5" t="s">
        <v>3254</v>
      </c>
      <c r="W238" s="5" t="s">
        <v>3255</v>
      </c>
      <c r="X238" s="5" t="s">
        <v>3255</v>
      </c>
      <c r="Y238" s="4">
        <v>91</v>
      </c>
      <c r="Z238" s="4">
        <v>82</v>
      </c>
      <c r="AA238" s="4">
        <v>84</v>
      </c>
      <c r="AB238" s="4">
        <v>1</v>
      </c>
      <c r="AC238" s="4">
        <v>1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4">
        <v>0</v>
      </c>
      <c r="AJ238" s="4">
        <v>0</v>
      </c>
      <c r="AK238" s="4">
        <v>0</v>
      </c>
      <c r="AL238" s="4">
        <v>0</v>
      </c>
      <c r="AM238" s="4">
        <v>0</v>
      </c>
      <c r="AN238" s="4">
        <v>0</v>
      </c>
      <c r="AO238" s="4">
        <v>0</v>
      </c>
      <c r="AP238" s="3" t="s">
        <v>58</v>
      </c>
      <c r="AQ238" s="3" t="s">
        <v>85</v>
      </c>
      <c r="AR238" s="6" t="str">
        <f>HYPERLINK("http://catalog.hathitrust.org/Record/010746771","HathiTrust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HYPERLINK("https://creighton-primo.hosted.exlibrisgroup.com/primo-explore/search?tab=default_tab&amp;search_scope=EVERYTHING&amp;vid=01CRU&amp;lang=en_US&amp;offset=0&amp;query=any,contains,991003529669702656","Catalog Record")</f>
        <v>Catalog Record</v>
      </c>
      <c r="AT238" s="6" t="str">
        <f>HYPERLINK("http://www.worldcat.org/oclc/1093204","WorldCat Record")</f>
        <v>WorldCat Record</v>
      </c>
      <c r="AU238" s="3" t="s">
        <v>3256</v>
      </c>
      <c r="AV238" s="3" t="s">
        <v>3257</v>
      </c>
      <c r="AW238" s="3" t="s">
        <v>3258</v>
      </c>
      <c r="AX238" s="3" t="s">
        <v>3258</v>
      </c>
      <c r="AY238" s="3" t="s">
        <v>3259</v>
      </c>
      <c r="AZ238" s="3" t="s">
        <v>73</v>
      </c>
      <c r="BB238" s="3" t="s">
        <v>3260</v>
      </c>
      <c r="BC238" s="3" t="s">
        <v>3261</v>
      </c>
      <c r="BD238" s="3" t="s">
        <v>3262</v>
      </c>
    </row>
    <row r="239" spans="1:56" ht="41.25" customHeight="1" x14ac:dyDescent="0.25">
      <c r="A239" s="7" t="s">
        <v>58</v>
      </c>
      <c r="B239" s="2" t="s">
        <v>3263</v>
      </c>
      <c r="C239" s="2" t="s">
        <v>3264</v>
      </c>
      <c r="D239" s="2" t="s">
        <v>3265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K239" s="2" t="s">
        <v>3266</v>
      </c>
      <c r="L239" s="2" t="s">
        <v>3267</v>
      </c>
      <c r="M239" s="3" t="s">
        <v>1129</v>
      </c>
      <c r="N239" s="2" t="s">
        <v>528</v>
      </c>
      <c r="O239" s="3" t="s">
        <v>64</v>
      </c>
      <c r="P239" s="3" t="s">
        <v>65</v>
      </c>
      <c r="R239" s="3" t="s">
        <v>2200</v>
      </c>
      <c r="S239" s="4">
        <v>24</v>
      </c>
      <c r="T239" s="4">
        <v>24</v>
      </c>
      <c r="U239" s="5" t="s">
        <v>3227</v>
      </c>
      <c r="V239" s="5" t="s">
        <v>3227</v>
      </c>
      <c r="W239" s="5" t="s">
        <v>3268</v>
      </c>
      <c r="X239" s="5" t="s">
        <v>3268</v>
      </c>
      <c r="Y239" s="4">
        <v>872</v>
      </c>
      <c r="Z239" s="4">
        <v>851</v>
      </c>
      <c r="AA239" s="4">
        <v>856</v>
      </c>
      <c r="AB239" s="4">
        <v>6</v>
      </c>
      <c r="AC239" s="4">
        <v>6</v>
      </c>
      <c r="AD239" s="4">
        <v>2</v>
      </c>
      <c r="AE239" s="4">
        <v>2</v>
      </c>
      <c r="AF239" s="4">
        <v>0</v>
      </c>
      <c r="AG239" s="4">
        <v>0</v>
      </c>
      <c r="AH239" s="4">
        <v>0</v>
      </c>
      <c r="AI239" s="4">
        <v>0</v>
      </c>
      <c r="AJ239" s="4">
        <v>1</v>
      </c>
      <c r="AK239" s="4">
        <v>1</v>
      </c>
      <c r="AL239" s="4">
        <v>1</v>
      </c>
      <c r="AM239" s="4">
        <v>1</v>
      </c>
      <c r="AN239" s="4">
        <v>0</v>
      </c>
      <c r="AO239" s="4">
        <v>0</v>
      </c>
      <c r="AP239" s="3" t="s">
        <v>58</v>
      </c>
      <c r="AQ239" s="3" t="s">
        <v>58</v>
      </c>
      <c r="AS239" s="6" t="str">
        <f>HYPERLINK("https://creighton-primo.hosted.exlibrisgroup.com/primo-explore/search?tab=default_tab&amp;search_scope=EVERYTHING&amp;vid=01CRU&amp;lang=en_US&amp;offset=0&amp;query=any,contains,991004951179702656","Catalog Record")</f>
        <v>Catalog Record</v>
      </c>
      <c r="AT239" s="6" t="str">
        <f>HYPERLINK("http://www.worldcat.org/oclc/6250156","WorldCat Record")</f>
        <v>WorldCat Record</v>
      </c>
      <c r="AU239" s="3" t="s">
        <v>3269</v>
      </c>
      <c r="AV239" s="3" t="s">
        <v>3270</v>
      </c>
      <c r="AW239" s="3" t="s">
        <v>3271</v>
      </c>
      <c r="AX239" s="3" t="s">
        <v>3271</v>
      </c>
      <c r="AY239" s="3" t="s">
        <v>3272</v>
      </c>
      <c r="AZ239" s="3" t="s">
        <v>73</v>
      </c>
      <c r="BB239" s="3" t="s">
        <v>3273</v>
      </c>
      <c r="BC239" s="3" t="s">
        <v>3274</v>
      </c>
      <c r="BD239" s="3" t="s">
        <v>3275</v>
      </c>
    </row>
    <row r="240" spans="1:56" ht="41.25" customHeight="1" x14ac:dyDescent="0.25">
      <c r="A240" s="7" t="s">
        <v>58</v>
      </c>
      <c r="B240" s="2" t="s">
        <v>3276</v>
      </c>
      <c r="C240" s="2" t="s">
        <v>3277</v>
      </c>
      <c r="D240" s="2" t="s">
        <v>3278</v>
      </c>
      <c r="F240" s="3" t="s">
        <v>58</v>
      </c>
      <c r="G240" s="3" t="s">
        <v>59</v>
      </c>
      <c r="H240" s="3" t="s">
        <v>58</v>
      </c>
      <c r="I240" s="3" t="s">
        <v>58</v>
      </c>
      <c r="J240" s="3" t="s">
        <v>60</v>
      </c>
      <c r="K240" s="2" t="s">
        <v>3279</v>
      </c>
      <c r="L240" s="2" t="s">
        <v>2868</v>
      </c>
      <c r="M240" s="3" t="s">
        <v>176</v>
      </c>
      <c r="O240" s="3" t="s">
        <v>64</v>
      </c>
      <c r="P240" s="3" t="s">
        <v>65</v>
      </c>
      <c r="Q240" s="2" t="s">
        <v>2869</v>
      </c>
      <c r="R240" s="3" t="s">
        <v>2200</v>
      </c>
      <c r="S240" s="4">
        <v>6</v>
      </c>
      <c r="T240" s="4">
        <v>6</v>
      </c>
      <c r="U240" s="5" t="s">
        <v>3280</v>
      </c>
      <c r="V240" s="5" t="s">
        <v>3280</v>
      </c>
      <c r="W240" s="5" t="s">
        <v>3095</v>
      </c>
      <c r="X240" s="5" t="s">
        <v>3095</v>
      </c>
      <c r="Y240" s="4">
        <v>979</v>
      </c>
      <c r="Z240" s="4">
        <v>919</v>
      </c>
      <c r="AA240" s="4">
        <v>943</v>
      </c>
      <c r="AB240" s="4">
        <v>5</v>
      </c>
      <c r="AC240" s="4">
        <v>5</v>
      </c>
      <c r="AD240" s="4">
        <v>10</v>
      </c>
      <c r="AE240" s="4">
        <v>12</v>
      </c>
      <c r="AF240" s="4">
        <v>4</v>
      </c>
      <c r="AG240" s="4">
        <v>5</v>
      </c>
      <c r="AH240" s="4">
        <v>0</v>
      </c>
      <c r="AI240" s="4">
        <v>1</v>
      </c>
      <c r="AJ240" s="4">
        <v>3</v>
      </c>
      <c r="AK240" s="4">
        <v>3</v>
      </c>
      <c r="AL240" s="4">
        <v>3</v>
      </c>
      <c r="AM240" s="4">
        <v>3</v>
      </c>
      <c r="AN240" s="4">
        <v>0</v>
      </c>
      <c r="AO240" s="4">
        <v>0</v>
      </c>
      <c r="AP240" s="3" t="s">
        <v>58</v>
      </c>
      <c r="AQ240" s="3" t="s">
        <v>85</v>
      </c>
      <c r="AR240" s="6" t="str">
        <f>HYPERLINK("http://catalog.hathitrust.org/Record/009158854","HathiTrust Record")</f>
        <v>HathiTrust Record</v>
      </c>
      <c r="AS240" s="6" t="str">
        <f>HYPERLINK("https://creighton-primo.hosted.exlibrisgroup.com/primo-explore/search?tab=default_tab&amp;search_scope=EVERYTHING&amp;vid=01CRU&amp;lang=en_US&amp;offset=0&amp;query=any,contains,991000656759702656","Catalog Record")</f>
        <v>Catalog Record</v>
      </c>
      <c r="AT240" s="6" t="str">
        <f>HYPERLINK("http://www.worldcat.org/oclc/115824","WorldCat Record")</f>
        <v>WorldCat Record</v>
      </c>
      <c r="AU240" s="3" t="s">
        <v>3281</v>
      </c>
      <c r="AV240" s="3" t="s">
        <v>3282</v>
      </c>
      <c r="AW240" s="3" t="s">
        <v>3283</v>
      </c>
      <c r="AX240" s="3" t="s">
        <v>3283</v>
      </c>
      <c r="AY240" s="3" t="s">
        <v>3284</v>
      </c>
      <c r="AZ240" s="3" t="s">
        <v>73</v>
      </c>
      <c r="BC240" s="3" t="s">
        <v>3285</v>
      </c>
      <c r="BD240" s="3" t="s">
        <v>3286</v>
      </c>
    </row>
    <row r="241" spans="1:56" ht="41.25" customHeight="1" x14ac:dyDescent="0.25">
      <c r="A241" s="7" t="s">
        <v>58</v>
      </c>
      <c r="B241" s="2" t="s">
        <v>3287</v>
      </c>
      <c r="C241" s="2" t="s">
        <v>3288</v>
      </c>
      <c r="D241" s="2" t="s">
        <v>3289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K241" s="2" t="s">
        <v>3290</v>
      </c>
      <c r="L241" s="2" t="s">
        <v>3291</v>
      </c>
      <c r="M241" s="3" t="s">
        <v>612</v>
      </c>
      <c r="N241" s="2" t="s">
        <v>3292</v>
      </c>
      <c r="O241" s="3" t="s">
        <v>2323</v>
      </c>
      <c r="P241" s="3" t="s">
        <v>2815</v>
      </c>
      <c r="R241" s="3" t="s">
        <v>2200</v>
      </c>
      <c r="S241" s="4">
        <v>1</v>
      </c>
      <c r="T241" s="4">
        <v>1</v>
      </c>
      <c r="U241" s="5" t="s">
        <v>3042</v>
      </c>
      <c r="V241" s="5" t="s">
        <v>3042</v>
      </c>
      <c r="W241" s="5" t="s">
        <v>3293</v>
      </c>
      <c r="X241" s="5" t="s">
        <v>3293</v>
      </c>
      <c r="Y241" s="4">
        <v>14</v>
      </c>
      <c r="Z241" s="4">
        <v>14</v>
      </c>
      <c r="AA241" s="4">
        <v>23</v>
      </c>
      <c r="AB241" s="4">
        <v>1</v>
      </c>
      <c r="AC241" s="4">
        <v>1</v>
      </c>
      <c r="AD241" s="4">
        <v>1</v>
      </c>
      <c r="AE241" s="4">
        <v>1</v>
      </c>
      <c r="AF241" s="4">
        <v>0</v>
      </c>
      <c r="AG241" s="4">
        <v>0</v>
      </c>
      <c r="AH241" s="4">
        <v>1</v>
      </c>
      <c r="AI241" s="4">
        <v>1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3" t="s">
        <v>58</v>
      </c>
      <c r="AQ241" s="3" t="s">
        <v>85</v>
      </c>
      <c r="AR241" s="6" t="str">
        <f>HYPERLINK("http://catalog.hathitrust.org/Record/004216070","HathiTrust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HYPERLINK("https://creighton-primo.hosted.exlibrisgroup.com/primo-explore/search?tab=default_tab&amp;search_scope=EVERYTHING&amp;vid=01CRU&amp;lang=en_US&amp;offset=0&amp;query=any,contains,991003044539702656","Catalog Record")</f>
        <v>Catalog Record</v>
      </c>
      <c r="AT241" s="6" t="str">
        <f>HYPERLINK("http://www.worldcat.org/oclc/42421187","WorldCat Record")</f>
        <v>WorldCat Record</v>
      </c>
      <c r="AU241" s="3" t="s">
        <v>3294</v>
      </c>
      <c r="AV241" s="3" t="s">
        <v>3295</v>
      </c>
      <c r="AW241" s="3" t="s">
        <v>3296</v>
      </c>
      <c r="AX241" s="3" t="s">
        <v>3296</v>
      </c>
      <c r="AY241" s="3" t="s">
        <v>3297</v>
      </c>
      <c r="AZ241" s="3" t="s">
        <v>73</v>
      </c>
      <c r="BC241" s="3" t="s">
        <v>3298</v>
      </c>
      <c r="BD241" s="3" t="s">
        <v>3299</v>
      </c>
    </row>
    <row r="242" spans="1:56" ht="41.25" customHeight="1" x14ac:dyDescent="0.25">
      <c r="A242" s="7" t="s">
        <v>58</v>
      </c>
      <c r="B242" s="2" t="s">
        <v>3300</v>
      </c>
      <c r="C242" s="2" t="s">
        <v>3301</v>
      </c>
      <c r="D242" s="2" t="s">
        <v>3302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K242" s="2" t="s">
        <v>3303</v>
      </c>
      <c r="L242" s="2" t="s">
        <v>3304</v>
      </c>
      <c r="M242" s="3" t="s">
        <v>333</v>
      </c>
      <c r="N242" s="2" t="s">
        <v>3305</v>
      </c>
      <c r="O242" s="3" t="s">
        <v>2323</v>
      </c>
      <c r="P242" s="3" t="s">
        <v>2815</v>
      </c>
      <c r="Q242" s="2" t="s">
        <v>3306</v>
      </c>
      <c r="R242" s="3" t="s">
        <v>2200</v>
      </c>
      <c r="S242" s="4">
        <v>2</v>
      </c>
      <c r="T242" s="4">
        <v>2</v>
      </c>
      <c r="U242" s="5" t="s">
        <v>3042</v>
      </c>
      <c r="V242" s="5" t="s">
        <v>3042</v>
      </c>
      <c r="W242" s="5" t="s">
        <v>3307</v>
      </c>
      <c r="X242" s="5" t="s">
        <v>3307</v>
      </c>
      <c r="Y242" s="4">
        <v>3</v>
      </c>
      <c r="Z242" s="4">
        <v>3</v>
      </c>
      <c r="AA242" s="4">
        <v>8</v>
      </c>
      <c r="AB242" s="4">
        <v>1</v>
      </c>
      <c r="AC242" s="4">
        <v>1</v>
      </c>
      <c r="AD242" s="4">
        <v>0</v>
      </c>
      <c r="AE242" s="4">
        <v>0</v>
      </c>
      <c r="AF242" s="4">
        <v>0</v>
      </c>
      <c r="AG242" s="4">
        <v>0</v>
      </c>
      <c r="AH242" s="4">
        <v>0</v>
      </c>
      <c r="AI242" s="4">
        <v>0</v>
      </c>
      <c r="AJ242" s="4">
        <v>0</v>
      </c>
      <c r="AK242" s="4">
        <v>0</v>
      </c>
      <c r="AL242" s="4">
        <v>0</v>
      </c>
      <c r="AM242" s="4">
        <v>0</v>
      </c>
      <c r="AN242" s="4">
        <v>0</v>
      </c>
      <c r="AO242" s="4">
        <v>0</v>
      </c>
      <c r="AP242" s="3" t="s">
        <v>58</v>
      </c>
      <c r="AQ242" s="3" t="s">
        <v>58</v>
      </c>
      <c r="AS242" s="6" t="str">
        <f>HYPERLINK("https://creighton-primo.hosted.exlibrisgroup.com/primo-explore/search?tab=default_tab&amp;search_scope=EVERYTHING&amp;vid=01CRU&amp;lang=en_US&amp;offset=0&amp;query=any,contains,991003356739702656","Catalog Record")</f>
        <v>Catalog Record</v>
      </c>
      <c r="AT242" s="6" t="str">
        <f>HYPERLINK("http://www.worldcat.org/oclc/45030721","WorldCat Record")</f>
        <v>WorldCat Record</v>
      </c>
      <c r="AU242" s="3" t="s">
        <v>3308</v>
      </c>
      <c r="AV242" s="3" t="s">
        <v>3309</v>
      </c>
      <c r="AW242" s="3" t="s">
        <v>3310</v>
      </c>
      <c r="AX242" s="3" t="s">
        <v>3310</v>
      </c>
      <c r="AY242" s="3" t="s">
        <v>3311</v>
      </c>
      <c r="AZ242" s="3" t="s">
        <v>73</v>
      </c>
      <c r="BB242" s="3" t="s">
        <v>3312</v>
      </c>
      <c r="BC242" s="3" t="s">
        <v>3313</v>
      </c>
      <c r="BD242" s="3" t="s">
        <v>3314</v>
      </c>
    </row>
    <row r="243" spans="1:56" ht="41.25" customHeight="1" x14ac:dyDescent="0.25">
      <c r="A243" s="7" t="s">
        <v>58</v>
      </c>
      <c r="B243" s="2" t="s">
        <v>3315</v>
      </c>
      <c r="C243" s="2" t="s">
        <v>3316</v>
      </c>
      <c r="D243" s="2" t="s">
        <v>3317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K243" s="2" t="s">
        <v>3318</v>
      </c>
      <c r="L243" s="2" t="s">
        <v>3319</v>
      </c>
      <c r="M243" s="3" t="s">
        <v>3320</v>
      </c>
      <c r="N243" s="2" t="s">
        <v>528</v>
      </c>
      <c r="O243" s="3" t="s">
        <v>64</v>
      </c>
      <c r="P243" s="3" t="s">
        <v>65</v>
      </c>
      <c r="R243" s="3" t="s">
        <v>2200</v>
      </c>
      <c r="S243" s="4">
        <v>3</v>
      </c>
      <c r="T243" s="4">
        <v>3</v>
      </c>
      <c r="U243" s="5" t="s">
        <v>3321</v>
      </c>
      <c r="V243" s="5" t="s">
        <v>3321</v>
      </c>
      <c r="W243" s="5" t="s">
        <v>686</v>
      </c>
      <c r="X243" s="5" t="s">
        <v>686</v>
      </c>
      <c r="Y243" s="4">
        <v>633</v>
      </c>
      <c r="Z243" s="4">
        <v>605</v>
      </c>
      <c r="AA243" s="4">
        <v>782</v>
      </c>
      <c r="AB243" s="4">
        <v>3</v>
      </c>
      <c r="AC243" s="4">
        <v>4</v>
      </c>
      <c r="AD243" s="4">
        <v>10</v>
      </c>
      <c r="AE243" s="4">
        <v>12</v>
      </c>
      <c r="AF243" s="4">
        <v>4</v>
      </c>
      <c r="AG243" s="4">
        <v>4</v>
      </c>
      <c r="AH243" s="4">
        <v>4</v>
      </c>
      <c r="AI243" s="4">
        <v>4</v>
      </c>
      <c r="AJ243" s="4">
        <v>2</v>
      </c>
      <c r="AK243" s="4">
        <v>4</v>
      </c>
      <c r="AL243" s="4">
        <v>2</v>
      </c>
      <c r="AM243" s="4">
        <v>2</v>
      </c>
      <c r="AN243" s="4">
        <v>0</v>
      </c>
      <c r="AO243" s="4">
        <v>0</v>
      </c>
      <c r="AP243" s="3" t="s">
        <v>58</v>
      </c>
      <c r="AQ243" s="3" t="s">
        <v>58</v>
      </c>
      <c r="AS243" s="6" t="str">
        <f>HYPERLINK("https://creighton-primo.hosted.exlibrisgroup.com/primo-explore/search?tab=default_tab&amp;search_scope=EVERYTHING&amp;vid=01CRU&amp;lang=en_US&amp;offset=0&amp;query=any,contains,991004732729702656","Catalog Record")</f>
        <v>Catalog Record</v>
      </c>
      <c r="AT243" s="6" t="str">
        <f>HYPERLINK("http://www.worldcat.org/oclc/56011467","WorldCat Record")</f>
        <v>WorldCat Record</v>
      </c>
      <c r="AU243" s="3" t="s">
        <v>3322</v>
      </c>
      <c r="AV243" s="3" t="s">
        <v>3323</v>
      </c>
      <c r="AW243" s="3" t="s">
        <v>3324</v>
      </c>
      <c r="AX243" s="3" t="s">
        <v>3324</v>
      </c>
      <c r="AY243" s="3" t="s">
        <v>3325</v>
      </c>
      <c r="AZ243" s="3" t="s">
        <v>73</v>
      </c>
      <c r="BB243" s="3" t="s">
        <v>3326</v>
      </c>
      <c r="BC243" s="3" t="s">
        <v>3327</v>
      </c>
      <c r="BD243" s="3" t="s">
        <v>3328</v>
      </c>
    </row>
    <row r="244" spans="1:56" ht="41.25" customHeight="1" x14ac:dyDescent="0.25">
      <c r="A244" s="7" t="s">
        <v>58</v>
      </c>
      <c r="B244" s="2" t="s">
        <v>3329</v>
      </c>
      <c r="C244" s="2" t="s">
        <v>3330</v>
      </c>
      <c r="D244" s="2" t="s">
        <v>3331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3332</v>
      </c>
      <c r="L244" s="2" t="s">
        <v>3333</v>
      </c>
      <c r="M244" s="3" t="s">
        <v>176</v>
      </c>
      <c r="N244" s="2" t="s">
        <v>1011</v>
      </c>
      <c r="O244" s="3" t="s">
        <v>64</v>
      </c>
      <c r="P244" s="3" t="s">
        <v>388</v>
      </c>
      <c r="R244" s="3" t="s">
        <v>2200</v>
      </c>
      <c r="S244" s="4">
        <v>3</v>
      </c>
      <c r="T244" s="4">
        <v>3</v>
      </c>
      <c r="U244" s="5" t="s">
        <v>3334</v>
      </c>
      <c r="V244" s="5" t="s">
        <v>3334</v>
      </c>
      <c r="W244" s="5" t="s">
        <v>799</v>
      </c>
      <c r="X244" s="5" t="s">
        <v>799</v>
      </c>
      <c r="Y244" s="4">
        <v>64</v>
      </c>
      <c r="Z244" s="4">
        <v>58</v>
      </c>
      <c r="AA244" s="4">
        <v>59</v>
      </c>
      <c r="AB244" s="4">
        <v>3</v>
      </c>
      <c r="AC244" s="4">
        <v>3</v>
      </c>
      <c r="AD244" s="4">
        <v>3</v>
      </c>
      <c r="AE244" s="4">
        <v>3</v>
      </c>
      <c r="AF244" s="4">
        <v>0</v>
      </c>
      <c r="AG244" s="4">
        <v>0</v>
      </c>
      <c r="AH244" s="4">
        <v>1</v>
      </c>
      <c r="AI244" s="4">
        <v>1</v>
      </c>
      <c r="AJ244" s="4">
        <v>0</v>
      </c>
      <c r="AK244" s="4">
        <v>0</v>
      </c>
      <c r="AL244" s="4">
        <v>2</v>
      </c>
      <c r="AM244" s="4">
        <v>2</v>
      </c>
      <c r="AN244" s="4">
        <v>0</v>
      </c>
      <c r="AO244" s="4">
        <v>0</v>
      </c>
      <c r="AP244" s="3" t="s">
        <v>58</v>
      </c>
      <c r="AQ244" s="3" t="s">
        <v>85</v>
      </c>
      <c r="AR244" s="6" t="str">
        <f>HYPERLINK("http://catalog.hathitrust.org/Record/007583588","HathiTrust Record")</f>
        <v>HathiTrust Record</v>
      </c>
      <c r="AS244" s="6" t="str">
        <f>HYPERLINK("https://creighton-primo.hosted.exlibrisgroup.com/primo-explore/search?tab=default_tab&amp;search_scope=EVERYTHING&amp;vid=01CRU&amp;lang=en_US&amp;offset=0&amp;query=any,contains,991003193169702656","Catalog Record")</f>
        <v>Catalog Record</v>
      </c>
      <c r="AT244" s="6" t="str">
        <f>HYPERLINK("http://www.worldcat.org/oclc/718189","WorldCat Record")</f>
        <v>WorldCat Record</v>
      </c>
      <c r="AU244" s="3" t="s">
        <v>3335</v>
      </c>
      <c r="AV244" s="3" t="s">
        <v>3336</v>
      </c>
      <c r="AW244" s="3" t="s">
        <v>3337</v>
      </c>
      <c r="AX244" s="3" t="s">
        <v>3337</v>
      </c>
      <c r="AY244" s="3" t="s">
        <v>3338</v>
      </c>
      <c r="AZ244" s="3" t="s">
        <v>73</v>
      </c>
      <c r="BC244" s="3" t="s">
        <v>3339</v>
      </c>
      <c r="BD244" s="3" t="s">
        <v>3340</v>
      </c>
    </row>
    <row r="245" spans="1:56" ht="41.25" customHeight="1" x14ac:dyDescent="0.25">
      <c r="A245" s="7" t="s">
        <v>58</v>
      </c>
      <c r="B245" s="2" t="s">
        <v>3341</v>
      </c>
      <c r="C245" s="2" t="s">
        <v>3342</v>
      </c>
      <c r="D245" s="2" t="s">
        <v>3343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L245" s="2" t="s">
        <v>3344</v>
      </c>
      <c r="M245" s="3" t="s">
        <v>98</v>
      </c>
      <c r="N245" s="2" t="s">
        <v>528</v>
      </c>
      <c r="O245" s="3" t="s">
        <v>64</v>
      </c>
      <c r="P245" s="3" t="s">
        <v>65</v>
      </c>
      <c r="R245" s="3" t="s">
        <v>2200</v>
      </c>
      <c r="S245" s="4">
        <v>9</v>
      </c>
      <c r="T245" s="4">
        <v>9</v>
      </c>
      <c r="U245" s="5" t="s">
        <v>3345</v>
      </c>
      <c r="V245" s="5" t="s">
        <v>3345</v>
      </c>
      <c r="W245" s="5" t="s">
        <v>3346</v>
      </c>
      <c r="X245" s="5" t="s">
        <v>3346</v>
      </c>
      <c r="Y245" s="4">
        <v>192</v>
      </c>
      <c r="Z245" s="4">
        <v>185</v>
      </c>
      <c r="AA245" s="4">
        <v>190</v>
      </c>
      <c r="AB245" s="4">
        <v>1</v>
      </c>
      <c r="AC245" s="4">
        <v>1</v>
      </c>
      <c r="AD245" s="4">
        <v>0</v>
      </c>
      <c r="AE245" s="4">
        <v>0</v>
      </c>
      <c r="AF245" s="4">
        <v>0</v>
      </c>
      <c r="AG245" s="4">
        <v>0</v>
      </c>
      <c r="AH245" s="4">
        <v>0</v>
      </c>
      <c r="AI245" s="4">
        <v>0</v>
      </c>
      <c r="AJ245" s="4">
        <v>0</v>
      </c>
      <c r="AK245" s="4">
        <v>0</v>
      </c>
      <c r="AL245" s="4">
        <v>0</v>
      </c>
      <c r="AM245" s="4">
        <v>0</v>
      </c>
      <c r="AN245" s="4">
        <v>0</v>
      </c>
      <c r="AO245" s="4">
        <v>0</v>
      </c>
      <c r="AP245" s="3" t="s">
        <v>58</v>
      </c>
      <c r="AQ245" s="3" t="s">
        <v>58</v>
      </c>
      <c r="AS245" s="6" t="str">
        <f>HYPERLINK("https://creighton-primo.hosted.exlibrisgroup.com/primo-explore/search?tab=default_tab&amp;search_scope=EVERYTHING&amp;vid=01CRU&amp;lang=en_US&amp;offset=0&amp;query=any,contains,991001489119702656","Catalog Record")</f>
        <v>Catalog Record</v>
      </c>
      <c r="AT245" s="6" t="str">
        <f>HYPERLINK("http://www.worldcat.org/oclc/19688022","WorldCat Record")</f>
        <v>WorldCat Record</v>
      </c>
      <c r="AU245" s="3" t="s">
        <v>3347</v>
      </c>
      <c r="AV245" s="3" t="s">
        <v>3348</v>
      </c>
      <c r="AW245" s="3" t="s">
        <v>3349</v>
      </c>
      <c r="AX245" s="3" t="s">
        <v>3349</v>
      </c>
      <c r="AY245" s="3" t="s">
        <v>3350</v>
      </c>
      <c r="AZ245" s="3" t="s">
        <v>73</v>
      </c>
      <c r="BB245" s="3" t="s">
        <v>3351</v>
      </c>
      <c r="BC245" s="3" t="s">
        <v>3352</v>
      </c>
      <c r="BD245" s="3" t="s">
        <v>3353</v>
      </c>
    </row>
    <row r="246" spans="1:56" ht="41.25" customHeight="1" x14ac:dyDescent="0.25">
      <c r="A246" s="7" t="s">
        <v>58</v>
      </c>
      <c r="B246" s="2" t="s">
        <v>3354</v>
      </c>
      <c r="C246" s="2" t="s">
        <v>3355</v>
      </c>
      <c r="D246" s="2" t="s">
        <v>3356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L246" s="2" t="s">
        <v>3357</v>
      </c>
      <c r="M246" s="3" t="s">
        <v>372</v>
      </c>
      <c r="N246" s="2" t="s">
        <v>528</v>
      </c>
      <c r="O246" s="3" t="s">
        <v>64</v>
      </c>
      <c r="P246" s="3" t="s">
        <v>65</v>
      </c>
      <c r="R246" s="3" t="s">
        <v>2200</v>
      </c>
      <c r="S246" s="4">
        <v>14</v>
      </c>
      <c r="T246" s="4">
        <v>14</v>
      </c>
      <c r="U246" s="5" t="s">
        <v>3358</v>
      </c>
      <c r="V246" s="5" t="s">
        <v>3358</v>
      </c>
      <c r="W246" s="5" t="s">
        <v>3359</v>
      </c>
      <c r="X246" s="5" t="s">
        <v>3359</v>
      </c>
      <c r="Y246" s="4">
        <v>520</v>
      </c>
      <c r="Z246" s="4">
        <v>494</v>
      </c>
      <c r="AA246" s="4">
        <v>499</v>
      </c>
      <c r="AB246" s="4">
        <v>4</v>
      </c>
      <c r="AC246" s="4">
        <v>4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3" t="s">
        <v>58</v>
      </c>
      <c r="AQ246" s="3" t="s">
        <v>58</v>
      </c>
      <c r="AS246" s="6" t="str">
        <f>HYPERLINK("https://creighton-primo.hosted.exlibrisgroup.com/primo-explore/search?tab=default_tab&amp;search_scope=EVERYTHING&amp;vid=01CRU&amp;lang=en_US&amp;offset=0&amp;query=any,contains,991001774539702656","Catalog Record")</f>
        <v>Catalog Record</v>
      </c>
      <c r="AT246" s="6" t="str">
        <f>HYPERLINK("http://www.worldcat.org/oclc/22708894","WorldCat Record")</f>
        <v>WorldCat Record</v>
      </c>
      <c r="AU246" s="3" t="s">
        <v>3360</v>
      </c>
      <c r="AV246" s="3" t="s">
        <v>3361</v>
      </c>
      <c r="AW246" s="3" t="s">
        <v>3362</v>
      </c>
      <c r="AX246" s="3" t="s">
        <v>3362</v>
      </c>
      <c r="AY246" s="3" t="s">
        <v>3363</v>
      </c>
      <c r="AZ246" s="3" t="s">
        <v>73</v>
      </c>
      <c r="BB246" s="3" t="s">
        <v>3364</v>
      </c>
      <c r="BC246" s="3" t="s">
        <v>3365</v>
      </c>
      <c r="BD246" s="3" t="s">
        <v>3366</v>
      </c>
    </row>
    <row r="247" spans="1:56" ht="41.25" customHeight="1" x14ac:dyDescent="0.25">
      <c r="A247" s="7" t="s">
        <v>58</v>
      </c>
      <c r="B247" s="2" t="s">
        <v>3367</v>
      </c>
      <c r="C247" s="2" t="s">
        <v>3368</v>
      </c>
      <c r="D247" s="2" t="s">
        <v>3369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3370</v>
      </c>
      <c r="L247" s="2" t="s">
        <v>3371</v>
      </c>
      <c r="M247" s="3" t="s">
        <v>387</v>
      </c>
      <c r="N247" s="2" t="s">
        <v>497</v>
      </c>
      <c r="O247" s="3" t="s">
        <v>64</v>
      </c>
      <c r="P247" s="3" t="s">
        <v>334</v>
      </c>
      <c r="R247" s="3" t="s">
        <v>2200</v>
      </c>
      <c r="S247" s="4">
        <v>4</v>
      </c>
      <c r="T247" s="4">
        <v>4</v>
      </c>
      <c r="U247" s="5" t="s">
        <v>3372</v>
      </c>
      <c r="V247" s="5" t="s">
        <v>3372</v>
      </c>
      <c r="W247" s="5" t="s">
        <v>3055</v>
      </c>
      <c r="X247" s="5" t="s">
        <v>3055</v>
      </c>
      <c r="Y247" s="4">
        <v>161</v>
      </c>
      <c r="Z247" s="4">
        <v>154</v>
      </c>
      <c r="AA247" s="4">
        <v>158</v>
      </c>
      <c r="AB247" s="4">
        <v>3</v>
      </c>
      <c r="AC247" s="4">
        <v>3</v>
      </c>
      <c r="AD247" s="4">
        <v>2</v>
      </c>
      <c r="AE247" s="4">
        <v>2</v>
      </c>
      <c r="AF247" s="4">
        <v>1</v>
      </c>
      <c r="AG247" s="4">
        <v>1</v>
      </c>
      <c r="AH247" s="4">
        <v>0</v>
      </c>
      <c r="AI247" s="4">
        <v>0</v>
      </c>
      <c r="AJ247" s="4">
        <v>0</v>
      </c>
      <c r="AK247" s="4">
        <v>0</v>
      </c>
      <c r="AL247" s="4">
        <v>1</v>
      </c>
      <c r="AM247" s="4">
        <v>1</v>
      </c>
      <c r="AN247" s="4">
        <v>0</v>
      </c>
      <c r="AO247" s="4">
        <v>0</v>
      </c>
      <c r="AP247" s="3" t="s">
        <v>58</v>
      </c>
      <c r="AQ247" s="3" t="s">
        <v>85</v>
      </c>
      <c r="AR247" s="6" t="str">
        <f>HYPERLINK("http://catalog.hathitrust.org/Record/009158896","HathiTrust Record")</f>
        <v>HathiTrust Record</v>
      </c>
      <c r="AS247" s="6" t="str">
        <f>HYPERLINK("https://creighton-primo.hosted.exlibrisgroup.com/primo-explore/search?tab=default_tab&amp;search_scope=EVERYTHING&amp;vid=01CRU&amp;lang=en_US&amp;offset=0&amp;query=any,contains,991003754669702656","Catalog Record")</f>
        <v>Catalog Record</v>
      </c>
      <c r="AT247" s="6" t="str">
        <f>HYPERLINK("http://www.worldcat.org/oclc/1434167","WorldCat Record")</f>
        <v>WorldCat Record</v>
      </c>
      <c r="AU247" s="3" t="s">
        <v>3373</v>
      </c>
      <c r="AV247" s="3" t="s">
        <v>3374</v>
      </c>
      <c r="AW247" s="3" t="s">
        <v>3375</v>
      </c>
      <c r="AX247" s="3" t="s">
        <v>3375</v>
      </c>
      <c r="AY247" s="3" t="s">
        <v>3376</v>
      </c>
      <c r="AZ247" s="3" t="s">
        <v>73</v>
      </c>
      <c r="BC247" s="3" t="s">
        <v>3377</v>
      </c>
      <c r="BD247" s="3" t="s">
        <v>3378</v>
      </c>
    </row>
    <row r="248" spans="1:56" ht="41.25" customHeight="1" x14ac:dyDescent="0.25">
      <c r="A248" s="7" t="s">
        <v>58</v>
      </c>
      <c r="B248" s="2" t="s">
        <v>3379</v>
      </c>
      <c r="C248" s="2" t="s">
        <v>3380</v>
      </c>
      <c r="D248" s="2" t="s">
        <v>3381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L248" s="2" t="s">
        <v>3382</v>
      </c>
      <c r="M248" s="3" t="s">
        <v>403</v>
      </c>
      <c r="O248" s="3" t="s">
        <v>64</v>
      </c>
      <c r="P248" s="3" t="s">
        <v>1130</v>
      </c>
      <c r="Q248" s="2" t="s">
        <v>3383</v>
      </c>
      <c r="R248" s="3" t="s">
        <v>2200</v>
      </c>
      <c r="S248" s="4">
        <v>10</v>
      </c>
      <c r="T248" s="4">
        <v>10</v>
      </c>
      <c r="U248" s="5" t="s">
        <v>2882</v>
      </c>
      <c r="V248" s="5" t="s">
        <v>2882</v>
      </c>
      <c r="W248" s="5" t="s">
        <v>3268</v>
      </c>
      <c r="X248" s="5" t="s">
        <v>3268</v>
      </c>
      <c r="Y248" s="4">
        <v>610</v>
      </c>
      <c r="Z248" s="4">
        <v>571</v>
      </c>
      <c r="AA248" s="4">
        <v>626</v>
      </c>
      <c r="AB248" s="4">
        <v>4</v>
      </c>
      <c r="AC248" s="4">
        <v>4</v>
      </c>
      <c r="AD248" s="4">
        <v>1</v>
      </c>
      <c r="AE248" s="4">
        <v>3</v>
      </c>
      <c r="AF248" s="4">
        <v>0</v>
      </c>
      <c r="AG248" s="4">
        <v>1</v>
      </c>
      <c r="AH248" s="4">
        <v>0</v>
      </c>
      <c r="AI248" s="4">
        <v>1</v>
      </c>
      <c r="AJ248" s="4">
        <v>0</v>
      </c>
      <c r="AK248" s="4">
        <v>0</v>
      </c>
      <c r="AL248" s="4">
        <v>1</v>
      </c>
      <c r="AM248" s="4">
        <v>1</v>
      </c>
      <c r="AN248" s="4">
        <v>0</v>
      </c>
      <c r="AO248" s="4">
        <v>0</v>
      </c>
      <c r="AP248" s="3" t="s">
        <v>58</v>
      </c>
      <c r="AQ248" s="3" t="s">
        <v>85</v>
      </c>
      <c r="AR248" s="6" t="str">
        <f>HYPERLINK("http://catalog.hathitrust.org/Record/009158930","HathiTrust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HYPERLINK("https://creighton-primo.hosted.exlibrisgroup.com/primo-explore/search?tab=default_tab&amp;search_scope=EVERYTHING&amp;vid=01CRU&amp;lang=en_US&amp;offset=0&amp;query=any,contains,991004593979702656","Catalog Record")</f>
        <v>Catalog Record</v>
      </c>
      <c r="AT248" s="6" t="str">
        <f>HYPERLINK("http://www.worldcat.org/oclc/4135999","WorldCat Record")</f>
        <v>WorldCat Record</v>
      </c>
      <c r="AU248" s="3" t="s">
        <v>3384</v>
      </c>
      <c r="AV248" s="3" t="s">
        <v>3385</v>
      </c>
      <c r="AW248" s="3" t="s">
        <v>3386</v>
      </c>
      <c r="AX248" s="3" t="s">
        <v>3386</v>
      </c>
      <c r="AY248" s="3" t="s">
        <v>3387</v>
      </c>
      <c r="AZ248" s="3" t="s">
        <v>73</v>
      </c>
      <c r="BB248" s="3" t="s">
        <v>3388</v>
      </c>
      <c r="BC248" s="3" t="s">
        <v>3389</v>
      </c>
      <c r="BD248" s="3" t="s">
        <v>3390</v>
      </c>
    </row>
    <row r="249" spans="1:56" ht="41.25" customHeight="1" x14ac:dyDescent="0.25">
      <c r="A249" s="7" t="s">
        <v>58</v>
      </c>
      <c r="B249" s="2" t="s">
        <v>3391</v>
      </c>
      <c r="C249" s="2" t="s">
        <v>3392</v>
      </c>
      <c r="D249" s="2" t="s">
        <v>3393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3394</v>
      </c>
      <c r="L249" s="2" t="s">
        <v>3395</v>
      </c>
      <c r="M249" s="3" t="s">
        <v>1071</v>
      </c>
      <c r="O249" s="3" t="s">
        <v>64</v>
      </c>
      <c r="P249" s="3" t="s">
        <v>65</v>
      </c>
      <c r="R249" s="3" t="s">
        <v>2200</v>
      </c>
      <c r="S249" s="4">
        <v>8</v>
      </c>
      <c r="T249" s="4">
        <v>8</v>
      </c>
      <c r="U249" s="5" t="s">
        <v>3396</v>
      </c>
      <c r="V249" s="5" t="s">
        <v>3396</v>
      </c>
      <c r="W249" s="5" t="s">
        <v>3397</v>
      </c>
      <c r="X249" s="5" t="s">
        <v>3397</v>
      </c>
      <c r="Y249" s="4">
        <v>305</v>
      </c>
      <c r="Z249" s="4">
        <v>299</v>
      </c>
      <c r="AA249" s="4">
        <v>380</v>
      </c>
      <c r="AB249" s="4">
        <v>4</v>
      </c>
      <c r="AC249" s="4">
        <v>5</v>
      </c>
      <c r="AD249" s="4">
        <v>2</v>
      </c>
      <c r="AE249" s="4">
        <v>5</v>
      </c>
      <c r="AF249" s="4">
        <v>1</v>
      </c>
      <c r="AG249" s="4">
        <v>2</v>
      </c>
      <c r="AH249" s="4">
        <v>0</v>
      </c>
      <c r="AI249" s="4">
        <v>1</v>
      </c>
      <c r="AJ249" s="4">
        <v>0</v>
      </c>
      <c r="AK249" s="4">
        <v>0</v>
      </c>
      <c r="AL249" s="4">
        <v>1</v>
      </c>
      <c r="AM249" s="4">
        <v>2</v>
      </c>
      <c r="AN249" s="4">
        <v>0</v>
      </c>
      <c r="AO249" s="4">
        <v>0</v>
      </c>
      <c r="AP249" s="3" t="s">
        <v>58</v>
      </c>
      <c r="AQ249" s="3" t="s">
        <v>85</v>
      </c>
      <c r="AR249" s="6" t="str">
        <f>HYPERLINK("http://catalog.hathitrust.org/Record/010746489","HathiTrust Record")</f>
        <v>HathiTrust Record</v>
      </c>
      <c r="AS249" s="6" t="str">
        <f>HYPERLINK("https://creighton-primo.hosted.exlibrisgroup.com/primo-explore/search?tab=default_tab&amp;search_scope=EVERYTHING&amp;vid=01CRU&amp;lang=en_US&amp;offset=0&amp;query=any,contains,991002937289702656","Catalog Record")</f>
        <v>Catalog Record</v>
      </c>
      <c r="AT249" s="6" t="str">
        <f>HYPERLINK("http://www.worldcat.org/oclc/533747","WorldCat Record")</f>
        <v>WorldCat Record</v>
      </c>
      <c r="AU249" s="3" t="s">
        <v>3398</v>
      </c>
      <c r="AV249" s="3" t="s">
        <v>3399</v>
      </c>
      <c r="AW249" s="3" t="s">
        <v>3400</v>
      </c>
      <c r="AX249" s="3" t="s">
        <v>3400</v>
      </c>
      <c r="AY249" s="3" t="s">
        <v>3401</v>
      </c>
      <c r="AZ249" s="3" t="s">
        <v>73</v>
      </c>
      <c r="BB249" s="3" t="s">
        <v>3402</v>
      </c>
      <c r="BC249" s="3" t="s">
        <v>3403</v>
      </c>
      <c r="BD249" s="3" t="s">
        <v>3404</v>
      </c>
    </row>
    <row r="250" spans="1:56" ht="41.25" customHeight="1" x14ac:dyDescent="0.25">
      <c r="A250" s="7" t="s">
        <v>58</v>
      </c>
      <c r="B250" s="2" t="s">
        <v>3405</v>
      </c>
      <c r="C250" s="2" t="s">
        <v>3406</v>
      </c>
      <c r="D250" s="2" t="s">
        <v>3407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K250" s="2" t="s">
        <v>3408</v>
      </c>
      <c r="L250" s="2" t="s">
        <v>3409</v>
      </c>
      <c r="M250" s="3" t="s">
        <v>372</v>
      </c>
      <c r="N250" s="2" t="s">
        <v>528</v>
      </c>
      <c r="O250" s="3" t="s">
        <v>64</v>
      </c>
      <c r="P250" s="3" t="s">
        <v>65</v>
      </c>
      <c r="Q250" s="2" t="s">
        <v>3410</v>
      </c>
      <c r="R250" s="3" t="s">
        <v>2200</v>
      </c>
      <c r="S250" s="4">
        <v>6</v>
      </c>
      <c r="T250" s="4">
        <v>6</v>
      </c>
      <c r="U250" s="5" t="s">
        <v>3411</v>
      </c>
      <c r="V250" s="5" t="s">
        <v>3411</v>
      </c>
      <c r="W250" s="5" t="s">
        <v>3412</v>
      </c>
      <c r="X250" s="5" t="s">
        <v>3412</v>
      </c>
      <c r="Y250" s="4">
        <v>566</v>
      </c>
      <c r="Z250" s="4">
        <v>553</v>
      </c>
      <c r="AA250" s="4">
        <v>674</v>
      </c>
      <c r="AB250" s="4">
        <v>2</v>
      </c>
      <c r="AC250" s="4">
        <v>3</v>
      </c>
      <c r="AD250" s="4">
        <v>1</v>
      </c>
      <c r="AE250" s="4">
        <v>4</v>
      </c>
      <c r="AF250" s="4">
        <v>0</v>
      </c>
      <c r="AG250" s="4">
        <v>2</v>
      </c>
      <c r="AH250" s="4">
        <v>1</v>
      </c>
      <c r="AI250" s="4">
        <v>1</v>
      </c>
      <c r="AJ250" s="4">
        <v>0</v>
      </c>
      <c r="AK250" s="4">
        <v>1</v>
      </c>
      <c r="AL250" s="4">
        <v>0</v>
      </c>
      <c r="AM250" s="4">
        <v>1</v>
      </c>
      <c r="AN250" s="4">
        <v>0</v>
      </c>
      <c r="AO250" s="4">
        <v>0</v>
      </c>
      <c r="AP250" s="3" t="s">
        <v>58</v>
      </c>
      <c r="AQ250" s="3" t="s">
        <v>85</v>
      </c>
      <c r="AR250" s="6" t="str">
        <f>HYPERLINK("http://catalog.hathitrust.org/Record/101911728","HathiTrust Record")</f>
        <v>HathiTrust Record</v>
      </c>
      <c r="AS250" s="6" t="str">
        <f>HYPERLINK("https://creighton-primo.hosted.exlibrisgroup.com/primo-explore/search?tab=default_tab&amp;search_scope=EVERYTHING&amp;vid=01CRU&amp;lang=en_US&amp;offset=0&amp;query=any,contains,991001490049702656","Catalog Record")</f>
        <v>Catalog Record</v>
      </c>
      <c r="AT250" s="6" t="str">
        <f>HYPERLINK("http://www.worldcat.org/oclc/19722160","WorldCat Record")</f>
        <v>WorldCat Record</v>
      </c>
      <c r="AU250" s="3" t="s">
        <v>3413</v>
      </c>
      <c r="AV250" s="3" t="s">
        <v>3414</v>
      </c>
      <c r="AW250" s="3" t="s">
        <v>3415</v>
      </c>
      <c r="AX250" s="3" t="s">
        <v>3415</v>
      </c>
      <c r="AY250" s="3" t="s">
        <v>3416</v>
      </c>
      <c r="AZ250" s="3" t="s">
        <v>73</v>
      </c>
      <c r="BB250" s="3" t="s">
        <v>3417</v>
      </c>
      <c r="BC250" s="3" t="s">
        <v>3418</v>
      </c>
      <c r="BD250" s="3" t="s">
        <v>3419</v>
      </c>
    </row>
    <row r="251" spans="1:56" ht="41.25" customHeight="1" x14ac:dyDescent="0.25">
      <c r="A251" s="7" t="s">
        <v>58</v>
      </c>
      <c r="B251" s="2" t="s">
        <v>3420</v>
      </c>
      <c r="C251" s="2" t="s">
        <v>3421</v>
      </c>
      <c r="D251" s="2" t="s">
        <v>3422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K251" s="2" t="s">
        <v>3423</v>
      </c>
      <c r="L251" s="2" t="s">
        <v>3424</v>
      </c>
      <c r="M251" s="3" t="s">
        <v>1754</v>
      </c>
      <c r="N251" s="2" t="s">
        <v>528</v>
      </c>
      <c r="O251" s="3" t="s">
        <v>64</v>
      </c>
      <c r="P251" s="3" t="s">
        <v>65</v>
      </c>
      <c r="R251" s="3" t="s">
        <v>2200</v>
      </c>
      <c r="S251" s="4">
        <v>13</v>
      </c>
      <c r="T251" s="4">
        <v>13</v>
      </c>
      <c r="U251" s="5" t="s">
        <v>3151</v>
      </c>
      <c r="V251" s="5" t="s">
        <v>3151</v>
      </c>
      <c r="W251" s="5" t="s">
        <v>3144</v>
      </c>
      <c r="X251" s="5" t="s">
        <v>3144</v>
      </c>
      <c r="Y251" s="4">
        <v>1314</v>
      </c>
      <c r="Z251" s="4">
        <v>1250</v>
      </c>
      <c r="AA251" s="4">
        <v>1269</v>
      </c>
      <c r="AB251" s="4">
        <v>10</v>
      </c>
      <c r="AC251" s="4">
        <v>10</v>
      </c>
      <c r="AD251" s="4">
        <v>1</v>
      </c>
      <c r="AE251" s="4">
        <v>1</v>
      </c>
      <c r="AF251" s="4">
        <v>0</v>
      </c>
      <c r="AG251" s="4">
        <v>0</v>
      </c>
      <c r="AH251" s="4">
        <v>0</v>
      </c>
      <c r="AI251" s="4">
        <v>0</v>
      </c>
      <c r="AJ251" s="4">
        <v>0</v>
      </c>
      <c r="AK251" s="4">
        <v>0</v>
      </c>
      <c r="AL251" s="4">
        <v>1</v>
      </c>
      <c r="AM251" s="4">
        <v>1</v>
      </c>
      <c r="AN251" s="4">
        <v>0</v>
      </c>
      <c r="AO251" s="4">
        <v>0</v>
      </c>
      <c r="AP251" s="3" t="s">
        <v>58</v>
      </c>
      <c r="AQ251" s="3" t="s">
        <v>58</v>
      </c>
      <c r="AS251" s="6" t="str">
        <f>HYPERLINK("https://creighton-primo.hosted.exlibrisgroup.com/primo-explore/search?tab=default_tab&amp;search_scope=EVERYTHING&amp;vid=01CRU&amp;lang=en_US&amp;offset=0&amp;query=any,contains,991001217479702656","Catalog Record")</f>
        <v>Catalog Record</v>
      </c>
      <c r="AT251" s="6" t="str">
        <f>HYPERLINK("http://www.worldcat.org/oclc/17439640","WorldCat Record")</f>
        <v>WorldCat Record</v>
      </c>
      <c r="AU251" s="3" t="s">
        <v>3425</v>
      </c>
      <c r="AV251" s="3" t="s">
        <v>3426</v>
      </c>
      <c r="AW251" s="3" t="s">
        <v>3427</v>
      </c>
      <c r="AX251" s="3" t="s">
        <v>3427</v>
      </c>
      <c r="AY251" s="3" t="s">
        <v>3428</v>
      </c>
      <c r="AZ251" s="3" t="s">
        <v>73</v>
      </c>
      <c r="BB251" s="3" t="s">
        <v>3429</v>
      </c>
      <c r="BC251" s="3" t="s">
        <v>3430</v>
      </c>
      <c r="BD251" s="3" t="s">
        <v>3431</v>
      </c>
    </row>
    <row r="252" spans="1:56" ht="41.25" customHeight="1" x14ac:dyDescent="0.25">
      <c r="A252" s="7" t="s">
        <v>58</v>
      </c>
      <c r="B252" s="2" t="s">
        <v>3432</v>
      </c>
      <c r="C252" s="2" t="s">
        <v>3433</v>
      </c>
      <c r="D252" s="2" t="s">
        <v>3434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K252" s="2" t="s">
        <v>3435</v>
      </c>
      <c r="L252" s="2" t="s">
        <v>3436</v>
      </c>
      <c r="M252" s="3" t="s">
        <v>3437</v>
      </c>
      <c r="N252" s="2" t="s">
        <v>3438</v>
      </c>
      <c r="O252" s="3" t="s">
        <v>64</v>
      </c>
      <c r="P252" s="3" t="s">
        <v>388</v>
      </c>
      <c r="R252" s="3" t="s">
        <v>2200</v>
      </c>
      <c r="S252" s="4">
        <v>5</v>
      </c>
      <c r="T252" s="4">
        <v>5</v>
      </c>
      <c r="U252" s="5" t="s">
        <v>2937</v>
      </c>
      <c r="V252" s="5" t="s">
        <v>2937</v>
      </c>
      <c r="W252" s="5" t="s">
        <v>799</v>
      </c>
      <c r="X252" s="5" t="s">
        <v>799</v>
      </c>
      <c r="Y252" s="4">
        <v>78</v>
      </c>
      <c r="Z252" s="4">
        <v>75</v>
      </c>
      <c r="AA252" s="4">
        <v>497</v>
      </c>
      <c r="AB252" s="4">
        <v>1</v>
      </c>
      <c r="AC252" s="4">
        <v>3</v>
      </c>
      <c r="AD252" s="4">
        <v>0</v>
      </c>
      <c r="AE252" s="4">
        <v>6</v>
      </c>
      <c r="AF252" s="4">
        <v>0</v>
      </c>
      <c r="AG252" s="4">
        <v>2</v>
      </c>
      <c r="AH252" s="4">
        <v>0</v>
      </c>
      <c r="AI252" s="4">
        <v>2</v>
      </c>
      <c r="AJ252" s="4">
        <v>0</v>
      </c>
      <c r="AK252" s="4">
        <v>0</v>
      </c>
      <c r="AL252" s="4">
        <v>0</v>
      </c>
      <c r="AM252" s="4">
        <v>2</v>
      </c>
      <c r="AN252" s="4">
        <v>0</v>
      </c>
      <c r="AO252" s="4">
        <v>0</v>
      </c>
      <c r="AP252" s="3" t="s">
        <v>58</v>
      </c>
      <c r="AQ252" s="3" t="s">
        <v>85</v>
      </c>
      <c r="AR252" s="6" t="str">
        <f>HYPERLINK("http://catalog.hathitrust.org/Record/006772300","HathiTrust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HYPERLINK("https://creighton-primo.hosted.exlibrisgroup.com/primo-explore/search?tab=default_tab&amp;search_scope=EVERYTHING&amp;vid=01CRU&amp;lang=en_US&amp;offset=0&amp;query=any,contains,991003769539702656","Catalog Record")</f>
        <v>Catalog Record</v>
      </c>
      <c r="AT252" s="6" t="str">
        <f>HYPERLINK("http://www.worldcat.org/oclc/1467643","WorldCat Record")</f>
        <v>WorldCat Record</v>
      </c>
      <c r="AU252" s="3" t="s">
        <v>3439</v>
      </c>
      <c r="AV252" s="3" t="s">
        <v>3440</v>
      </c>
      <c r="AW252" s="3" t="s">
        <v>3441</v>
      </c>
      <c r="AX252" s="3" t="s">
        <v>3441</v>
      </c>
      <c r="AY252" s="3" t="s">
        <v>3442</v>
      </c>
      <c r="AZ252" s="3" t="s">
        <v>73</v>
      </c>
      <c r="BC252" s="3" t="s">
        <v>3443</v>
      </c>
      <c r="BD252" s="3" t="s">
        <v>3444</v>
      </c>
    </row>
    <row r="253" spans="1:56" ht="41.25" customHeight="1" x14ac:dyDescent="0.25">
      <c r="A253" s="7" t="s">
        <v>58</v>
      </c>
      <c r="B253" s="2" t="s">
        <v>3445</v>
      </c>
      <c r="C253" s="2" t="s">
        <v>3446</v>
      </c>
      <c r="D253" s="2" t="s">
        <v>3447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K253" s="2" t="s">
        <v>3448</v>
      </c>
      <c r="L253" s="2" t="s">
        <v>3449</v>
      </c>
      <c r="M253" s="3" t="s">
        <v>1071</v>
      </c>
      <c r="O253" s="3" t="s">
        <v>64</v>
      </c>
      <c r="P253" s="3" t="s">
        <v>65</v>
      </c>
      <c r="R253" s="3" t="s">
        <v>2200</v>
      </c>
      <c r="S253" s="4">
        <v>9</v>
      </c>
      <c r="T253" s="4">
        <v>9</v>
      </c>
      <c r="U253" s="5" t="s">
        <v>3450</v>
      </c>
      <c r="V253" s="5" t="s">
        <v>3450</v>
      </c>
      <c r="W253" s="5" t="s">
        <v>1044</v>
      </c>
      <c r="X253" s="5" t="s">
        <v>1044</v>
      </c>
      <c r="Y253" s="4">
        <v>116</v>
      </c>
      <c r="Z253" s="4">
        <v>109</v>
      </c>
      <c r="AA253" s="4">
        <v>109</v>
      </c>
      <c r="AB253" s="4">
        <v>2</v>
      </c>
      <c r="AC253" s="4">
        <v>2</v>
      </c>
      <c r="AD253" s="4">
        <v>2</v>
      </c>
      <c r="AE253" s="4">
        <v>2</v>
      </c>
      <c r="AF253" s="4">
        <v>0</v>
      </c>
      <c r="AG253" s="4">
        <v>0</v>
      </c>
      <c r="AH253" s="4">
        <v>0</v>
      </c>
      <c r="AI253" s="4">
        <v>0</v>
      </c>
      <c r="AJ253" s="4">
        <v>1</v>
      </c>
      <c r="AK253" s="4">
        <v>1</v>
      </c>
      <c r="AL253" s="4">
        <v>1</v>
      </c>
      <c r="AM253" s="4">
        <v>1</v>
      </c>
      <c r="AN253" s="4">
        <v>0</v>
      </c>
      <c r="AO253" s="4">
        <v>0</v>
      </c>
      <c r="AP253" s="3" t="s">
        <v>58</v>
      </c>
      <c r="AQ253" s="3" t="s">
        <v>58</v>
      </c>
      <c r="AS253" s="6" t="str">
        <f>HYPERLINK("https://creighton-primo.hosted.exlibrisgroup.com/primo-explore/search?tab=default_tab&amp;search_scope=EVERYTHING&amp;vid=01CRU&amp;lang=en_US&amp;offset=0&amp;query=any,contains,991002056609702656","Catalog Record")</f>
        <v>Catalog Record</v>
      </c>
      <c r="AT253" s="6" t="str">
        <f>HYPERLINK("http://www.worldcat.org/oclc/262281","WorldCat Record")</f>
        <v>WorldCat Record</v>
      </c>
      <c r="AU253" s="3" t="s">
        <v>3451</v>
      </c>
      <c r="AV253" s="3" t="s">
        <v>3452</v>
      </c>
      <c r="AW253" s="3" t="s">
        <v>3453</v>
      </c>
      <c r="AX253" s="3" t="s">
        <v>3453</v>
      </c>
      <c r="AY253" s="3" t="s">
        <v>3454</v>
      </c>
      <c r="AZ253" s="3" t="s">
        <v>73</v>
      </c>
      <c r="BB253" s="3" t="s">
        <v>3455</v>
      </c>
      <c r="BC253" s="3" t="s">
        <v>3456</v>
      </c>
      <c r="BD253" s="3" t="s">
        <v>3457</v>
      </c>
    </row>
    <row r="254" spans="1:56" ht="41.25" customHeight="1" x14ac:dyDescent="0.25">
      <c r="A254" s="7" t="s">
        <v>58</v>
      </c>
      <c r="B254" s="2" t="s">
        <v>3458</v>
      </c>
      <c r="C254" s="2" t="s">
        <v>3459</v>
      </c>
      <c r="D254" s="2" t="s">
        <v>3460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K254" s="2" t="s">
        <v>3461</v>
      </c>
      <c r="L254" s="2" t="s">
        <v>3462</v>
      </c>
      <c r="M254" s="3" t="s">
        <v>81</v>
      </c>
      <c r="O254" s="3" t="s">
        <v>64</v>
      </c>
      <c r="P254" s="3" t="s">
        <v>1298</v>
      </c>
      <c r="R254" s="3" t="s">
        <v>2200</v>
      </c>
      <c r="S254" s="4">
        <v>4</v>
      </c>
      <c r="T254" s="4">
        <v>4</v>
      </c>
      <c r="U254" s="5" t="s">
        <v>2882</v>
      </c>
      <c r="V254" s="5" t="s">
        <v>2882</v>
      </c>
      <c r="W254" s="5" t="s">
        <v>3463</v>
      </c>
      <c r="X254" s="5" t="s">
        <v>3463</v>
      </c>
      <c r="Y254" s="4">
        <v>40</v>
      </c>
      <c r="Z254" s="4">
        <v>39</v>
      </c>
      <c r="AA254" s="4">
        <v>255</v>
      </c>
      <c r="AB254" s="4">
        <v>1</v>
      </c>
      <c r="AC254" s="4">
        <v>7</v>
      </c>
      <c r="AD254" s="4">
        <v>0</v>
      </c>
      <c r="AE254" s="4">
        <v>1</v>
      </c>
      <c r="AF254" s="4">
        <v>0</v>
      </c>
      <c r="AG254" s="4">
        <v>1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3" t="s">
        <v>58</v>
      </c>
      <c r="AQ254" s="3" t="s">
        <v>58</v>
      </c>
      <c r="AS254" s="6" t="str">
        <f>HYPERLINK("https://creighton-primo.hosted.exlibrisgroup.com/primo-explore/search?tab=default_tab&amp;search_scope=EVERYTHING&amp;vid=01CRU&amp;lang=en_US&amp;offset=0&amp;query=any,contains,991004271919702656","Catalog Record")</f>
        <v>Catalog Record</v>
      </c>
      <c r="AT254" s="6" t="str">
        <f>HYPERLINK("http://www.worldcat.org/oclc/2880186","WorldCat Record")</f>
        <v>WorldCat Record</v>
      </c>
      <c r="AU254" s="3" t="s">
        <v>3464</v>
      </c>
      <c r="AV254" s="3" t="s">
        <v>3465</v>
      </c>
      <c r="AW254" s="3" t="s">
        <v>3466</v>
      </c>
      <c r="AX254" s="3" t="s">
        <v>3466</v>
      </c>
      <c r="AY254" s="3" t="s">
        <v>3467</v>
      </c>
      <c r="AZ254" s="3" t="s">
        <v>73</v>
      </c>
      <c r="BB254" s="3" t="s">
        <v>3468</v>
      </c>
      <c r="BC254" s="3" t="s">
        <v>3469</v>
      </c>
      <c r="BD254" s="3" t="s">
        <v>3470</v>
      </c>
    </row>
    <row r="255" spans="1:56" ht="41.25" customHeight="1" x14ac:dyDescent="0.25">
      <c r="A255" s="7" t="s">
        <v>58</v>
      </c>
      <c r="B255" s="2" t="s">
        <v>3471</v>
      </c>
      <c r="C255" s="2" t="s">
        <v>3472</v>
      </c>
      <c r="D255" s="2" t="s">
        <v>3473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K255" s="2" t="s">
        <v>3474</v>
      </c>
      <c r="L255" s="2" t="s">
        <v>3475</v>
      </c>
      <c r="M255" s="3" t="s">
        <v>656</v>
      </c>
      <c r="N255" s="2" t="s">
        <v>1198</v>
      </c>
      <c r="O255" s="3" t="s">
        <v>64</v>
      </c>
      <c r="P255" s="3" t="s">
        <v>755</v>
      </c>
      <c r="R255" s="3" t="s">
        <v>2200</v>
      </c>
      <c r="S255" s="4">
        <v>4</v>
      </c>
      <c r="T255" s="4">
        <v>4</v>
      </c>
      <c r="U255" s="5" t="s">
        <v>3476</v>
      </c>
      <c r="V255" s="5" t="s">
        <v>3476</v>
      </c>
      <c r="W255" s="5" t="s">
        <v>3477</v>
      </c>
      <c r="X255" s="5" t="s">
        <v>3477</v>
      </c>
      <c r="Y255" s="4">
        <v>80</v>
      </c>
      <c r="Z255" s="4">
        <v>77</v>
      </c>
      <c r="AA255" s="4">
        <v>208</v>
      </c>
      <c r="AB255" s="4">
        <v>1</v>
      </c>
      <c r="AC255" s="4">
        <v>1</v>
      </c>
      <c r="AD255" s="4">
        <v>0</v>
      </c>
      <c r="AE255" s="4">
        <v>4</v>
      </c>
      <c r="AF255" s="4">
        <v>0</v>
      </c>
      <c r="AG255" s="4">
        <v>1</v>
      </c>
      <c r="AH255" s="4">
        <v>0</v>
      </c>
      <c r="AI255" s="4">
        <v>2</v>
      </c>
      <c r="AJ255" s="4">
        <v>0</v>
      </c>
      <c r="AK255" s="4">
        <v>1</v>
      </c>
      <c r="AL255" s="4">
        <v>0</v>
      </c>
      <c r="AM255" s="4">
        <v>0</v>
      </c>
      <c r="AN255" s="4">
        <v>0</v>
      </c>
      <c r="AO255" s="4">
        <v>0</v>
      </c>
      <c r="AP255" s="3" t="s">
        <v>58</v>
      </c>
      <c r="AQ255" s="3" t="s">
        <v>58</v>
      </c>
      <c r="AS255" s="6" t="str">
        <f>HYPERLINK("https://creighton-primo.hosted.exlibrisgroup.com/primo-explore/search?tab=default_tab&amp;search_scope=EVERYTHING&amp;vid=01CRU&amp;lang=en_US&amp;offset=0&amp;query=any,contains,991003350409702656","Catalog Record")</f>
        <v>Catalog Record</v>
      </c>
      <c r="AT255" s="6" t="str">
        <f>HYPERLINK("http://www.worldcat.org/oclc/44592668","WorldCat Record")</f>
        <v>WorldCat Record</v>
      </c>
      <c r="AU255" s="3" t="s">
        <v>3478</v>
      </c>
      <c r="AV255" s="3" t="s">
        <v>3479</v>
      </c>
      <c r="AW255" s="3" t="s">
        <v>3480</v>
      </c>
      <c r="AX255" s="3" t="s">
        <v>3480</v>
      </c>
      <c r="AY255" s="3" t="s">
        <v>3481</v>
      </c>
      <c r="AZ255" s="3" t="s">
        <v>73</v>
      </c>
      <c r="BB255" s="3" t="s">
        <v>3482</v>
      </c>
      <c r="BC255" s="3" t="s">
        <v>3483</v>
      </c>
      <c r="BD255" s="3" t="s">
        <v>3484</v>
      </c>
    </row>
    <row r="256" spans="1:56" ht="41.25" customHeight="1" x14ac:dyDescent="0.25">
      <c r="A256" s="7" t="s">
        <v>58</v>
      </c>
      <c r="B256" s="2" t="s">
        <v>3485</v>
      </c>
      <c r="C256" s="2" t="s">
        <v>3486</v>
      </c>
      <c r="D256" s="2" t="s">
        <v>3487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3488</v>
      </c>
      <c r="L256" s="2" t="s">
        <v>3489</v>
      </c>
      <c r="M256" s="3" t="s">
        <v>81</v>
      </c>
      <c r="O256" s="3" t="s">
        <v>64</v>
      </c>
      <c r="P256" s="3" t="s">
        <v>65</v>
      </c>
      <c r="R256" s="3" t="s">
        <v>2200</v>
      </c>
      <c r="S256" s="4">
        <v>3</v>
      </c>
      <c r="T256" s="4">
        <v>3</v>
      </c>
      <c r="U256" s="5" t="s">
        <v>3490</v>
      </c>
      <c r="V256" s="5" t="s">
        <v>3490</v>
      </c>
      <c r="W256" s="5" t="s">
        <v>1044</v>
      </c>
      <c r="X256" s="5" t="s">
        <v>1044</v>
      </c>
      <c r="Y256" s="4">
        <v>189</v>
      </c>
      <c r="Z256" s="4">
        <v>183</v>
      </c>
      <c r="AA256" s="4">
        <v>188</v>
      </c>
      <c r="AB256" s="4">
        <v>1</v>
      </c>
      <c r="AC256" s="4">
        <v>1</v>
      </c>
      <c r="AD256" s="4">
        <v>3</v>
      </c>
      <c r="AE256" s="4">
        <v>3</v>
      </c>
      <c r="AF256" s="4">
        <v>1</v>
      </c>
      <c r="AG256" s="4">
        <v>1</v>
      </c>
      <c r="AH256" s="4">
        <v>0</v>
      </c>
      <c r="AI256" s="4">
        <v>0</v>
      </c>
      <c r="AJ256" s="4">
        <v>3</v>
      </c>
      <c r="AK256" s="4">
        <v>3</v>
      </c>
      <c r="AL256" s="4">
        <v>0</v>
      </c>
      <c r="AM256" s="4">
        <v>0</v>
      </c>
      <c r="AN256" s="4">
        <v>0</v>
      </c>
      <c r="AO256" s="4">
        <v>0</v>
      </c>
      <c r="AP256" s="3" t="s">
        <v>58</v>
      </c>
      <c r="AQ256" s="3" t="s">
        <v>58</v>
      </c>
      <c r="AS256" s="6" t="str">
        <f>HYPERLINK("https://creighton-primo.hosted.exlibrisgroup.com/primo-explore/search?tab=default_tab&amp;search_scope=EVERYTHING&amp;vid=01CRU&amp;lang=en_US&amp;offset=0&amp;query=any,contains,991003963999702656","Catalog Record")</f>
        <v>Catalog Record</v>
      </c>
      <c r="AT256" s="6" t="str">
        <f>HYPERLINK("http://www.worldcat.org/oclc/1976898","WorldCat Record")</f>
        <v>WorldCat Record</v>
      </c>
      <c r="AU256" s="3" t="s">
        <v>3491</v>
      </c>
      <c r="AV256" s="3" t="s">
        <v>3492</v>
      </c>
      <c r="AW256" s="3" t="s">
        <v>3493</v>
      </c>
      <c r="AX256" s="3" t="s">
        <v>3493</v>
      </c>
      <c r="AY256" s="3" t="s">
        <v>3494</v>
      </c>
      <c r="AZ256" s="3" t="s">
        <v>73</v>
      </c>
      <c r="BB256" s="3" t="s">
        <v>3495</v>
      </c>
      <c r="BC256" s="3" t="s">
        <v>3496</v>
      </c>
      <c r="BD256" s="3" t="s">
        <v>3497</v>
      </c>
    </row>
    <row r="257" spans="1:56" ht="41.25" customHeight="1" x14ac:dyDescent="0.25">
      <c r="A257" s="7" t="s">
        <v>58</v>
      </c>
      <c r="B257" s="2" t="s">
        <v>3498</v>
      </c>
      <c r="C257" s="2" t="s">
        <v>3499</v>
      </c>
      <c r="D257" s="2" t="s">
        <v>3500</v>
      </c>
      <c r="F257" s="3" t="s">
        <v>58</v>
      </c>
      <c r="G257" s="3" t="s">
        <v>59</v>
      </c>
      <c r="H257" s="3" t="s">
        <v>85</v>
      </c>
      <c r="I257" s="3" t="s">
        <v>58</v>
      </c>
      <c r="J257" s="3" t="s">
        <v>60</v>
      </c>
      <c r="K257" s="2" t="s">
        <v>3501</v>
      </c>
      <c r="L257" s="2" t="s">
        <v>3502</v>
      </c>
      <c r="M257" s="3" t="s">
        <v>63</v>
      </c>
      <c r="O257" s="3" t="s">
        <v>64</v>
      </c>
      <c r="P257" s="3" t="s">
        <v>2977</v>
      </c>
      <c r="Q257" s="2" t="s">
        <v>3503</v>
      </c>
      <c r="R257" s="3" t="s">
        <v>2200</v>
      </c>
      <c r="S257" s="4">
        <v>2</v>
      </c>
      <c r="T257" s="4">
        <v>2</v>
      </c>
      <c r="U257" s="5" t="s">
        <v>3504</v>
      </c>
      <c r="V257" s="5" t="s">
        <v>3504</v>
      </c>
      <c r="W257" s="5" t="s">
        <v>799</v>
      </c>
      <c r="X257" s="5" t="s">
        <v>799</v>
      </c>
      <c r="Y257" s="4">
        <v>71</v>
      </c>
      <c r="Z257" s="4">
        <v>68</v>
      </c>
      <c r="AA257" s="4">
        <v>68</v>
      </c>
      <c r="AB257" s="4">
        <v>24</v>
      </c>
      <c r="AC257" s="4">
        <v>24</v>
      </c>
      <c r="AD257" s="4">
        <v>12</v>
      </c>
      <c r="AE257" s="4">
        <v>12</v>
      </c>
      <c r="AF257" s="4">
        <v>0</v>
      </c>
      <c r="AG257" s="4">
        <v>0</v>
      </c>
      <c r="AH257" s="4">
        <v>0</v>
      </c>
      <c r="AI257" s="4">
        <v>0</v>
      </c>
      <c r="AJ257" s="4">
        <v>0</v>
      </c>
      <c r="AK257" s="4">
        <v>0</v>
      </c>
      <c r="AL257" s="4">
        <v>12</v>
      </c>
      <c r="AM257" s="4">
        <v>12</v>
      </c>
      <c r="AN257" s="4">
        <v>0</v>
      </c>
      <c r="AO257" s="4">
        <v>0</v>
      </c>
      <c r="AP257" s="3" t="s">
        <v>58</v>
      </c>
      <c r="AQ257" s="3" t="s">
        <v>58</v>
      </c>
      <c r="AS257" s="6" t="str">
        <f>HYPERLINK("https://creighton-primo.hosted.exlibrisgroup.com/primo-explore/search?tab=default_tab&amp;search_scope=EVERYTHING&amp;vid=01CRU&amp;lang=en_US&amp;offset=0&amp;query=any,contains,991001668419702656","Catalog Record")</f>
        <v>Catalog Record</v>
      </c>
      <c r="AT257" s="6" t="str">
        <f>HYPERLINK("http://www.worldcat.org/oclc/61769","WorldCat Record")</f>
        <v>WorldCat Record</v>
      </c>
      <c r="AU257" s="3" t="s">
        <v>3505</v>
      </c>
      <c r="AV257" s="3" t="s">
        <v>3506</v>
      </c>
      <c r="AW257" s="3" t="s">
        <v>3507</v>
      </c>
      <c r="AX257" s="3" t="s">
        <v>3507</v>
      </c>
      <c r="AY257" s="3" t="s">
        <v>3508</v>
      </c>
      <c r="AZ257" s="3" t="s">
        <v>73</v>
      </c>
      <c r="BC257" s="3" t="s">
        <v>3509</v>
      </c>
      <c r="BD257" s="3" t="s">
        <v>3510</v>
      </c>
    </row>
    <row r="258" spans="1:56" ht="41.25" customHeight="1" x14ac:dyDescent="0.25">
      <c r="A258" s="7" t="s">
        <v>58</v>
      </c>
      <c r="B258" s="2" t="s">
        <v>3511</v>
      </c>
      <c r="C258" s="2" t="s">
        <v>3512</v>
      </c>
      <c r="D258" s="2" t="s">
        <v>3513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K258" s="2" t="s">
        <v>3514</v>
      </c>
      <c r="L258" s="2" t="s">
        <v>3515</v>
      </c>
      <c r="M258" s="3" t="s">
        <v>230</v>
      </c>
      <c r="O258" s="3" t="s">
        <v>64</v>
      </c>
      <c r="P258" s="3" t="s">
        <v>405</v>
      </c>
      <c r="R258" s="3" t="s">
        <v>2200</v>
      </c>
      <c r="S258" s="4">
        <v>25</v>
      </c>
      <c r="T258" s="4">
        <v>25</v>
      </c>
      <c r="U258" s="5" t="s">
        <v>3516</v>
      </c>
      <c r="V258" s="5" t="s">
        <v>3516</v>
      </c>
      <c r="W258" s="5" t="s">
        <v>3517</v>
      </c>
      <c r="X258" s="5" t="s">
        <v>3517</v>
      </c>
      <c r="Y258" s="4">
        <v>746</v>
      </c>
      <c r="Z258" s="4">
        <v>713</v>
      </c>
      <c r="AA258" s="4">
        <v>1141</v>
      </c>
      <c r="AB258" s="4">
        <v>6</v>
      </c>
      <c r="AC258" s="4">
        <v>11</v>
      </c>
      <c r="AD258" s="4">
        <v>12</v>
      </c>
      <c r="AE258" s="4">
        <v>22</v>
      </c>
      <c r="AF258" s="4">
        <v>5</v>
      </c>
      <c r="AG258" s="4">
        <v>9</v>
      </c>
      <c r="AH258" s="4">
        <v>3</v>
      </c>
      <c r="AI258" s="4">
        <v>5</v>
      </c>
      <c r="AJ258" s="4">
        <v>6</v>
      </c>
      <c r="AK258" s="4">
        <v>7</v>
      </c>
      <c r="AL258" s="4">
        <v>1</v>
      </c>
      <c r="AM258" s="4">
        <v>6</v>
      </c>
      <c r="AN258" s="4">
        <v>0</v>
      </c>
      <c r="AO258" s="4">
        <v>0</v>
      </c>
      <c r="AP258" s="3" t="s">
        <v>58</v>
      </c>
      <c r="AQ258" s="3" t="s">
        <v>58</v>
      </c>
      <c r="AS258" s="6" t="str">
        <f>HYPERLINK("https://creighton-primo.hosted.exlibrisgroup.com/primo-explore/search?tab=default_tab&amp;search_scope=EVERYTHING&amp;vid=01CRU&amp;lang=en_US&amp;offset=0&amp;query=any,contains,991004198989702656","Catalog Record")</f>
        <v>Catalog Record</v>
      </c>
      <c r="AT258" s="6" t="str">
        <f>HYPERLINK("http://www.worldcat.org/oclc/2646393","WorldCat Record")</f>
        <v>WorldCat Record</v>
      </c>
      <c r="AU258" s="3" t="s">
        <v>3518</v>
      </c>
      <c r="AV258" s="3" t="s">
        <v>3519</v>
      </c>
      <c r="AW258" s="3" t="s">
        <v>3520</v>
      </c>
      <c r="AX258" s="3" t="s">
        <v>3520</v>
      </c>
      <c r="AY258" s="3" t="s">
        <v>3521</v>
      </c>
      <c r="AZ258" s="3" t="s">
        <v>73</v>
      </c>
      <c r="BB258" s="3" t="s">
        <v>3522</v>
      </c>
      <c r="BC258" s="3" t="s">
        <v>3523</v>
      </c>
      <c r="BD258" s="3" t="s">
        <v>3524</v>
      </c>
    </row>
    <row r="259" spans="1:56" ht="41.25" customHeight="1" x14ac:dyDescent="0.25">
      <c r="A259" s="7" t="s">
        <v>58</v>
      </c>
      <c r="B259" s="2" t="s">
        <v>3525</v>
      </c>
      <c r="C259" s="2" t="s">
        <v>3526</v>
      </c>
      <c r="D259" s="2" t="s">
        <v>3527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K259" s="2" t="s">
        <v>3078</v>
      </c>
      <c r="L259" s="2" t="s">
        <v>3528</v>
      </c>
      <c r="M259" s="3" t="s">
        <v>3529</v>
      </c>
      <c r="O259" s="3" t="s">
        <v>64</v>
      </c>
      <c r="P259" s="3" t="s">
        <v>3177</v>
      </c>
      <c r="R259" s="3" t="s">
        <v>2200</v>
      </c>
      <c r="S259" s="4">
        <v>4</v>
      </c>
      <c r="T259" s="4">
        <v>4</v>
      </c>
      <c r="U259" s="5" t="s">
        <v>3530</v>
      </c>
      <c r="V259" s="5" t="s">
        <v>3530</v>
      </c>
      <c r="W259" s="5" t="s">
        <v>1044</v>
      </c>
      <c r="X259" s="5" t="s">
        <v>1044</v>
      </c>
      <c r="Y259" s="4">
        <v>216</v>
      </c>
      <c r="Z259" s="4">
        <v>192</v>
      </c>
      <c r="AA259" s="4">
        <v>336</v>
      </c>
      <c r="AB259" s="4">
        <v>2</v>
      </c>
      <c r="AC259" s="4">
        <v>2</v>
      </c>
      <c r="AD259" s="4">
        <v>5</v>
      </c>
      <c r="AE259" s="4">
        <v>8</v>
      </c>
      <c r="AF259" s="4">
        <v>1</v>
      </c>
      <c r="AG259" s="4">
        <v>3</v>
      </c>
      <c r="AH259" s="4">
        <v>0</v>
      </c>
      <c r="AI259" s="4">
        <v>1</v>
      </c>
      <c r="AJ259" s="4">
        <v>4</v>
      </c>
      <c r="AK259" s="4">
        <v>4</v>
      </c>
      <c r="AL259" s="4">
        <v>1</v>
      </c>
      <c r="AM259" s="4">
        <v>1</v>
      </c>
      <c r="AN259" s="4">
        <v>0</v>
      </c>
      <c r="AO259" s="4">
        <v>0</v>
      </c>
      <c r="AP259" s="3" t="s">
        <v>58</v>
      </c>
      <c r="AQ259" s="3" t="s">
        <v>85</v>
      </c>
      <c r="AR259" s="6" t="str">
        <f>HYPERLINK("http://catalog.hathitrust.org/Record/009055908","HathiTrust Record")</f>
        <v>HathiTrust Record</v>
      </c>
      <c r="AS259" s="6" t="str">
        <f>HYPERLINK("https://creighton-primo.hosted.exlibrisgroup.com/primo-explore/search?tab=default_tab&amp;search_scope=EVERYTHING&amp;vid=01CRU&amp;lang=en_US&amp;offset=0&amp;query=any,contains,991003768339702656","Catalog Record")</f>
        <v>Catalog Record</v>
      </c>
      <c r="AT259" s="6" t="str">
        <f>HYPERLINK("http://www.worldcat.org/oclc/1463436","WorldCat Record")</f>
        <v>WorldCat Record</v>
      </c>
      <c r="AU259" s="3" t="s">
        <v>3531</v>
      </c>
      <c r="AV259" s="3" t="s">
        <v>3532</v>
      </c>
      <c r="AW259" s="3" t="s">
        <v>3533</v>
      </c>
      <c r="AX259" s="3" t="s">
        <v>3533</v>
      </c>
      <c r="AY259" s="3" t="s">
        <v>3534</v>
      </c>
      <c r="AZ259" s="3" t="s">
        <v>73</v>
      </c>
      <c r="BC259" s="3" t="s">
        <v>3535</v>
      </c>
      <c r="BD259" s="3" t="s">
        <v>3536</v>
      </c>
    </row>
    <row r="260" spans="1:56" ht="41.25" customHeight="1" x14ac:dyDescent="0.25">
      <c r="A260" s="7" t="s">
        <v>58</v>
      </c>
      <c r="B260" s="2" t="s">
        <v>3537</v>
      </c>
      <c r="C260" s="2" t="s">
        <v>3538</v>
      </c>
      <c r="D260" s="2" t="s">
        <v>3539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K260" s="2" t="s">
        <v>3540</v>
      </c>
      <c r="L260" s="2" t="s">
        <v>3541</v>
      </c>
      <c r="M260" s="3" t="s">
        <v>1129</v>
      </c>
      <c r="O260" s="3" t="s">
        <v>64</v>
      </c>
      <c r="P260" s="3" t="s">
        <v>65</v>
      </c>
      <c r="Q260" s="2" t="s">
        <v>3542</v>
      </c>
      <c r="R260" s="3" t="s">
        <v>2200</v>
      </c>
      <c r="S260" s="4">
        <v>12</v>
      </c>
      <c r="T260" s="4">
        <v>12</v>
      </c>
      <c r="U260" s="5" t="s">
        <v>3543</v>
      </c>
      <c r="V260" s="5" t="s">
        <v>3543</v>
      </c>
      <c r="W260" s="5" t="s">
        <v>928</v>
      </c>
      <c r="X260" s="5" t="s">
        <v>928</v>
      </c>
      <c r="Y260" s="4">
        <v>159</v>
      </c>
      <c r="Z260" s="4">
        <v>126</v>
      </c>
      <c r="AA260" s="4">
        <v>259</v>
      </c>
      <c r="AB260" s="4">
        <v>2</v>
      </c>
      <c r="AC260" s="4">
        <v>4</v>
      </c>
      <c r="AD260" s="4">
        <v>2</v>
      </c>
      <c r="AE260" s="4">
        <v>4</v>
      </c>
      <c r="AF260" s="4">
        <v>1</v>
      </c>
      <c r="AG260" s="4">
        <v>1</v>
      </c>
      <c r="AH260" s="4">
        <v>0</v>
      </c>
      <c r="AI260" s="4">
        <v>1</v>
      </c>
      <c r="AJ260" s="4">
        <v>1</v>
      </c>
      <c r="AK260" s="4">
        <v>2</v>
      </c>
      <c r="AL260" s="4">
        <v>0</v>
      </c>
      <c r="AM260" s="4">
        <v>1</v>
      </c>
      <c r="AN260" s="4">
        <v>0</v>
      </c>
      <c r="AO260" s="4">
        <v>0</v>
      </c>
      <c r="AP260" s="3" t="s">
        <v>58</v>
      </c>
      <c r="AQ260" s="3" t="s">
        <v>85</v>
      </c>
      <c r="AR260" s="6" t="str">
        <f>HYPERLINK("http://catalog.hathitrust.org/Record/007994270","HathiTrust Record")</f>
        <v>HathiTrust Record</v>
      </c>
      <c r="AS260" s="6" t="str">
        <f>HYPERLINK("https://creighton-primo.hosted.exlibrisgroup.com/primo-explore/search?tab=default_tab&amp;search_scope=EVERYTHING&amp;vid=01CRU&amp;lang=en_US&amp;offset=0&amp;query=any,contains,991004873869702656","Catalog Record")</f>
        <v>Catalog Record</v>
      </c>
      <c r="AT260" s="6" t="str">
        <f>HYPERLINK("http://www.worldcat.org/oclc/5777115","WorldCat Record")</f>
        <v>WorldCat Record</v>
      </c>
      <c r="AU260" s="3" t="s">
        <v>3544</v>
      </c>
      <c r="AV260" s="3" t="s">
        <v>3545</v>
      </c>
      <c r="AW260" s="3" t="s">
        <v>3546</v>
      </c>
      <c r="AX260" s="3" t="s">
        <v>3546</v>
      </c>
      <c r="AY260" s="3" t="s">
        <v>3547</v>
      </c>
      <c r="AZ260" s="3" t="s">
        <v>73</v>
      </c>
      <c r="BB260" s="3" t="s">
        <v>3548</v>
      </c>
      <c r="BC260" s="3" t="s">
        <v>3549</v>
      </c>
      <c r="BD260" s="3" t="s">
        <v>3550</v>
      </c>
    </row>
    <row r="261" spans="1:56" ht="41.25" customHeight="1" x14ac:dyDescent="0.25">
      <c r="A261" s="7" t="s">
        <v>58</v>
      </c>
      <c r="B261" s="2" t="s">
        <v>3551</v>
      </c>
      <c r="C261" s="2" t="s">
        <v>3552</v>
      </c>
      <c r="D261" s="2" t="s">
        <v>3553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3554</v>
      </c>
      <c r="L261" s="2" t="s">
        <v>3555</v>
      </c>
      <c r="M261" s="3" t="s">
        <v>612</v>
      </c>
      <c r="O261" s="3" t="s">
        <v>64</v>
      </c>
      <c r="P261" s="3" t="s">
        <v>65</v>
      </c>
      <c r="R261" s="3" t="s">
        <v>2200</v>
      </c>
      <c r="S261" s="4">
        <v>3</v>
      </c>
      <c r="T261" s="4">
        <v>3</v>
      </c>
      <c r="U261" s="5" t="s">
        <v>3556</v>
      </c>
      <c r="V261" s="5" t="s">
        <v>3556</v>
      </c>
      <c r="W261" s="5" t="s">
        <v>3557</v>
      </c>
      <c r="X261" s="5" t="s">
        <v>3557</v>
      </c>
      <c r="Y261" s="4">
        <v>287</v>
      </c>
      <c r="Z261" s="4">
        <v>212</v>
      </c>
      <c r="AA261" s="4">
        <v>286</v>
      </c>
      <c r="AB261" s="4">
        <v>2</v>
      </c>
      <c r="AC261" s="4">
        <v>2</v>
      </c>
      <c r="AD261" s="4">
        <v>9</v>
      </c>
      <c r="AE261" s="4">
        <v>9</v>
      </c>
      <c r="AF261" s="4">
        <v>5</v>
      </c>
      <c r="AG261" s="4">
        <v>5</v>
      </c>
      <c r="AH261" s="4">
        <v>2</v>
      </c>
      <c r="AI261" s="4">
        <v>2</v>
      </c>
      <c r="AJ261" s="4">
        <v>5</v>
      </c>
      <c r="AK261" s="4">
        <v>5</v>
      </c>
      <c r="AL261" s="4">
        <v>1</v>
      </c>
      <c r="AM261" s="4">
        <v>1</v>
      </c>
      <c r="AN261" s="4">
        <v>0</v>
      </c>
      <c r="AO261" s="4">
        <v>0</v>
      </c>
      <c r="AP261" s="3" t="s">
        <v>58</v>
      </c>
      <c r="AQ261" s="3" t="s">
        <v>58</v>
      </c>
      <c r="AS261" s="6" t="str">
        <f>HYPERLINK("https://creighton-primo.hosted.exlibrisgroup.com/primo-explore/search?tab=default_tab&amp;search_scope=EVERYTHING&amp;vid=01CRU&amp;lang=en_US&amp;offset=0&amp;query=any,contains,991003476679702656","Catalog Record")</f>
        <v>Catalog Record</v>
      </c>
      <c r="AT261" s="6" t="str">
        <f>HYPERLINK("http://www.worldcat.org/oclc/40159131","WorldCat Record")</f>
        <v>WorldCat Record</v>
      </c>
      <c r="AU261" s="3" t="s">
        <v>3558</v>
      </c>
      <c r="AV261" s="3" t="s">
        <v>3559</v>
      </c>
      <c r="AW261" s="3" t="s">
        <v>3560</v>
      </c>
      <c r="AX261" s="3" t="s">
        <v>3560</v>
      </c>
      <c r="AY261" s="3" t="s">
        <v>3561</v>
      </c>
      <c r="AZ261" s="3" t="s">
        <v>73</v>
      </c>
      <c r="BB261" s="3" t="s">
        <v>3562</v>
      </c>
      <c r="BC261" s="3" t="s">
        <v>3563</v>
      </c>
      <c r="BD261" s="3" t="s">
        <v>3564</v>
      </c>
    </row>
    <row r="262" spans="1:56" ht="41.25" customHeight="1" x14ac:dyDescent="0.25">
      <c r="A262" s="7" t="s">
        <v>58</v>
      </c>
      <c r="B262" s="2" t="s">
        <v>3565</v>
      </c>
      <c r="C262" s="2" t="s">
        <v>3566</v>
      </c>
      <c r="D262" s="2" t="s">
        <v>3567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K262" s="2" t="s">
        <v>3568</v>
      </c>
      <c r="L262" s="2" t="s">
        <v>2828</v>
      </c>
      <c r="M262" s="3" t="s">
        <v>403</v>
      </c>
      <c r="N262" s="2" t="s">
        <v>3569</v>
      </c>
      <c r="O262" s="3" t="s">
        <v>64</v>
      </c>
      <c r="P262" s="3" t="s">
        <v>373</v>
      </c>
      <c r="R262" s="3" t="s">
        <v>2200</v>
      </c>
      <c r="S262" s="4">
        <v>4</v>
      </c>
      <c r="T262" s="4">
        <v>4</v>
      </c>
      <c r="U262" s="5" t="s">
        <v>3570</v>
      </c>
      <c r="V262" s="5" t="s">
        <v>3570</v>
      </c>
      <c r="W262" s="5" t="s">
        <v>1044</v>
      </c>
      <c r="X262" s="5" t="s">
        <v>1044</v>
      </c>
      <c r="Y262" s="4">
        <v>148</v>
      </c>
      <c r="Z262" s="4">
        <v>125</v>
      </c>
      <c r="AA262" s="4">
        <v>213</v>
      </c>
      <c r="AB262" s="4">
        <v>3</v>
      </c>
      <c r="AC262" s="4">
        <v>4</v>
      </c>
      <c r="AD262" s="4">
        <v>3</v>
      </c>
      <c r="AE262" s="4">
        <v>4</v>
      </c>
      <c r="AF262" s="4">
        <v>1</v>
      </c>
      <c r="AG262" s="4">
        <v>1</v>
      </c>
      <c r="AH262" s="4">
        <v>0</v>
      </c>
      <c r="AI262" s="4">
        <v>0</v>
      </c>
      <c r="AJ262" s="4">
        <v>0</v>
      </c>
      <c r="AK262" s="4">
        <v>1</v>
      </c>
      <c r="AL262" s="4">
        <v>2</v>
      </c>
      <c r="AM262" s="4">
        <v>2</v>
      </c>
      <c r="AN262" s="4">
        <v>0</v>
      </c>
      <c r="AO262" s="4">
        <v>0</v>
      </c>
      <c r="AP262" s="3" t="s">
        <v>58</v>
      </c>
      <c r="AQ262" s="3" t="s">
        <v>58</v>
      </c>
      <c r="AS262" s="6" t="str">
        <f>HYPERLINK("https://creighton-primo.hosted.exlibrisgroup.com/primo-explore/search?tab=default_tab&amp;search_scope=EVERYTHING&amp;vid=01CRU&amp;lang=en_US&amp;offset=0&amp;query=any,contains,991004825689702656","Catalog Record")</f>
        <v>Catalog Record</v>
      </c>
      <c r="AT262" s="6" t="str">
        <f>HYPERLINK("http://www.worldcat.org/oclc/5353412","WorldCat Record")</f>
        <v>WorldCat Record</v>
      </c>
      <c r="AU262" s="3" t="s">
        <v>3571</v>
      </c>
      <c r="AV262" s="3" t="s">
        <v>3572</v>
      </c>
      <c r="AW262" s="3" t="s">
        <v>3573</v>
      </c>
      <c r="AX262" s="3" t="s">
        <v>3573</v>
      </c>
      <c r="AY262" s="3" t="s">
        <v>3574</v>
      </c>
      <c r="AZ262" s="3" t="s">
        <v>73</v>
      </c>
      <c r="BB262" s="3" t="s">
        <v>3575</v>
      </c>
      <c r="BC262" s="3" t="s">
        <v>3576</v>
      </c>
      <c r="BD262" s="3" t="s">
        <v>3577</v>
      </c>
    </row>
    <row r="263" spans="1:56" ht="41.25" customHeight="1" x14ac:dyDescent="0.25">
      <c r="A263" s="7" t="s">
        <v>58</v>
      </c>
      <c r="B263" s="2" t="s">
        <v>3578</v>
      </c>
      <c r="C263" s="2" t="s">
        <v>3579</v>
      </c>
      <c r="D263" s="2" t="s">
        <v>3580</v>
      </c>
      <c r="F263" s="3" t="s">
        <v>58</v>
      </c>
      <c r="G263" s="3" t="s">
        <v>59</v>
      </c>
      <c r="H263" s="3" t="s">
        <v>58</v>
      </c>
      <c r="I263" s="3" t="s">
        <v>58</v>
      </c>
      <c r="J263" s="3" t="s">
        <v>60</v>
      </c>
      <c r="K263" s="2" t="s">
        <v>3581</v>
      </c>
      <c r="L263" s="2" t="s">
        <v>3582</v>
      </c>
      <c r="M263" s="3" t="s">
        <v>387</v>
      </c>
      <c r="O263" s="3" t="s">
        <v>64</v>
      </c>
      <c r="P263" s="3" t="s">
        <v>388</v>
      </c>
      <c r="R263" s="3" t="s">
        <v>2200</v>
      </c>
      <c r="S263" s="4">
        <v>3</v>
      </c>
      <c r="T263" s="4">
        <v>3</v>
      </c>
      <c r="U263" s="5" t="s">
        <v>3570</v>
      </c>
      <c r="V263" s="5" t="s">
        <v>3570</v>
      </c>
      <c r="W263" s="5" t="s">
        <v>799</v>
      </c>
      <c r="X263" s="5" t="s">
        <v>799</v>
      </c>
      <c r="Y263" s="4">
        <v>172</v>
      </c>
      <c r="Z263" s="4">
        <v>164</v>
      </c>
      <c r="AA263" s="4">
        <v>170</v>
      </c>
      <c r="AB263" s="4">
        <v>2</v>
      </c>
      <c r="AC263" s="4">
        <v>2</v>
      </c>
      <c r="AD263" s="4">
        <v>5</v>
      </c>
      <c r="AE263" s="4">
        <v>5</v>
      </c>
      <c r="AF263" s="4">
        <v>2</v>
      </c>
      <c r="AG263" s="4">
        <v>2</v>
      </c>
      <c r="AH263" s="4">
        <v>1</v>
      </c>
      <c r="AI263" s="4">
        <v>1</v>
      </c>
      <c r="AJ263" s="4">
        <v>3</v>
      </c>
      <c r="AK263" s="4">
        <v>3</v>
      </c>
      <c r="AL263" s="4">
        <v>1</v>
      </c>
      <c r="AM263" s="4">
        <v>1</v>
      </c>
      <c r="AN263" s="4">
        <v>0</v>
      </c>
      <c r="AO263" s="4">
        <v>0</v>
      </c>
      <c r="AP263" s="3" t="s">
        <v>85</v>
      </c>
      <c r="AQ263" s="3" t="s">
        <v>58</v>
      </c>
      <c r="AR263" s="6" t="str">
        <f>HYPERLINK("http://catalog.hathitrust.org/Record/008384162","HathiTrust Record")</f>
        <v>HathiTrust Record</v>
      </c>
      <c r="AS263" s="6" t="str">
        <f>HYPERLINK("https://creighton-primo.hosted.exlibrisgroup.com/primo-explore/search?tab=default_tab&amp;search_scope=EVERYTHING&amp;vid=01CRU&amp;lang=en_US&amp;offset=0&amp;query=any,contains,991002999499702656","Catalog Record")</f>
        <v>Catalog Record</v>
      </c>
      <c r="AT263" s="6" t="str">
        <f>HYPERLINK("http://www.worldcat.org/oclc/567626","WorldCat Record")</f>
        <v>WorldCat Record</v>
      </c>
      <c r="AU263" s="3" t="s">
        <v>3583</v>
      </c>
      <c r="AV263" s="3" t="s">
        <v>3584</v>
      </c>
      <c r="AW263" s="3" t="s">
        <v>3585</v>
      </c>
      <c r="AX263" s="3" t="s">
        <v>3585</v>
      </c>
      <c r="AY263" s="3" t="s">
        <v>3586</v>
      </c>
      <c r="AZ263" s="3" t="s">
        <v>73</v>
      </c>
      <c r="BC263" s="3" t="s">
        <v>3587</v>
      </c>
      <c r="BD263" s="3" t="s">
        <v>3588</v>
      </c>
    </row>
    <row r="264" spans="1:56" ht="41.25" customHeight="1" x14ac:dyDescent="0.25">
      <c r="A264" s="7" t="s">
        <v>58</v>
      </c>
      <c r="B264" s="2" t="s">
        <v>3589</v>
      </c>
      <c r="C264" s="2" t="s">
        <v>3590</v>
      </c>
      <c r="D264" s="2" t="s">
        <v>3591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K264" s="2" t="s">
        <v>3592</v>
      </c>
      <c r="L264" s="2" t="s">
        <v>1330</v>
      </c>
      <c r="M264" s="3" t="s">
        <v>612</v>
      </c>
      <c r="O264" s="3" t="s">
        <v>64</v>
      </c>
      <c r="P264" s="3" t="s">
        <v>1315</v>
      </c>
      <c r="Q264" s="2" t="s">
        <v>3593</v>
      </c>
      <c r="R264" s="3" t="s">
        <v>2200</v>
      </c>
      <c r="S264" s="4">
        <v>10</v>
      </c>
      <c r="T264" s="4">
        <v>10</v>
      </c>
      <c r="U264" s="5" t="s">
        <v>3594</v>
      </c>
      <c r="V264" s="5" t="s">
        <v>3594</v>
      </c>
      <c r="W264" s="5" t="s">
        <v>3595</v>
      </c>
      <c r="X264" s="5" t="s">
        <v>3595</v>
      </c>
      <c r="Y264" s="4">
        <v>868</v>
      </c>
      <c r="Z264" s="4">
        <v>749</v>
      </c>
      <c r="AA264" s="4">
        <v>774</v>
      </c>
      <c r="AB264" s="4">
        <v>7</v>
      </c>
      <c r="AC264" s="4">
        <v>7</v>
      </c>
      <c r="AD264" s="4">
        <v>30</v>
      </c>
      <c r="AE264" s="4">
        <v>30</v>
      </c>
      <c r="AF264" s="4">
        <v>15</v>
      </c>
      <c r="AG264" s="4">
        <v>15</v>
      </c>
      <c r="AH264" s="4">
        <v>4</v>
      </c>
      <c r="AI264" s="4">
        <v>4</v>
      </c>
      <c r="AJ264" s="4">
        <v>13</v>
      </c>
      <c r="AK264" s="4">
        <v>13</v>
      </c>
      <c r="AL264" s="4">
        <v>6</v>
      </c>
      <c r="AM264" s="4">
        <v>6</v>
      </c>
      <c r="AN264" s="4">
        <v>0</v>
      </c>
      <c r="AO264" s="4">
        <v>0</v>
      </c>
      <c r="AP264" s="3" t="s">
        <v>58</v>
      </c>
      <c r="AQ264" s="3" t="s">
        <v>85</v>
      </c>
      <c r="AR264" s="6" t="str">
        <f>HYPERLINK("http://catalog.hathitrust.org/Record/004168692","HathiTrust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HYPERLINK("https://creighton-primo.hosted.exlibrisgroup.com/primo-explore/search?tab=default_tab&amp;search_scope=EVERYTHING&amp;vid=01CRU&amp;lang=en_US&amp;offset=0&amp;query=any,contains,991003218229702656","Catalog Record")</f>
        <v>Catalog Record</v>
      </c>
      <c r="AT264" s="6" t="str">
        <f>HYPERLINK("http://www.worldcat.org/oclc/40269942","WorldCat Record")</f>
        <v>WorldCat Record</v>
      </c>
      <c r="AU264" s="3" t="s">
        <v>3596</v>
      </c>
      <c r="AV264" s="3" t="s">
        <v>3597</v>
      </c>
      <c r="AW264" s="3" t="s">
        <v>3598</v>
      </c>
      <c r="AX264" s="3" t="s">
        <v>3598</v>
      </c>
      <c r="AY264" s="3" t="s">
        <v>3599</v>
      </c>
      <c r="AZ264" s="3" t="s">
        <v>73</v>
      </c>
      <c r="BB264" s="3" t="s">
        <v>3600</v>
      </c>
      <c r="BC264" s="3" t="s">
        <v>3601</v>
      </c>
      <c r="BD264" s="3" t="s">
        <v>3602</v>
      </c>
    </row>
    <row r="265" spans="1:56" ht="41.25" customHeight="1" x14ac:dyDescent="0.25">
      <c r="A265" s="7" t="s">
        <v>58</v>
      </c>
      <c r="B265" s="2" t="s">
        <v>3603</v>
      </c>
      <c r="C265" s="2" t="s">
        <v>3604</v>
      </c>
      <c r="D265" s="2" t="s">
        <v>3605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3606</v>
      </c>
      <c r="L265" s="2" t="s">
        <v>3607</v>
      </c>
      <c r="M265" s="3" t="s">
        <v>1754</v>
      </c>
      <c r="O265" s="3" t="s">
        <v>64</v>
      </c>
      <c r="P265" s="3" t="s">
        <v>65</v>
      </c>
      <c r="Q265" s="2" t="s">
        <v>3608</v>
      </c>
      <c r="R265" s="3" t="s">
        <v>2200</v>
      </c>
      <c r="S265" s="4">
        <v>1</v>
      </c>
      <c r="T265" s="4">
        <v>1</v>
      </c>
      <c r="U265" s="5" t="s">
        <v>627</v>
      </c>
      <c r="V265" s="5" t="s">
        <v>627</v>
      </c>
      <c r="W265" s="5" t="s">
        <v>1044</v>
      </c>
      <c r="X265" s="5" t="s">
        <v>1044</v>
      </c>
      <c r="Y265" s="4">
        <v>149</v>
      </c>
      <c r="Z265" s="4">
        <v>148</v>
      </c>
      <c r="AA265" s="4">
        <v>250</v>
      </c>
      <c r="AB265" s="4">
        <v>2</v>
      </c>
      <c r="AC265" s="4">
        <v>4</v>
      </c>
      <c r="AD265" s="4">
        <v>8</v>
      </c>
      <c r="AE265" s="4">
        <v>17</v>
      </c>
      <c r="AF265" s="4">
        <v>2</v>
      </c>
      <c r="AG265" s="4">
        <v>9</v>
      </c>
      <c r="AH265" s="4">
        <v>4</v>
      </c>
      <c r="AI265" s="4">
        <v>4</v>
      </c>
      <c r="AJ265" s="4">
        <v>4</v>
      </c>
      <c r="AK265" s="4">
        <v>8</v>
      </c>
      <c r="AL265" s="4">
        <v>1</v>
      </c>
      <c r="AM265" s="4">
        <v>3</v>
      </c>
      <c r="AN265" s="4">
        <v>0</v>
      </c>
      <c r="AO265" s="4">
        <v>0</v>
      </c>
      <c r="AP265" s="3" t="s">
        <v>58</v>
      </c>
      <c r="AQ265" s="3" t="s">
        <v>58</v>
      </c>
      <c r="AS265" s="6" t="str">
        <f>HYPERLINK("https://creighton-primo.hosted.exlibrisgroup.com/primo-explore/search?tab=default_tab&amp;search_scope=EVERYTHING&amp;vid=01CRU&amp;lang=en_US&amp;offset=0&amp;query=any,contains,991001536219702656","Catalog Record")</f>
        <v>Catalog Record</v>
      </c>
      <c r="AT265" s="6" t="str">
        <f>HYPERLINK("http://www.worldcat.org/oclc/20084114","WorldCat Record")</f>
        <v>WorldCat Record</v>
      </c>
      <c r="AU265" s="3" t="s">
        <v>3609</v>
      </c>
      <c r="AV265" s="3" t="s">
        <v>3610</v>
      </c>
      <c r="AW265" s="3" t="s">
        <v>3611</v>
      </c>
      <c r="AX265" s="3" t="s">
        <v>3611</v>
      </c>
      <c r="AY265" s="3" t="s">
        <v>3612</v>
      </c>
      <c r="AZ265" s="3" t="s">
        <v>73</v>
      </c>
      <c r="BC265" s="3" t="s">
        <v>3613</v>
      </c>
      <c r="BD265" s="3" t="s">
        <v>3614</v>
      </c>
    </row>
    <row r="266" spans="1:56" ht="41.25" customHeight="1" x14ac:dyDescent="0.25">
      <c r="A266" s="7" t="s">
        <v>58</v>
      </c>
      <c r="B266" s="2" t="s">
        <v>3615</v>
      </c>
      <c r="C266" s="2" t="s">
        <v>3616</v>
      </c>
      <c r="D266" s="2" t="s">
        <v>3617</v>
      </c>
      <c r="F266" s="3" t="s">
        <v>58</v>
      </c>
      <c r="G266" s="3" t="s">
        <v>59</v>
      </c>
      <c r="H266" s="3" t="s">
        <v>58</v>
      </c>
      <c r="I266" s="3" t="s">
        <v>58</v>
      </c>
      <c r="J266" s="3" t="s">
        <v>60</v>
      </c>
      <c r="K266" s="2" t="s">
        <v>3618</v>
      </c>
      <c r="L266" s="2" t="s">
        <v>3619</v>
      </c>
      <c r="M266" s="3" t="s">
        <v>333</v>
      </c>
      <c r="O266" s="3" t="s">
        <v>64</v>
      </c>
      <c r="P266" s="3" t="s">
        <v>65</v>
      </c>
      <c r="Q266" s="2" t="s">
        <v>3620</v>
      </c>
      <c r="R266" s="3" t="s">
        <v>2200</v>
      </c>
      <c r="S266" s="4">
        <v>1</v>
      </c>
      <c r="T266" s="4">
        <v>1</v>
      </c>
      <c r="U266" s="5" t="s">
        <v>772</v>
      </c>
      <c r="V266" s="5" t="s">
        <v>772</v>
      </c>
      <c r="W266" s="5" t="s">
        <v>3621</v>
      </c>
      <c r="X266" s="5" t="s">
        <v>3621</v>
      </c>
      <c r="Y266" s="4">
        <v>209</v>
      </c>
      <c r="Z266" s="4">
        <v>206</v>
      </c>
      <c r="AA266" s="4">
        <v>208</v>
      </c>
      <c r="AB266" s="4">
        <v>5</v>
      </c>
      <c r="AC266" s="4">
        <v>5</v>
      </c>
      <c r="AD266" s="4">
        <v>12</v>
      </c>
      <c r="AE266" s="4">
        <v>12</v>
      </c>
      <c r="AF266" s="4">
        <v>7</v>
      </c>
      <c r="AG266" s="4">
        <v>7</v>
      </c>
      <c r="AH266" s="4">
        <v>1</v>
      </c>
      <c r="AI266" s="4">
        <v>1</v>
      </c>
      <c r="AJ266" s="4">
        <v>3</v>
      </c>
      <c r="AK266" s="4">
        <v>3</v>
      </c>
      <c r="AL266" s="4">
        <v>4</v>
      </c>
      <c r="AM266" s="4">
        <v>4</v>
      </c>
      <c r="AN266" s="4">
        <v>0</v>
      </c>
      <c r="AO266" s="4">
        <v>0</v>
      </c>
      <c r="AP266" s="3" t="s">
        <v>58</v>
      </c>
      <c r="AQ266" s="3" t="s">
        <v>58</v>
      </c>
      <c r="AS266" s="6" t="str">
        <f>HYPERLINK("https://creighton-primo.hosted.exlibrisgroup.com/primo-explore/search?tab=default_tab&amp;search_scope=EVERYTHING&amp;vid=01CRU&amp;lang=en_US&amp;offset=0&amp;query=any,contains,991002994899702656","Catalog Record")</f>
        <v>Catalog Record</v>
      </c>
      <c r="AT266" s="6" t="str">
        <f>HYPERLINK("http://www.worldcat.org/oclc/40471101","WorldCat Record")</f>
        <v>WorldCat Record</v>
      </c>
      <c r="AU266" s="3" t="s">
        <v>3622</v>
      </c>
      <c r="AV266" s="3" t="s">
        <v>3623</v>
      </c>
      <c r="AW266" s="3" t="s">
        <v>3624</v>
      </c>
      <c r="AX266" s="3" t="s">
        <v>3624</v>
      </c>
      <c r="AY266" s="3" t="s">
        <v>3625</v>
      </c>
      <c r="AZ266" s="3" t="s">
        <v>73</v>
      </c>
      <c r="BC266" s="3" t="s">
        <v>3626</v>
      </c>
      <c r="BD266" s="3" t="s">
        <v>3627</v>
      </c>
    </row>
    <row r="267" spans="1:56" ht="41.25" customHeight="1" x14ac:dyDescent="0.25">
      <c r="A267" s="7" t="s">
        <v>58</v>
      </c>
      <c r="B267" s="2" t="s">
        <v>3628</v>
      </c>
      <c r="C267" s="2" t="s">
        <v>3629</v>
      </c>
      <c r="D267" s="2" t="s">
        <v>3630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K267" s="2" t="s">
        <v>3631</v>
      </c>
      <c r="L267" s="2" t="s">
        <v>3632</v>
      </c>
      <c r="M267" s="3" t="s">
        <v>3320</v>
      </c>
      <c r="O267" s="3" t="s">
        <v>64</v>
      </c>
      <c r="P267" s="3" t="s">
        <v>3633</v>
      </c>
      <c r="Q267" s="2" t="s">
        <v>3634</v>
      </c>
      <c r="R267" s="3" t="s">
        <v>2200</v>
      </c>
      <c r="S267" s="4">
        <v>1</v>
      </c>
      <c r="T267" s="4">
        <v>1</v>
      </c>
      <c r="U267" s="5" t="s">
        <v>3635</v>
      </c>
      <c r="V267" s="5" t="s">
        <v>3635</v>
      </c>
      <c r="W267" s="5" t="s">
        <v>3635</v>
      </c>
      <c r="X267" s="5" t="s">
        <v>3635</v>
      </c>
      <c r="Y267" s="4">
        <v>176</v>
      </c>
      <c r="Z267" s="4">
        <v>174</v>
      </c>
      <c r="AA267" s="4">
        <v>175</v>
      </c>
      <c r="AB267" s="4">
        <v>4</v>
      </c>
      <c r="AC267" s="4">
        <v>4</v>
      </c>
      <c r="AD267" s="4">
        <v>8</v>
      </c>
      <c r="AE267" s="4">
        <v>8</v>
      </c>
      <c r="AF267" s="4">
        <v>4</v>
      </c>
      <c r="AG267" s="4">
        <v>4</v>
      </c>
      <c r="AH267" s="4">
        <v>1</v>
      </c>
      <c r="AI267" s="4">
        <v>1</v>
      </c>
      <c r="AJ267" s="4">
        <v>2</v>
      </c>
      <c r="AK267" s="4">
        <v>2</v>
      </c>
      <c r="AL267" s="4">
        <v>3</v>
      </c>
      <c r="AM267" s="4">
        <v>3</v>
      </c>
      <c r="AN267" s="4">
        <v>0</v>
      </c>
      <c r="AO267" s="4">
        <v>0</v>
      </c>
      <c r="AP267" s="3" t="s">
        <v>58</v>
      </c>
      <c r="AQ267" s="3" t="s">
        <v>58</v>
      </c>
      <c r="AS267" s="6" t="str">
        <f>HYPERLINK("https://creighton-primo.hosted.exlibrisgroup.com/primo-explore/search?tab=default_tab&amp;search_scope=EVERYTHING&amp;vid=01CRU&amp;lang=en_US&amp;offset=0&amp;query=any,contains,991004768509702656","Catalog Record")</f>
        <v>Catalog Record</v>
      </c>
      <c r="AT267" s="6" t="str">
        <f>HYPERLINK("http://www.worldcat.org/oclc/64584137","WorldCat Record")</f>
        <v>WorldCat Record</v>
      </c>
      <c r="AU267" s="3" t="s">
        <v>3636</v>
      </c>
      <c r="AV267" s="3" t="s">
        <v>3637</v>
      </c>
      <c r="AW267" s="3" t="s">
        <v>3638</v>
      </c>
      <c r="AX267" s="3" t="s">
        <v>3638</v>
      </c>
      <c r="AY267" s="3" t="s">
        <v>3639</v>
      </c>
      <c r="AZ267" s="3" t="s">
        <v>73</v>
      </c>
      <c r="BC267" s="3" t="s">
        <v>3640</v>
      </c>
      <c r="BD267" s="3" t="s">
        <v>3641</v>
      </c>
    </row>
    <row r="268" spans="1:56" ht="41.25" customHeight="1" x14ac:dyDescent="0.25">
      <c r="A268" s="7" t="s">
        <v>58</v>
      </c>
      <c r="B268" s="2" t="s">
        <v>3642</v>
      </c>
      <c r="C268" s="2" t="s">
        <v>3643</v>
      </c>
      <c r="D268" s="2" t="s">
        <v>3644</v>
      </c>
      <c r="F268" s="3" t="s">
        <v>58</v>
      </c>
      <c r="G268" s="3" t="s">
        <v>59</v>
      </c>
      <c r="H268" s="3" t="s">
        <v>58</v>
      </c>
      <c r="I268" s="3" t="s">
        <v>58</v>
      </c>
      <c r="J268" s="3" t="s">
        <v>60</v>
      </c>
      <c r="K268" s="2" t="s">
        <v>3645</v>
      </c>
      <c r="L268" s="2" t="s">
        <v>3646</v>
      </c>
      <c r="M268" s="3" t="s">
        <v>1314</v>
      </c>
      <c r="O268" s="3" t="s">
        <v>64</v>
      </c>
      <c r="P268" s="3" t="s">
        <v>755</v>
      </c>
      <c r="Q268" s="2" t="s">
        <v>3647</v>
      </c>
      <c r="R268" s="3" t="s">
        <v>2200</v>
      </c>
      <c r="S268" s="4">
        <v>14</v>
      </c>
      <c r="T268" s="4">
        <v>14</v>
      </c>
      <c r="U268" s="5" t="s">
        <v>3648</v>
      </c>
      <c r="V268" s="5" t="s">
        <v>3648</v>
      </c>
      <c r="W268" s="5" t="s">
        <v>3649</v>
      </c>
      <c r="X268" s="5" t="s">
        <v>3649</v>
      </c>
      <c r="Y268" s="4">
        <v>665</v>
      </c>
      <c r="Z268" s="4">
        <v>565</v>
      </c>
      <c r="AA268" s="4">
        <v>565</v>
      </c>
      <c r="AB268" s="4">
        <v>5</v>
      </c>
      <c r="AC268" s="4">
        <v>5</v>
      </c>
      <c r="AD268" s="4">
        <v>26</v>
      </c>
      <c r="AE268" s="4">
        <v>26</v>
      </c>
      <c r="AF268" s="4">
        <v>12</v>
      </c>
      <c r="AG268" s="4">
        <v>12</v>
      </c>
      <c r="AH268" s="4">
        <v>6</v>
      </c>
      <c r="AI268" s="4">
        <v>6</v>
      </c>
      <c r="AJ268" s="4">
        <v>12</v>
      </c>
      <c r="AK268" s="4">
        <v>12</v>
      </c>
      <c r="AL268" s="4">
        <v>4</v>
      </c>
      <c r="AM268" s="4">
        <v>4</v>
      </c>
      <c r="AN268" s="4">
        <v>0</v>
      </c>
      <c r="AO268" s="4">
        <v>0</v>
      </c>
      <c r="AP268" s="3" t="s">
        <v>58</v>
      </c>
      <c r="AQ268" s="3" t="s">
        <v>58</v>
      </c>
      <c r="AS268" s="6" t="str">
        <f>HYPERLINK("https://creighton-primo.hosted.exlibrisgroup.com/primo-explore/search?tab=default_tab&amp;search_scope=EVERYTHING&amp;vid=01CRU&amp;lang=en_US&amp;offset=0&amp;query=any,contains,991003990669702656","Catalog Record")</f>
        <v>Catalog Record</v>
      </c>
      <c r="AT268" s="6" t="str">
        <f>HYPERLINK("http://www.worldcat.org/oclc/47140812","WorldCat Record")</f>
        <v>WorldCat Record</v>
      </c>
      <c r="AU268" s="3" t="s">
        <v>3650</v>
      </c>
      <c r="AV268" s="3" t="s">
        <v>3651</v>
      </c>
      <c r="AW268" s="3" t="s">
        <v>3652</v>
      </c>
      <c r="AX268" s="3" t="s">
        <v>3652</v>
      </c>
      <c r="AY268" s="3" t="s">
        <v>3653</v>
      </c>
      <c r="AZ268" s="3" t="s">
        <v>73</v>
      </c>
      <c r="BB268" s="3" t="s">
        <v>3654</v>
      </c>
      <c r="BC268" s="3" t="s">
        <v>3655</v>
      </c>
      <c r="BD268" s="3" t="s">
        <v>3656</v>
      </c>
    </row>
    <row r="269" spans="1:56" ht="41.25" customHeight="1" x14ac:dyDescent="0.25">
      <c r="A269" s="7" t="s">
        <v>58</v>
      </c>
      <c r="B269" s="2" t="s">
        <v>3657</v>
      </c>
      <c r="C269" s="2" t="s">
        <v>3658</v>
      </c>
      <c r="D269" s="2" t="s">
        <v>3659</v>
      </c>
      <c r="F269" s="3" t="s">
        <v>58</v>
      </c>
      <c r="G269" s="3" t="s">
        <v>59</v>
      </c>
      <c r="H269" s="3" t="s">
        <v>58</v>
      </c>
      <c r="I269" s="3" t="s">
        <v>58</v>
      </c>
      <c r="J269" s="3" t="s">
        <v>60</v>
      </c>
      <c r="K269" s="2" t="s">
        <v>3660</v>
      </c>
      <c r="L269" s="2" t="s">
        <v>3661</v>
      </c>
      <c r="M269" s="3" t="s">
        <v>754</v>
      </c>
      <c r="O269" s="3" t="s">
        <v>64</v>
      </c>
      <c r="P269" s="3" t="s">
        <v>2950</v>
      </c>
      <c r="R269" s="3" t="s">
        <v>2200</v>
      </c>
      <c r="S269" s="4">
        <v>2</v>
      </c>
      <c r="T269" s="4">
        <v>2</v>
      </c>
      <c r="U269" s="5" t="s">
        <v>3662</v>
      </c>
      <c r="V269" s="5" t="s">
        <v>3662</v>
      </c>
      <c r="W269" s="5" t="s">
        <v>3663</v>
      </c>
      <c r="X269" s="5" t="s">
        <v>3663</v>
      </c>
      <c r="Y269" s="4">
        <v>347</v>
      </c>
      <c r="Z269" s="4">
        <v>264</v>
      </c>
      <c r="AA269" s="4">
        <v>334</v>
      </c>
      <c r="AB269" s="4">
        <v>2</v>
      </c>
      <c r="AC269" s="4">
        <v>4</v>
      </c>
      <c r="AD269" s="4">
        <v>9</v>
      </c>
      <c r="AE269" s="4">
        <v>13</v>
      </c>
      <c r="AF269" s="4">
        <v>2</v>
      </c>
      <c r="AG269" s="4">
        <v>3</v>
      </c>
      <c r="AH269" s="4">
        <v>3</v>
      </c>
      <c r="AI269" s="4">
        <v>4</v>
      </c>
      <c r="AJ269" s="4">
        <v>5</v>
      </c>
      <c r="AK269" s="4">
        <v>6</v>
      </c>
      <c r="AL269" s="4">
        <v>1</v>
      </c>
      <c r="AM269" s="4">
        <v>3</v>
      </c>
      <c r="AN269" s="4">
        <v>0</v>
      </c>
      <c r="AO269" s="4">
        <v>0</v>
      </c>
      <c r="AP269" s="3" t="s">
        <v>58</v>
      </c>
      <c r="AQ269" s="3" t="s">
        <v>58</v>
      </c>
      <c r="AS269" s="6" t="str">
        <f>HYPERLINK("https://creighton-primo.hosted.exlibrisgroup.com/primo-explore/search?tab=default_tab&amp;search_scope=EVERYTHING&amp;vid=01CRU&amp;lang=en_US&amp;offset=0&amp;query=any,contains,991000342629702656","Catalog Record")</f>
        <v>Catalog Record</v>
      </c>
      <c r="AT269" s="6" t="str">
        <f>HYPERLINK("http://www.worldcat.org/oclc/10274942","WorldCat Record")</f>
        <v>WorldCat Record</v>
      </c>
      <c r="AU269" s="3" t="s">
        <v>3664</v>
      </c>
      <c r="AV269" s="3" t="s">
        <v>3665</v>
      </c>
      <c r="AW269" s="3" t="s">
        <v>3666</v>
      </c>
      <c r="AX269" s="3" t="s">
        <v>3666</v>
      </c>
      <c r="AY269" s="3" t="s">
        <v>3667</v>
      </c>
      <c r="AZ269" s="3" t="s">
        <v>73</v>
      </c>
      <c r="BB269" s="3" t="s">
        <v>3668</v>
      </c>
      <c r="BC269" s="3" t="s">
        <v>3669</v>
      </c>
      <c r="BD269" s="3" t="s">
        <v>3670</v>
      </c>
    </row>
    <row r="270" spans="1:56" ht="41.25" customHeight="1" x14ac:dyDescent="0.25">
      <c r="A270" s="7" t="s">
        <v>58</v>
      </c>
      <c r="B270" s="2" t="s">
        <v>3671</v>
      </c>
      <c r="C270" s="2" t="s">
        <v>3672</v>
      </c>
      <c r="D270" s="2" t="s">
        <v>3673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K270" s="2" t="s">
        <v>3674</v>
      </c>
      <c r="L270" s="2" t="s">
        <v>3675</v>
      </c>
      <c r="M270" s="3" t="s">
        <v>543</v>
      </c>
      <c r="O270" s="3" t="s">
        <v>64</v>
      </c>
      <c r="P270" s="3" t="s">
        <v>65</v>
      </c>
      <c r="R270" s="3" t="s">
        <v>2200</v>
      </c>
      <c r="S270" s="4">
        <v>1</v>
      </c>
      <c r="T270" s="4">
        <v>1</v>
      </c>
      <c r="U270" s="5" t="s">
        <v>3662</v>
      </c>
      <c r="V270" s="5" t="s">
        <v>3662</v>
      </c>
      <c r="W270" s="5" t="s">
        <v>799</v>
      </c>
      <c r="X270" s="5" t="s">
        <v>799</v>
      </c>
      <c r="Y270" s="4">
        <v>111</v>
      </c>
      <c r="Z270" s="4">
        <v>104</v>
      </c>
      <c r="AA270" s="4">
        <v>116</v>
      </c>
      <c r="AB270" s="4">
        <v>1</v>
      </c>
      <c r="AC270" s="4">
        <v>2</v>
      </c>
      <c r="AD270" s="4">
        <v>0</v>
      </c>
      <c r="AE270" s="4">
        <v>1</v>
      </c>
      <c r="AF270" s="4">
        <v>0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1</v>
      </c>
      <c r="AN270" s="4">
        <v>0</v>
      </c>
      <c r="AO270" s="4">
        <v>0</v>
      </c>
      <c r="AP270" s="3" t="s">
        <v>58</v>
      </c>
      <c r="AQ270" s="3" t="s">
        <v>58</v>
      </c>
      <c r="AS270" s="6" t="str">
        <f>HYPERLINK("https://creighton-primo.hosted.exlibrisgroup.com/primo-explore/search?tab=default_tab&amp;search_scope=EVERYTHING&amp;vid=01CRU&amp;lang=en_US&amp;offset=0&amp;query=any,contains,991003128219702656","Catalog Record")</f>
        <v>Catalog Record</v>
      </c>
      <c r="AT270" s="6" t="str">
        <f>HYPERLINK("http://www.worldcat.org/oclc/671920","WorldCat Record")</f>
        <v>WorldCat Record</v>
      </c>
      <c r="AU270" s="3" t="s">
        <v>3676</v>
      </c>
      <c r="AV270" s="3" t="s">
        <v>3677</v>
      </c>
      <c r="AW270" s="3" t="s">
        <v>3678</v>
      </c>
      <c r="AX270" s="3" t="s">
        <v>3678</v>
      </c>
      <c r="AY270" s="3" t="s">
        <v>3679</v>
      </c>
      <c r="AZ270" s="3" t="s">
        <v>73</v>
      </c>
      <c r="BB270" s="3" t="s">
        <v>3680</v>
      </c>
      <c r="BC270" s="3" t="s">
        <v>3681</v>
      </c>
      <c r="BD270" s="3" t="s">
        <v>3682</v>
      </c>
    </row>
  </sheetData>
  <sheetProtection sheet="1" objects="1" scenarios="1"/>
  <protectedRanges>
    <protectedRange sqref="A2:A270" name="Range1"/>
    <protectedRange sqref="A1" name="Range1_1"/>
  </protectedRanges>
  <dataValidations count="1">
    <dataValidation type="list" allowBlank="1" showInputMessage="1" showErrorMessage="1" sqref="A2:A270" xr:uid="{0714E73D-6A20-4462-8228-F9C26D515D00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424E4D64-50DC-49FD-9CEB-B372E22C3EF3}"/>
</file>

<file path=customXml/itemProps2.xml><?xml version="1.0" encoding="utf-8"?>
<ds:datastoreItem xmlns:ds="http://schemas.openxmlformats.org/officeDocument/2006/customXml" ds:itemID="{454A068C-D133-4856-8D7D-EB449E661F4E}"/>
</file>

<file path=customXml/itemProps3.xml><?xml version="1.0" encoding="utf-8"?>
<ds:datastoreItem xmlns:ds="http://schemas.openxmlformats.org/officeDocument/2006/customXml" ds:itemID="{39BCAFD5-9434-42AB-B349-58B206C624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2022-03-04T03:04:41Z</dcterms:created>
  <dcterms:modified xsi:type="dcterms:W3CDTF">2022-03-04T03:06:06Z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289700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