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2C855164-2DDD-41EB-914F-ABE8246B30D8}" xr6:coauthVersionLast="47" xr6:coauthVersionMax="47" xr10:uidLastSave="{00000000-0000-0000-0000-000000000000}"/>
  <bookViews>
    <workbookView xWindow="-120" yWindow="-120" windowWidth="29040" windowHeight="15840" xr2:uid="{19F22D2E-347E-4D6E-A0DD-EC2E1D19C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73" i="1" l="1"/>
  <c r="AU473" i="1"/>
  <c r="AV472" i="1"/>
  <c r="AU472" i="1"/>
  <c r="AV471" i="1"/>
  <c r="AU471" i="1"/>
  <c r="AV470" i="1"/>
  <c r="AU470" i="1"/>
  <c r="AT470" i="1"/>
  <c r="AV469" i="1"/>
  <c r="AU469" i="1"/>
  <c r="AT469" i="1"/>
  <c r="AV468" i="1"/>
  <c r="AU468" i="1"/>
  <c r="AV467" i="1"/>
  <c r="AU467" i="1"/>
  <c r="AV466" i="1"/>
  <c r="AU466" i="1"/>
  <c r="AV465" i="1"/>
  <c r="AU465" i="1"/>
  <c r="AT465" i="1"/>
  <c r="AV464" i="1"/>
  <c r="AU464" i="1"/>
  <c r="AT464" i="1"/>
  <c r="AV463" i="1"/>
  <c r="AU463" i="1"/>
  <c r="AV462" i="1"/>
  <c r="AU462" i="1"/>
  <c r="AT462" i="1"/>
  <c r="AV461" i="1"/>
  <c r="AU461" i="1"/>
  <c r="AV460" i="1"/>
  <c r="AU460" i="1"/>
  <c r="AV459" i="1"/>
  <c r="AU459" i="1"/>
  <c r="AV458" i="1"/>
  <c r="AU458" i="1"/>
  <c r="AT458" i="1"/>
  <c r="AV457" i="1"/>
  <c r="AU457" i="1"/>
  <c r="AV456" i="1"/>
  <c r="AU456" i="1"/>
  <c r="AT456" i="1"/>
  <c r="AV455" i="1"/>
  <c r="AU455" i="1"/>
  <c r="AT455" i="1"/>
  <c r="AV454" i="1"/>
  <c r="AU454" i="1"/>
  <c r="AT454" i="1"/>
  <c r="AV453" i="1"/>
  <c r="AU453" i="1"/>
  <c r="AV452" i="1"/>
  <c r="AU452" i="1"/>
  <c r="AV451" i="1"/>
  <c r="AU451" i="1"/>
  <c r="AT451" i="1"/>
  <c r="AV450" i="1"/>
  <c r="AU450" i="1"/>
  <c r="AV449" i="1"/>
  <c r="AU449" i="1"/>
  <c r="AV448" i="1"/>
  <c r="AU448" i="1"/>
  <c r="AV447" i="1"/>
  <c r="AU447" i="1"/>
  <c r="AV446" i="1"/>
  <c r="AU446" i="1"/>
  <c r="AV445" i="1"/>
  <c r="AU445" i="1"/>
  <c r="AV444" i="1"/>
  <c r="AU444" i="1"/>
  <c r="AV443" i="1"/>
  <c r="AU443" i="1"/>
  <c r="AT443" i="1"/>
  <c r="AV442" i="1"/>
  <c r="AU442" i="1"/>
  <c r="AT442" i="1"/>
  <c r="AV441" i="1"/>
  <c r="AU441" i="1"/>
  <c r="AV440" i="1"/>
  <c r="AU440" i="1"/>
  <c r="AV439" i="1"/>
  <c r="AU439" i="1"/>
  <c r="AT439" i="1"/>
  <c r="AV438" i="1"/>
  <c r="AU438" i="1"/>
  <c r="AV437" i="1"/>
  <c r="AU437" i="1"/>
  <c r="AT437" i="1"/>
  <c r="AV436" i="1"/>
  <c r="AU436" i="1"/>
  <c r="AV435" i="1"/>
  <c r="AU435" i="1"/>
  <c r="AT435" i="1"/>
  <c r="AV434" i="1"/>
  <c r="AU434" i="1"/>
  <c r="AT434" i="1"/>
  <c r="AV433" i="1"/>
  <c r="AU433" i="1"/>
  <c r="AT433" i="1"/>
  <c r="AV432" i="1"/>
  <c r="AU432" i="1"/>
  <c r="AV431" i="1"/>
  <c r="AU431" i="1"/>
  <c r="AV430" i="1"/>
  <c r="AU430" i="1"/>
  <c r="AV429" i="1"/>
  <c r="AU429" i="1"/>
  <c r="AT429" i="1"/>
  <c r="AV428" i="1"/>
  <c r="AU428" i="1"/>
  <c r="AV427" i="1"/>
  <c r="AU427" i="1"/>
  <c r="AV426" i="1"/>
  <c r="AU426" i="1"/>
  <c r="AT426" i="1"/>
  <c r="AV425" i="1"/>
  <c r="AU425" i="1"/>
  <c r="AT425" i="1"/>
  <c r="AV424" i="1"/>
  <c r="AU424" i="1"/>
  <c r="AV423" i="1"/>
  <c r="AU423" i="1"/>
  <c r="AV422" i="1"/>
  <c r="AU422" i="1"/>
  <c r="AV421" i="1"/>
  <c r="AU421" i="1"/>
  <c r="AV420" i="1"/>
  <c r="AU420" i="1"/>
  <c r="AV419" i="1"/>
  <c r="AU419" i="1"/>
  <c r="AV418" i="1"/>
  <c r="AU418" i="1"/>
  <c r="AT418" i="1"/>
  <c r="AV417" i="1"/>
  <c r="AU417" i="1"/>
  <c r="AV416" i="1"/>
  <c r="AU416" i="1"/>
  <c r="AV415" i="1"/>
  <c r="AU415" i="1"/>
  <c r="AV414" i="1"/>
  <c r="AU414" i="1"/>
  <c r="AT414" i="1"/>
  <c r="AV413" i="1"/>
  <c r="AU413" i="1"/>
  <c r="AT413" i="1"/>
  <c r="AV412" i="1"/>
  <c r="AU412" i="1"/>
  <c r="AT412" i="1"/>
  <c r="AV411" i="1"/>
  <c r="AU411" i="1"/>
  <c r="AT411" i="1"/>
  <c r="AV410" i="1"/>
  <c r="AU410" i="1"/>
  <c r="AT410" i="1"/>
  <c r="AV409" i="1"/>
  <c r="AU409" i="1"/>
  <c r="AT409" i="1"/>
  <c r="AV408" i="1"/>
  <c r="AU408" i="1"/>
  <c r="AT408" i="1"/>
  <c r="AV407" i="1"/>
  <c r="AU407" i="1"/>
  <c r="AT407" i="1"/>
  <c r="AV406" i="1"/>
  <c r="AU406" i="1"/>
  <c r="AV405" i="1"/>
  <c r="AU405" i="1"/>
  <c r="AV404" i="1"/>
  <c r="AU404" i="1"/>
  <c r="AT404" i="1"/>
  <c r="AV403" i="1"/>
  <c r="AU403" i="1"/>
  <c r="AT403" i="1"/>
  <c r="AV402" i="1"/>
  <c r="AU402" i="1"/>
  <c r="AT402" i="1"/>
  <c r="AV401" i="1"/>
  <c r="AU401" i="1"/>
  <c r="AV400" i="1"/>
  <c r="AU400" i="1"/>
  <c r="AT400" i="1"/>
  <c r="AV399" i="1"/>
  <c r="AU399" i="1"/>
  <c r="AT399" i="1"/>
  <c r="AV398" i="1"/>
  <c r="AU398" i="1"/>
  <c r="AV397" i="1"/>
  <c r="AU397" i="1"/>
  <c r="AT397" i="1"/>
  <c r="AV396" i="1"/>
  <c r="AU396" i="1"/>
  <c r="AV395" i="1"/>
  <c r="AU395" i="1"/>
  <c r="AT395" i="1"/>
  <c r="AV394" i="1"/>
  <c r="AU394" i="1"/>
  <c r="AV393" i="1"/>
  <c r="AU393" i="1"/>
  <c r="AT393" i="1"/>
  <c r="AV392" i="1"/>
  <c r="AU392" i="1"/>
  <c r="AV391" i="1"/>
  <c r="AU391" i="1"/>
  <c r="AV390" i="1"/>
  <c r="AU390" i="1"/>
  <c r="AV389" i="1"/>
  <c r="AU389" i="1"/>
  <c r="AV388" i="1"/>
  <c r="AU388" i="1"/>
  <c r="AT388" i="1"/>
  <c r="AV387" i="1"/>
  <c r="AU387" i="1"/>
  <c r="AV386" i="1"/>
  <c r="AU386" i="1"/>
  <c r="AT386" i="1"/>
  <c r="AV385" i="1"/>
  <c r="AU385" i="1"/>
  <c r="AV384" i="1"/>
  <c r="AU384" i="1"/>
  <c r="AT384" i="1"/>
  <c r="AV383" i="1"/>
  <c r="AU383" i="1"/>
  <c r="AT383" i="1"/>
  <c r="AV382" i="1"/>
  <c r="AU382" i="1"/>
  <c r="AV381" i="1"/>
  <c r="AU381" i="1"/>
  <c r="AT381" i="1"/>
  <c r="AV380" i="1"/>
  <c r="AU380" i="1"/>
  <c r="AT380" i="1"/>
  <c r="AV379" i="1"/>
  <c r="AU379" i="1"/>
  <c r="AT379" i="1"/>
  <c r="AV378" i="1"/>
  <c r="AU378" i="1"/>
  <c r="AT378" i="1"/>
  <c r="AV377" i="1"/>
  <c r="AU377" i="1"/>
  <c r="AV376" i="1"/>
  <c r="AU376" i="1"/>
  <c r="AV375" i="1"/>
  <c r="AU375" i="1"/>
  <c r="AT375" i="1"/>
  <c r="AV374" i="1"/>
  <c r="AU374" i="1"/>
  <c r="AT374" i="1"/>
  <c r="AV373" i="1"/>
  <c r="AU373" i="1"/>
  <c r="AV372" i="1"/>
  <c r="AU372" i="1"/>
  <c r="AV371" i="1"/>
  <c r="AU371" i="1"/>
  <c r="AV370" i="1"/>
  <c r="AU370" i="1"/>
  <c r="AV369" i="1"/>
  <c r="AU369" i="1"/>
  <c r="AT369" i="1"/>
  <c r="AV368" i="1"/>
  <c r="AU368" i="1"/>
  <c r="AV367" i="1"/>
  <c r="AU367" i="1"/>
  <c r="AT367" i="1"/>
  <c r="AV366" i="1"/>
  <c r="AU366" i="1"/>
  <c r="AT366" i="1"/>
  <c r="AV365" i="1"/>
  <c r="AU365" i="1"/>
  <c r="AV364" i="1"/>
  <c r="AU364" i="1"/>
  <c r="AT364" i="1"/>
  <c r="AV363" i="1"/>
  <c r="AU363" i="1"/>
  <c r="AT363" i="1"/>
  <c r="AV362" i="1"/>
  <c r="AU362" i="1"/>
  <c r="AV361" i="1"/>
  <c r="AU361" i="1"/>
  <c r="AT361" i="1"/>
  <c r="AV360" i="1"/>
  <c r="AU360" i="1"/>
  <c r="AV359" i="1"/>
  <c r="AU359" i="1"/>
  <c r="AT359" i="1"/>
  <c r="AV358" i="1"/>
  <c r="AU358" i="1"/>
  <c r="AV357" i="1"/>
  <c r="AU357" i="1"/>
  <c r="AT357" i="1"/>
  <c r="AV356" i="1"/>
  <c r="AU356" i="1"/>
  <c r="AT356" i="1"/>
  <c r="AV355" i="1"/>
  <c r="AU355" i="1"/>
  <c r="AV354" i="1"/>
  <c r="AU354" i="1"/>
  <c r="AV353" i="1"/>
  <c r="AU353" i="1"/>
  <c r="AV352" i="1"/>
  <c r="AU352" i="1"/>
  <c r="AV351" i="1"/>
  <c r="AU351" i="1"/>
  <c r="AT351" i="1"/>
  <c r="AV350" i="1"/>
  <c r="AU350" i="1"/>
  <c r="AV349" i="1"/>
  <c r="AU349" i="1"/>
  <c r="AV348" i="1"/>
  <c r="AU348" i="1"/>
  <c r="AT348" i="1"/>
  <c r="AV347" i="1"/>
  <c r="AU347" i="1"/>
  <c r="AT347" i="1"/>
  <c r="AV346" i="1"/>
  <c r="AU346" i="1"/>
  <c r="AT346" i="1"/>
  <c r="AV345" i="1"/>
  <c r="AU345" i="1"/>
  <c r="AV344" i="1"/>
  <c r="AU344" i="1"/>
  <c r="AT344" i="1"/>
  <c r="AV343" i="1"/>
  <c r="AU343" i="1"/>
  <c r="AV342" i="1"/>
  <c r="AU342" i="1"/>
  <c r="AT342" i="1"/>
  <c r="AV341" i="1"/>
  <c r="AU341" i="1"/>
  <c r="AV340" i="1"/>
  <c r="AU340" i="1"/>
  <c r="AT340" i="1"/>
  <c r="AV339" i="1"/>
  <c r="AU339" i="1"/>
  <c r="AT339" i="1"/>
  <c r="AV338" i="1"/>
  <c r="AU338" i="1"/>
  <c r="AT338" i="1"/>
  <c r="AV337" i="1"/>
  <c r="AU337" i="1"/>
  <c r="AV336" i="1"/>
  <c r="AU336" i="1"/>
  <c r="AT336" i="1"/>
  <c r="AV335" i="1"/>
  <c r="AU335" i="1"/>
  <c r="AV334" i="1"/>
  <c r="AU334" i="1"/>
  <c r="AV333" i="1"/>
  <c r="AU333" i="1"/>
  <c r="AT333" i="1"/>
  <c r="AV332" i="1"/>
  <c r="AU332" i="1"/>
  <c r="AV331" i="1"/>
  <c r="AU331" i="1"/>
  <c r="AV330" i="1"/>
  <c r="AU330" i="1"/>
  <c r="AV329" i="1"/>
  <c r="AU329" i="1"/>
  <c r="AV328" i="1"/>
  <c r="AU328" i="1"/>
  <c r="AT328" i="1"/>
  <c r="AV327" i="1"/>
  <c r="AU327" i="1"/>
  <c r="AT327" i="1"/>
  <c r="AV326" i="1"/>
  <c r="AU326" i="1"/>
  <c r="AT326" i="1"/>
  <c r="AV325" i="1"/>
  <c r="AU325" i="1"/>
  <c r="AT325" i="1"/>
  <c r="AV324" i="1"/>
  <c r="AU324" i="1"/>
  <c r="AV323" i="1"/>
  <c r="AU323" i="1"/>
  <c r="AT323" i="1"/>
  <c r="AV322" i="1"/>
  <c r="AU322" i="1"/>
  <c r="AT322" i="1"/>
  <c r="AV321" i="1"/>
  <c r="AU321" i="1"/>
  <c r="AV320" i="1"/>
  <c r="AU320" i="1"/>
  <c r="AV319" i="1"/>
  <c r="AU319" i="1"/>
  <c r="AT319" i="1"/>
  <c r="AV318" i="1"/>
  <c r="AU318" i="1"/>
  <c r="AV317" i="1"/>
  <c r="AU317" i="1"/>
  <c r="AT317" i="1"/>
  <c r="AV316" i="1"/>
  <c r="AU316" i="1"/>
  <c r="AV315" i="1"/>
  <c r="AU315" i="1"/>
  <c r="AV314" i="1"/>
  <c r="AU314" i="1"/>
  <c r="AV313" i="1"/>
  <c r="AU313" i="1"/>
  <c r="AV312" i="1"/>
  <c r="AU312" i="1"/>
  <c r="AT312" i="1"/>
  <c r="AV311" i="1"/>
  <c r="AU311" i="1"/>
  <c r="AT311" i="1"/>
  <c r="AV310" i="1"/>
  <c r="AU310" i="1"/>
  <c r="AT310" i="1"/>
  <c r="AV309" i="1"/>
  <c r="AU309" i="1"/>
  <c r="AT309" i="1"/>
  <c r="AV308" i="1"/>
  <c r="AU308" i="1"/>
  <c r="AV307" i="1"/>
  <c r="AU307" i="1"/>
  <c r="AV306" i="1"/>
  <c r="AU306" i="1"/>
  <c r="AT306" i="1"/>
  <c r="AV305" i="1"/>
  <c r="AU305" i="1"/>
  <c r="AV304" i="1"/>
  <c r="AU304" i="1"/>
  <c r="AV303" i="1"/>
  <c r="AU303" i="1"/>
  <c r="AT303" i="1"/>
  <c r="AV302" i="1"/>
  <c r="AU302" i="1"/>
  <c r="AV301" i="1"/>
  <c r="AU301" i="1"/>
  <c r="AV300" i="1"/>
  <c r="AU300" i="1"/>
  <c r="AV299" i="1"/>
  <c r="AU299" i="1"/>
  <c r="AT299" i="1"/>
  <c r="AV298" i="1"/>
  <c r="AU298" i="1"/>
  <c r="AT298" i="1"/>
  <c r="AV297" i="1"/>
  <c r="AU297" i="1"/>
  <c r="AV296" i="1"/>
  <c r="AU296" i="1"/>
  <c r="AV295" i="1"/>
  <c r="AU295" i="1"/>
  <c r="AV294" i="1"/>
  <c r="AU294" i="1"/>
  <c r="AV293" i="1"/>
  <c r="AU293" i="1"/>
  <c r="AV292" i="1"/>
  <c r="AU292" i="1"/>
  <c r="AT292" i="1"/>
  <c r="AV291" i="1"/>
  <c r="AU291" i="1"/>
  <c r="AV290" i="1"/>
  <c r="AU290" i="1"/>
  <c r="AV289" i="1"/>
  <c r="AU289" i="1"/>
  <c r="AV288" i="1"/>
  <c r="AU288" i="1"/>
  <c r="AT288" i="1"/>
  <c r="AV287" i="1"/>
  <c r="AU287" i="1"/>
  <c r="AT287" i="1"/>
  <c r="AV286" i="1"/>
  <c r="AU286" i="1"/>
  <c r="AV285" i="1"/>
  <c r="AU285" i="1"/>
  <c r="AT285" i="1"/>
  <c r="AV284" i="1"/>
  <c r="AU284" i="1"/>
  <c r="AT284" i="1"/>
  <c r="AV283" i="1"/>
  <c r="AU283" i="1"/>
  <c r="AV282" i="1"/>
  <c r="AU282" i="1"/>
  <c r="AV281" i="1"/>
  <c r="AU281" i="1"/>
  <c r="AV280" i="1"/>
  <c r="AU280" i="1"/>
  <c r="AV279" i="1"/>
  <c r="AU279" i="1"/>
  <c r="AT279" i="1"/>
  <c r="AV278" i="1"/>
  <c r="AU278" i="1"/>
  <c r="AT278" i="1"/>
  <c r="AV277" i="1"/>
  <c r="AU277" i="1"/>
  <c r="AV276" i="1"/>
  <c r="AU276" i="1"/>
  <c r="AV275" i="1"/>
  <c r="AU275" i="1"/>
  <c r="AT275" i="1"/>
  <c r="AV274" i="1"/>
  <c r="AU274" i="1"/>
  <c r="AV273" i="1"/>
  <c r="AU273" i="1"/>
  <c r="AV272" i="1"/>
  <c r="AU272" i="1"/>
  <c r="AT272" i="1"/>
  <c r="AV271" i="1"/>
  <c r="AU271" i="1"/>
  <c r="AV270" i="1"/>
  <c r="AU270" i="1"/>
  <c r="AV269" i="1"/>
  <c r="AU269" i="1"/>
  <c r="AV268" i="1"/>
  <c r="AU268" i="1"/>
  <c r="AT268" i="1"/>
  <c r="AV267" i="1"/>
  <c r="AU267" i="1"/>
  <c r="AT267" i="1"/>
  <c r="AV266" i="1"/>
  <c r="AU266" i="1"/>
  <c r="AV265" i="1"/>
  <c r="AU265" i="1"/>
  <c r="AT265" i="1"/>
  <c r="AV264" i="1"/>
  <c r="AU264" i="1"/>
  <c r="AT264" i="1"/>
  <c r="AV263" i="1"/>
  <c r="AU263" i="1"/>
  <c r="AV262" i="1"/>
  <c r="AU262" i="1"/>
  <c r="AV261" i="1"/>
  <c r="AU261" i="1"/>
  <c r="AV260" i="1"/>
  <c r="AU260" i="1"/>
  <c r="AV259" i="1"/>
  <c r="AU259" i="1"/>
  <c r="AT259" i="1"/>
  <c r="AV258" i="1"/>
  <c r="AU258" i="1"/>
  <c r="AT258" i="1"/>
  <c r="AV257" i="1"/>
  <c r="AU257" i="1"/>
  <c r="AT257" i="1"/>
  <c r="AV256" i="1"/>
  <c r="AU256" i="1"/>
  <c r="AV255" i="1"/>
  <c r="AU255" i="1"/>
  <c r="AV254" i="1"/>
  <c r="AU254" i="1"/>
  <c r="AV253" i="1"/>
  <c r="AU253" i="1"/>
  <c r="AV252" i="1"/>
  <c r="AU252" i="1"/>
  <c r="AV251" i="1"/>
  <c r="AU251" i="1"/>
  <c r="AV250" i="1"/>
  <c r="AU250" i="1"/>
  <c r="AV249" i="1"/>
  <c r="AU249" i="1"/>
  <c r="AT249" i="1"/>
  <c r="AV248" i="1"/>
  <c r="AU248" i="1"/>
  <c r="AV247" i="1"/>
  <c r="AU247" i="1"/>
  <c r="AT247" i="1"/>
  <c r="AV246" i="1"/>
  <c r="AU246" i="1"/>
  <c r="AT246" i="1"/>
  <c r="AV245" i="1"/>
  <c r="AU245" i="1"/>
  <c r="AV244" i="1"/>
  <c r="AU244" i="1"/>
  <c r="AT244" i="1"/>
  <c r="AV243" i="1"/>
  <c r="AU243" i="1"/>
  <c r="AT243" i="1"/>
  <c r="AV242" i="1"/>
  <c r="AU242" i="1"/>
  <c r="AV241" i="1"/>
  <c r="AU241" i="1"/>
  <c r="AV240" i="1"/>
  <c r="AU240" i="1"/>
  <c r="AV239" i="1"/>
  <c r="AU239" i="1"/>
  <c r="AT239" i="1"/>
  <c r="AV238" i="1"/>
  <c r="AU238" i="1"/>
  <c r="AV237" i="1"/>
  <c r="AU237" i="1"/>
  <c r="AT237" i="1"/>
  <c r="AV236" i="1"/>
  <c r="AU236" i="1"/>
  <c r="AV235" i="1"/>
  <c r="AU235" i="1"/>
  <c r="AV234" i="1"/>
  <c r="AU234" i="1"/>
  <c r="AV233" i="1"/>
  <c r="AU233" i="1"/>
  <c r="AT233" i="1"/>
  <c r="AV232" i="1"/>
  <c r="AU232" i="1"/>
  <c r="AT232" i="1"/>
  <c r="AV231" i="1"/>
  <c r="AU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V222" i="1"/>
  <c r="AU222" i="1"/>
  <c r="AT222" i="1"/>
  <c r="AV221" i="1"/>
  <c r="AU221" i="1"/>
  <c r="AT221" i="1"/>
  <c r="AV220" i="1"/>
  <c r="AU220" i="1"/>
  <c r="AT220" i="1"/>
  <c r="AV219" i="1"/>
  <c r="AU219" i="1"/>
  <c r="AT219" i="1"/>
  <c r="AV218" i="1"/>
  <c r="AU218" i="1"/>
  <c r="AV217" i="1"/>
  <c r="AU217" i="1"/>
  <c r="AV216" i="1"/>
  <c r="AU216" i="1"/>
  <c r="AT216" i="1"/>
  <c r="AV215" i="1"/>
  <c r="AU215" i="1"/>
  <c r="AT215" i="1"/>
  <c r="AV214" i="1"/>
  <c r="AU214" i="1"/>
  <c r="AT214" i="1"/>
  <c r="AV213" i="1"/>
  <c r="AU213" i="1"/>
  <c r="AT213" i="1"/>
  <c r="AV212" i="1"/>
  <c r="AU212" i="1"/>
  <c r="AV211" i="1"/>
  <c r="AU211" i="1"/>
  <c r="AT211" i="1"/>
  <c r="AV210" i="1"/>
  <c r="AU210" i="1"/>
  <c r="AT210" i="1"/>
  <c r="AV209" i="1"/>
  <c r="AU209" i="1"/>
  <c r="AV208" i="1"/>
  <c r="AU208" i="1"/>
  <c r="AV207" i="1"/>
  <c r="AU207" i="1"/>
  <c r="AV206" i="1"/>
  <c r="AU206" i="1"/>
  <c r="AV205" i="1"/>
  <c r="AU205" i="1"/>
  <c r="AT205" i="1"/>
  <c r="AV204" i="1"/>
  <c r="AU204" i="1"/>
  <c r="AV203" i="1"/>
  <c r="AU203" i="1"/>
  <c r="AT203" i="1"/>
  <c r="AV202" i="1"/>
  <c r="AU202" i="1"/>
  <c r="AV201" i="1"/>
  <c r="AU201" i="1"/>
  <c r="AT201" i="1"/>
  <c r="AV200" i="1"/>
  <c r="AU200" i="1"/>
  <c r="AV199" i="1"/>
  <c r="AU199" i="1"/>
  <c r="AT199" i="1"/>
  <c r="AV198" i="1"/>
  <c r="AU198" i="1"/>
  <c r="AV197" i="1"/>
  <c r="AU197" i="1"/>
  <c r="AV196" i="1"/>
  <c r="AU196" i="1"/>
  <c r="AT196" i="1"/>
  <c r="AV195" i="1"/>
  <c r="AU195" i="1"/>
  <c r="AV194" i="1"/>
  <c r="AU194" i="1"/>
  <c r="AT194" i="1"/>
  <c r="AV193" i="1"/>
  <c r="AU193" i="1"/>
  <c r="AT193" i="1"/>
  <c r="AV192" i="1"/>
  <c r="AU192" i="1"/>
  <c r="AV191" i="1"/>
  <c r="AU191" i="1"/>
  <c r="AV190" i="1"/>
  <c r="AU190" i="1"/>
  <c r="AT190" i="1"/>
  <c r="AV189" i="1"/>
  <c r="AU189" i="1"/>
  <c r="AT189" i="1"/>
  <c r="AV188" i="1"/>
  <c r="AU188" i="1"/>
  <c r="AV187" i="1"/>
  <c r="AU187" i="1"/>
  <c r="AT187" i="1"/>
  <c r="AV186" i="1"/>
  <c r="AU186" i="1"/>
  <c r="AT186" i="1"/>
  <c r="AV185" i="1"/>
  <c r="AU185" i="1"/>
  <c r="AT185" i="1"/>
  <c r="AV184" i="1"/>
  <c r="AU184" i="1"/>
  <c r="AT184" i="1"/>
  <c r="AV183" i="1"/>
  <c r="AU183" i="1"/>
  <c r="AV182" i="1"/>
  <c r="AU182" i="1"/>
  <c r="AT182" i="1"/>
  <c r="AV181" i="1"/>
  <c r="AU181" i="1"/>
  <c r="AT181" i="1"/>
  <c r="AV180" i="1"/>
  <c r="AU180" i="1"/>
  <c r="AV179" i="1"/>
  <c r="AU179" i="1"/>
  <c r="AV178" i="1"/>
  <c r="AU178" i="1"/>
  <c r="AV177" i="1"/>
  <c r="AU177" i="1"/>
  <c r="AT177" i="1"/>
  <c r="AV176" i="1"/>
  <c r="AU176" i="1"/>
  <c r="AV175" i="1"/>
  <c r="AU175" i="1"/>
  <c r="AT175" i="1"/>
  <c r="AV174" i="1"/>
  <c r="AU174" i="1"/>
  <c r="AT174" i="1"/>
  <c r="AV173" i="1"/>
  <c r="AU173" i="1"/>
  <c r="AT173" i="1"/>
  <c r="AV172" i="1"/>
  <c r="AU172" i="1"/>
  <c r="AV171" i="1"/>
  <c r="AU171" i="1"/>
  <c r="AT171" i="1"/>
  <c r="AV170" i="1"/>
  <c r="AU170" i="1"/>
  <c r="AT170" i="1"/>
  <c r="AV169" i="1"/>
  <c r="AU169" i="1"/>
  <c r="AT169" i="1"/>
  <c r="AV168" i="1"/>
  <c r="AU168" i="1"/>
  <c r="AT168" i="1"/>
  <c r="AV167" i="1"/>
  <c r="AU167" i="1"/>
  <c r="AV166" i="1"/>
  <c r="AU166" i="1"/>
  <c r="AV165" i="1"/>
  <c r="AU165" i="1"/>
  <c r="AV164" i="1"/>
  <c r="AU164" i="1"/>
  <c r="AV163" i="1"/>
  <c r="AU163" i="1"/>
  <c r="AV162" i="1"/>
  <c r="AU162" i="1"/>
  <c r="AT162" i="1"/>
  <c r="AV161" i="1"/>
  <c r="AU161" i="1"/>
  <c r="AT161" i="1"/>
  <c r="AV160" i="1"/>
  <c r="AU160" i="1"/>
  <c r="AT160" i="1"/>
  <c r="AV159" i="1"/>
  <c r="AU159" i="1"/>
  <c r="AV158" i="1"/>
  <c r="AU158" i="1"/>
  <c r="AV157" i="1"/>
  <c r="AU157" i="1"/>
  <c r="AV156" i="1"/>
  <c r="AU156" i="1"/>
  <c r="AT156" i="1"/>
  <c r="AV155" i="1"/>
  <c r="AU155" i="1"/>
  <c r="AT155" i="1"/>
  <c r="AV154" i="1"/>
  <c r="AU154" i="1"/>
  <c r="AV153" i="1"/>
  <c r="AU153" i="1"/>
  <c r="AV152" i="1"/>
  <c r="AU152" i="1"/>
  <c r="AV151" i="1"/>
  <c r="AU151" i="1"/>
  <c r="AV150" i="1"/>
  <c r="AU150" i="1"/>
  <c r="AV149" i="1"/>
  <c r="AU149" i="1"/>
  <c r="AV148" i="1"/>
  <c r="AU148" i="1"/>
  <c r="AT148" i="1"/>
  <c r="AV147" i="1"/>
  <c r="AU147" i="1"/>
  <c r="AV146" i="1"/>
  <c r="AU146" i="1"/>
  <c r="AT146" i="1"/>
  <c r="AV145" i="1"/>
  <c r="AU145" i="1"/>
  <c r="AT145" i="1"/>
  <c r="AV144" i="1"/>
  <c r="AU144" i="1"/>
  <c r="AT144" i="1"/>
  <c r="AV143" i="1"/>
  <c r="AU143" i="1"/>
  <c r="AV142" i="1"/>
  <c r="AU142" i="1"/>
  <c r="AT142" i="1"/>
  <c r="AV141" i="1"/>
  <c r="AU141" i="1"/>
  <c r="AT141" i="1"/>
  <c r="AV140" i="1"/>
  <c r="AU140" i="1"/>
  <c r="AT140" i="1"/>
  <c r="AV139" i="1"/>
  <c r="AU139" i="1"/>
  <c r="AV138" i="1"/>
  <c r="AU138" i="1"/>
  <c r="AT138" i="1"/>
  <c r="AV137" i="1"/>
  <c r="AU137" i="1"/>
  <c r="AV136" i="1"/>
  <c r="AU136" i="1"/>
  <c r="AT136" i="1"/>
  <c r="AV135" i="1"/>
  <c r="AU135" i="1"/>
  <c r="AT135" i="1"/>
  <c r="AV134" i="1"/>
  <c r="AU134" i="1"/>
  <c r="AV133" i="1"/>
  <c r="AU133" i="1"/>
  <c r="AT133" i="1"/>
  <c r="AV132" i="1"/>
  <c r="AU132" i="1"/>
  <c r="AV131" i="1"/>
  <c r="AU131" i="1"/>
  <c r="AV130" i="1"/>
  <c r="AU130" i="1"/>
  <c r="AT130" i="1"/>
  <c r="AV129" i="1"/>
  <c r="AU129" i="1"/>
  <c r="AT129" i="1"/>
  <c r="AV128" i="1"/>
  <c r="AU128" i="1"/>
  <c r="AT128" i="1"/>
  <c r="AV127" i="1"/>
  <c r="AU127" i="1"/>
  <c r="AT127" i="1"/>
  <c r="AV126" i="1"/>
  <c r="AU126" i="1"/>
  <c r="AT126" i="1"/>
  <c r="AV125" i="1"/>
  <c r="AU125" i="1"/>
  <c r="AV124" i="1"/>
  <c r="AU124" i="1"/>
  <c r="AT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T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T109" i="1"/>
  <c r="AV108" i="1"/>
  <c r="AU108" i="1"/>
  <c r="AV107" i="1"/>
  <c r="AU107" i="1"/>
  <c r="AT107" i="1"/>
  <c r="AV106" i="1"/>
  <c r="AU106" i="1"/>
  <c r="AV105" i="1"/>
  <c r="AU105" i="1"/>
  <c r="AT105" i="1"/>
  <c r="AV104" i="1"/>
  <c r="AU104" i="1"/>
  <c r="AV103" i="1"/>
  <c r="AU103" i="1"/>
  <c r="AV102" i="1"/>
  <c r="AU102" i="1"/>
  <c r="AV101" i="1"/>
  <c r="AU101" i="1"/>
  <c r="AV100" i="1"/>
  <c r="AU100" i="1"/>
  <c r="AT100" i="1"/>
  <c r="AV99" i="1"/>
  <c r="AU99" i="1"/>
  <c r="AT99" i="1"/>
  <c r="AV98" i="1"/>
  <c r="AU98" i="1"/>
  <c r="AV97" i="1"/>
  <c r="AU97" i="1"/>
  <c r="AT97" i="1"/>
  <c r="AV96" i="1"/>
  <c r="AU96" i="1"/>
  <c r="AV95" i="1"/>
  <c r="AU95" i="1"/>
  <c r="AT95" i="1"/>
  <c r="AV94" i="1"/>
  <c r="AU94" i="1"/>
  <c r="AT94" i="1"/>
  <c r="AV93" i="1"/>
  <c r="AU93" i="1"/>
  <c r="AV92" i="1"/>
  <c r="AU92" i="1"/>
  <c r="AV91" i="1"/>
  <c r="AU91" i="1"/>
  <c r="AT91" i="1"/>
  <c r="AV90" i="1"/>
  <c r="AU90" i="1"/>
  <c r="AV89" i="1"/>
  <c r="AU89" i="1"/>
  <c r="AT89" i="1"/>
  <c r="AV88" i="1"/>
  <c r="AU88" i="1"/>
  <c r="AT88" i="1"/>
  <c r="AV87" i="1"/>
  <c r="AU87" i="1"/>
  <c r="AT87" i="1"/>
  <c r="AV86" i="1"/>
  <c r="AU86" i="1"/>
  <c r="AV85" i="1"/>
  <c r="AU85" i="1"/>
  <c r="AV84" i="1"/>
  <c r="AU84" i="1"/>
  <c r="AT84" i="1"/>
  <c r="AV83" i="1"/>
  <c r="AU83" i="1"/>
  <c r="AT83" i="1"/>
  <c r="AV82" i="1"/>
  <c r="AU82" i="1"/>
  <c r="AV81" i="1"/>
  <c r="AU81" i="1"/>
  <c r="AT81" i="1"/>
  <c r="AV80" i="1"/>
  <c r="AU80" i="1"/>
  <c r="AT80" i="1"/>
  <c r="AV79" i="1"/>
  <c r="AU79" i="1"/>
  <c r="AV78" i="1"/>
  <c r="AU78" i="1"/>
  <c r="AV77" i="1"/>
  <c r="AU77" i="1"/>
  <c r="AT77" i="1"/>
  <c r="AV76" i="1"/>
  <c r="AU76" i="1"/>
  <c r="AV75" i="1"/>
  <c r="AU75" i="1"/>
  <c r="AT75" i="1"/>
  <c r="AV74" i="1"/>
  <c r="AU74" i="1"/>
  <c r="AT74" i="1"/>
  <c r="AV73" i="1"/>
  <c r="AU73" i="1"/>
  <c r="AT73" i="1"/>
  <c r="AV72" i="1"/>
  <c r="AU72" i="1"/>
  <c r="AV71" i="1"/>
  <c r="AU71" i="1"/>
  <c r="AT71" i="1"/>
  <c r="AV70" i="1"/>
  <c r="AU70" i="1"/>
  <c r="AT70" i="1"/>
  <c r="AV69" i="1"/>
  <c r="AU69" i="1"/>
  <c r="AT69" i="1"/>
  <c r="AV68" i="1"/>
  <c r="AU68" i="1"/>
  <c r="AV67" i="1"/>
  <c r="AU67" i="1"/>
  <c r="AT67" i="1"/>
  <c r="AV66" i="1"/>
  <c r="AU66" i="1"/>
  <c r="AV65" i="1"/>
  <c r="AU65" i="1"/>
  <c r="AT65" i="1"/>
  <c r="AV64" i="1"/>
  <c r="AU64" i="1"/>
  <c r="AT64" i="1"/>
  <c r="AV63" i="1"/>
  <c r="AU63" i="1"/>
  <c r="AV62" i="1"/>
  <c r="AU62" i="1"/>
  <c r="AV61" i="1"/>
  <c r="AU61" i="1"/>
  <c r="AT61" i="1"/>
  <c r="AV60" i="1"/>
  <c r="AU60" i="1"/>
  <c r="AT60" i="1"/>
  <c r="AV59" i="1"/>
  <c r="AU59" i="1"/>
  <c r="AT59" i="1"/>
  <c r="AV58" i="1"/>
  <c r="AU58" i="1"/>
  <c r="AV57" i="1"/>
  <c r="AU57" i="1"/>
  <c r="AV56" i="1"/>
  <c r="AU56" i="1"/>
  <c r="AV55" i="1"/>
  <c r="AU55" i="1"/>
  <c r="AV54" i="1"/>
  <c r="AU54" i="1"/>
  <c r="AT54" i="1"/>
  <c r="AV53" i="1"/>
  <c r="AU53" i="1"/>
  <c r="AV52" i="1"/>
  <c r="AU52" i="1"/>
  <c r="AV51" i="1"/>
  <c r="AU51" i="1"/>
  <c r="AV50" i="1"/>
  <c r="AU50" i="1"/>
  <c r="AT50" i="1"/>
  <c r="AV49" i="1"/>
  <c r="AU49" i="1"/>
  <c r="AV48" i="1"/>
  <c r="AU48" i="1"/>
  <c r="AT48" i="1"/>
  <c r="AV47" i="1"/>
  <c r="AU47" i="1"/>
  <c r="AV46" i="1"/>
  <c r="AU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V40" i="1"/>
  <c r="AU40" i="1"/>
  <c r="AT40" i="1"/>
  <c r="AV39" i="1"/>
  <c r="AU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V33" i="1"/>
  <c r="AU33" i="1"/>
  <c r="AT33" i="1"/>
  <c r="AV32" i="1"/>
  <c r="AU32" i="1"/>
  <c r="AV31" i="1"/>
  <c r="AU31" i="1"/>
  <c r="AT31" i="1"/>
  <c r="AV30" i="1"/>
  <c r="AU30" i="1"/>
  <c r="AT30" i="1"/>
  <c r="AV29" i="1"/>
  <c r="AU29" i="1"/>
  <c r="AT29" i="1"/>
  <c r="AV28" i="1"/>
  <c r="AU28" i="1"/>
  <c r="AV27" i="1"/>
  <c r="AU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T19" i="1"/>
  <c r="AV18" i="1"/>
  <c r="AU18" i="1"/>
  <c r="AT18" i="1"/>
  <c r="AV17" i="1"/>
  <c r="AU17" i="1"/>
  <c r="AV16" i="1"/>
  <c r="AU16" i="1"/>
  <c r="AV15" i="1"/>
  <c r="AU15" i="1"/>
  <c r="AT15" i="1"/>
  <c r="AV14" i="1"/>
  <c r="AU14" i="1"/>
  <c r="AT14" i="1"/>
  <c r="AV13" i="1"/>
  <c r="AU13" i="1"/>
  <c r="AV12" i="1"/>
  <c r="AU12" i="1"/>
  <c r="AV11" i="1"/>
  <c r="AU11" i="1"/>
  <c r="AV10" i="1"/>
  <c r="AU10" i="1"/>
  <c r="AT10" i="1"/>
  <c r="AV9" i="1"/>
  <c r="AU9" i="1"/>
  <c r="AT9" i="1"/>
  <c r="AV8" i="1"/>
  <c r="AU8" i="1"/>
  <c r="AV7" i="1"/>
  <c r="AU7" i="1"/>
  <c r="AV6" i="1"/>
  <c r="AU6" i="1"/>
  <c r="AV5" i="1"/>
  <c r="AU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<sst xmlns="http://schemas.openxmlformats.org/spreadsheetml/2006/main" count="15093" uniqueCount="6121">
  <si>
    <t>CUHSL</t>
  </si>
  <si>
    <t>SHELVES</t>
  </si>
  <si>
    <t>WA 11 AA1 M643 2006</t>
  </si>
  <si>
    <t>0                      WA 0011000AA 1                  M  643         2006</t>
  </si>
  <si>
    <t>Mile stones in public health : accomplishments in public health over the last 100 years.</t>
  </si>
  <si>
    <t>No</t>
  </si>
  <si>
    <t>1</t>
  </si>
  <si>
    <t>0</t>
  </si>
  <si>
    <t>New York : Pfizer Inc., c2006.</t>
  </si>
  <si>
    <t>2006</t>
  </si>
  <si>
    <t>eng</t>
  </si>
  <si>
    <t>nyu</t>
  </si>
  <si>
    <t xml:space="preserve">WA </t>
  </si>
  <si>
    <t>2009-06-24</t>
  </si>
  <si>
    <t>2009-06-22</t>
  </si>
  <si>
    <t>51074571:eng</t>
  </si>
  <si>
    <t>63529145</t>
  </si>
  <si>
    <t>991001470929702656</t>
  </si>
  <si>
    <t>2259883310002656</t>
  </si>
  <si>
    <t>BOOK</t>
  </si>
  <si>
    <t>9780976181514</t>
  </si>
  <si>
    <t>30001004917490</t>
  </si>
  <si>
    <t>893821241</t>
  </si>
  <si>
    <t>WA 11 AA1 M9p 1989</t>
  </si>
  <si>
    <t>0                      WA 0011000AA 1                  M  9p          1989</t>
  </si>
  <si>
    <t>Plagues and politics : the story of the United States Public Health Service / Fitzhugh Mullan.</t>
  </si>
  <si>
    <t>Mullan, Fitzhugh.</t>
  </si>
  <si>
    <t>New York : Basic Books, c1989.</t>
  </si>
  <si>
    <t>1989</t>
  </si>
  <si>
    <t>xxu</t>
  </si>
  <si>
    <t>1993-10-28</t>
  </si>
  <si>
    <t>1991-05-23</t>
  </si>
  <si>
    <t>368523223:eng</t>
  </si>
  <si>
    <t>20014513</t>
  </si>
  <si>
    <t>991000937349702656</t>
  </si>
  <si>
    <t>2260265620002656</t>
  </si>
  <si>
    <t>9780465057795</t>
  </si>
  <si>
    <t>30001002191403</t>
  </si>
  <si>
    <t>893740593</t>
  </si>
  <si>
    <t>WA11 AA1 S845p 2007</t>
  </si>
  <si>
    <t>0                      WA 0011000AA 1                  S  845p        2007</t>
  </si>
  <si>
    <t>The public-private health care state : essays on the history of American health care policy / Rosemary Stevens.</t>
  </si>
  <si>
    <t>Stevens, Rosemary, 1935-</t>
  </si>
  <si>
    <t>New Brunswick : Transaction Publishers, c2007.</t>
  </si>
  <si>
    <t>2007</t>
  </si>
  <si>
    <t>nju</t>
  </si>
  <si>
    <t>2009-11-20</t>
  </si>
  <si>
    <t>2008-02-12</t>
  </si>
  <si>
    <t>48673864:eng</t>
  </si>
  <si>
    <t>64771131</t>
  </si>
  <si>
    <t>991000678479702656</t>
  </si>
  <si>
    <t>2260899270002656</t>
  </si>
  <si>
    <t>9780765803498</t>
  </si>
  <si>
    <t>30001005270618</t>
  </si>
  <si>
    <t>893642320</t>
  </si>
  <si>
    <t>WA11 AA1 T843w 2004</t>
  </si>
  <si>
    <t>0                      WA 0011000AA 1                  T  843w        2004</t>
  </si>
  <si>
    <t>Water, race, and disease / Werner Troesken.</t>
  </si>
  <si>
    <t>Troesken, Werner, 1963-</t>
  </si>
  <si>
    <t>Cambridge, Mass. : MIT Press, c2004.</t>
  </si>
  <si>
    <t>2004</t>
  </si>
  <si>
    <t>mau</t>
  </si>
  <si>
    <t>NBER series on long-term factors in economic development</t>
  </si>
  <si>
    <t>2010-09-16</t>
  </si>
  <si>
    <t>2006-04-20</t>
  </si>
  <si>
    <t>668871:eng</t>
  </si>
  <si>
    <t>53132443</t>
  </si>
  <si>
    <t>991000475849702656</t>
  </si>
  <si>
    <t>2267005550002656</t>
  </si>
  <si>
    <t>9780262201483</t>
  </si>
  <si>
    <t>30001004914513</t>
  </si>
  <si>
    <t>893741826</t>
  </si>
  <si>
    <t>WA11 FE5 B627w 2006</t>
  </si>
  <si>
    <t>0                      WA 0011000FE 5                  B  627w        2006</t>
  </si>
  <si>
    <t>Walking London's medical history / Nick Black ; [foreword by Peter Ackroyd].</t>
  </si>
  <si>
    <t>Black, Nick.</t>
  </si>
  <si>
    <t>London : Royal Society of Medicine Press, c2006.</t>
  </si>
  <si>
    <t>enk</t>
  </si>
  <si>
    <t>2009-02-10</t>
  </si>
  <si>
    <t>2008-04-29</t>
  </si>
  <si>
    <t>62590026:eng</t>
  </si>
  <si>
    <t>76817853</t>
  </si>
  <si>
    <t>991000695859702656</t>
  </si>
  <si>
    <t>2272454460002656</t>
  </si>
  <si>
    <t>9781853156199</t>
  </si>
  <si>
    <t>30001005192788</t>
  </si>
  <si>
    <t>893467534</t>
  </si>
  <si>
    <t>WA11 FE5 L665b 2004</t>
  </si>
  <si>
    <t>0                      WA 0011000FE 5                  L  665b        2004</t>
  </si>
  <si>
    <t>Beyond the reproductive body : the politics of women's health and work in early Victorian England / Marjorie Levine-Clark.</t>
  </si>
  <si>
    <t>Yes</t>
  </si>
  <si>
    <t>Levine-Clark, Marjorie.</t>
  </si>
  <si>
    <t>Columbus : Ohio State University Press, c2004.</t>
  </si>
  <si>
    <t>ohu</t>
  </si>
  <si>
    <t>Women and health</t>
  </si>
  <si>
    <t>2009-09-10</t>
  </si>
  <si>
    <t>2005-04-07</t>
  </si>
  <si>
    <t>891492257:eng</t>
  </si>
  <si>
    <t>53145276</t>
  </si>
  <si>
    <t>991001732879702656</t>
  </si>
  <si>
    <t>2269164730002656</t>
  </si>
  <si>
    <t>9780814209561</t>
  </si>
  <si>
    <t>30001004929123</t>
  </si>
  <si>
    <t>893369837</t>
  </si>
  <si>
    <t>WA 11 JK2 M621c 2003</t>
  </si>
  <si>
    <t>0                      WA 0011000JK 2                  M  621c        2003</t>
  </si>
  <si>
    <t>Curative powers : medicine and empire in Stalin's Central Asia / Paula A. Michaels.</t>
  </si>
  <si>
    <t>Michaels, Paula A., 1966-</t>
  </si>
  <si>
    <t>Pittsburgh, Pa. : University of Pittsburgh Press, c2003.</t>
  </si>
  <si>
    <t>2003</t>
  </si>
  <si>
    <t>pau</t>
  </si>
  <si>
    <t>Pitt series in Russian and East European studies</t>
  </si>
  <si>
    <t>2005-07-17</t>
  </si>
  <si>
    <t>2005-07-14</t>
  </si>
  <si>
    <t>140992930:eng</t>
  </si>
  <si>
    <t>50604823</t>
  </si>
  <si>
    <t>991000440729702656</t>
  </si>
  <si>
    <t>2263260950002656</t>
  </si>
  <si>
    <t>9780822941972</t>
  </si>
  <si>
    <t>30001005000445</t>
  </si>
  <si>
    <t>893269459</t>
  </si>
  <si>
    <t>WA 16 G561 1996</t>
  </si>
  <si>
    <t>0                      WA 0016000G  561         1996</t>
  </si>
  <si>
    <t>The global burden of disease : a comprehensive assessment of mortality and disability from diseases, injuries, and risk factors in 1990 and projected to 2020 / edited by Christopher J.L. Murray, Alan D. Lopez.</t>
  </si>
  <si>
    <t>[Cambridge, Mass.] : Published by the Harvard School of Public Health on behalf of the World Health Organization and the World Bank ; Distributed by Harvard University Press, c1996.</t>
  </si>
  <si>
    <t>1996</t>
  </si>
  <si>
    <t>Global burden of disease and injury series ; v. 1</t>
  </si>
  <si>
    <t>2006-10-26</t>
  </si>
  <si>
    <t>1997-02-20</t>
  </si>
  <si>
    <t>3857284812:eng</t>
  </si>
  <si>
    <t>35128060</t>
  </si>
  <si>
    <t>991000837009702656</t>
  </si>
  <si>
    <t>2271112570002656</t>
  </si>
  <si>
    <t>9780674354487</t>
  </si>
  <si>
    <t>30001003442250</t>
  </si>
  <si>
    <t>893287046</t>
  </si>
  <si>
    <t>WA 16 G696q 1986</t>
  </si>
  <si>
    <t>0                      WA 0016000G  696q        1986</t>
  </si>
  <si>
    <t>Quality of life in American neighborhoods : levels of affluence, toxic waste, and cancer mortality in residential zip code areas / Jay M. Gould ; edited by Alice Tepper Marlin.</t>
  </si>
  <si>
    <t>Gould, Jay M.</t>
  </si>
  <si>
    <t>Boulder : Westview Press, c1986.</t>
  </si>
  <si>
    <t>1986</t>
  </si>
  <si>
    <t>1990-04-17</t>
  </si>
  <si>
    <t>1990-04-02</t>
  </si>
  <si>
    <t>474666579:eng</t>
  </si>
  <si>
    <t>13123497</t>
  </si>
  <si>
    <t>991001355279702656</t>
  </si>
  <si>
    <t>2266121430002656</t>
  </si>
  <si>
    <t>9780813371870</t>
  </si>
  <si>
    <t>30001001795832</t>
  </si>
  <si>
    <t>893834646</t>
  </si>
  <si>
    <t>WA 16 S795 1997</t>
  </si>
  <si>
    <t>0                      WA 0016000S  795         1997</t>
  </si>
  <si>
    <t>Statbook : statistics for monitoring maternal and infant health 1997 / March of Dimes Birth Defects Foundation.</t>
  </si>
  <si>
    <t>Wikes-Barre, PA : Perinatal Data Center, Office of the Medical Director, 1997.</t>
  </si>
  <si>
    <t>1997</t>
  </si>
  <si>
    <t>2005-09-29</t>
  </si>
  <si>
    <t>1998-05-06</t>
  </si>
  <si>
    <t>3901794053:eng</t>
  </si>
  <si>
    <t>36916677</t>
  </si>
  <si>
    <t>991000901229702656</t>
  </si>
  <si>
    <t>2264453960002656</t>
  </si>
  <si>
    <t>9780865250789</t>
  </si>
  <si>
    <t>30001004176444</t>
  </si>
  <si>
    <t>893637777</t>
  </si>
  <si>
    <t>WA 16 S7973 1998</t>
  </si>
  <si>
    <t>0                      WA 0016000S  7973        1998</t>
  </si>
  <si>
    <t>Statistical record of health &amp; medicine / Arsen J. Darnay, editor.</t>
  </si>
  <si>
    <t>Detroit, Mich. : Gale Research Inc., c1998.</t>
  </si>
  <si>
    <t>1998</t>
  </si>
  <si>
    <t>2d ed.</t>
  </si>
  <si>
    <t>miu</t>
  </si>
  <si>
    <t>1998-02-23</t>
  </si>
  <si>
    <t>181263860:eng</t>
  </si>
  <si>
    <t>38027512</t>
  </si>
  <si>
    <t>991001564309702656</t>
  </si>
  <si>
    <t>2266150260002656</t>
  </si>
  <si>
    <t>9780787600938</t>
  </si>
  <si>
    <t>30001003669415</t>
  </si>
  <si>
    <t>893741257</t>
  </si>
  <si>
    <t>WA 18 E61 1996</t>
  </si>
  <si>
    <t>0                      WA 0018000E  61          1996</t>
  </si>
  <si>
    <t>Environmental and occupational medical electives for medical students / Risa Pendroff, Editor.</t>
  </si>
  <si>
    <t>Washington, DC : Association of Occupational and Environmental Clinics, 1996.</t>
  </si>
  <si>
    <t>dcu</t>
  </si>
  <si>
    <t>2001-06-20</t>
  </si>
  <si>
    <t>1996-06-03</t>
  </si>
  <si>
    <t>40604509:eng</t>
  </si>
  <si>
    <t>34786804</t>
  </si>
  <si>
    <t>991001506149702656</t>
  </si>
  <si>
    <t>2261864310002656</t>
  </si>
  <si>
    <t>30001003264423</t>
  </si>
  <si>
    <t>893816478</t>
  </si>
  <si>
    <t>WA 18 G481b 1985</t>
  </si>
  <si>
    <t>0                      WA 0018000G  481b        1985</t>
  </si>
  <si>
    <t>Biostats, a primer for health care professionals / Dennis B. Gillings, Chester W. Douglass.</t>
  </si>
  <si>
    <t>Gillings, Dennis B., 1944-</t>
  </si>
  <si>
    <t>Chapel Hill, NC : CAVCO Publications, c1985.</t>
  </si>
  <si>
    <t>1985</t>
  </si>
  <si>
    <t>ncu</t>
  </si>
  <si>
    <t>1996-09-30</t>
  </si>
  <si>
    <t>1991-07-11</t>
  </si>
  <si>
    <t>4924920:eng</t>
  </si>
  <si>
    <t>12214296</t>
  </si>
  <si>
    <t>991000941569702656</t>
  </si>
  <si>
    <t>2268421630002656</t>
  </si>
  <si>
    <t>9780932137029</t>
  </si>
  <si>
    <t>30001002192690</t>
  </si>
  <si>
    <t>893450626</t>
  </si>
  <si>
    <t>WA 18 P9445 1992</t>
  </si>
  <si>
    <t>0                      WA 0018000P  9445        1992</t>
  </si>
  <si>
    <t>Preventive medicine and public health : PreTest self-assessment and review.</t>
  </si>
  <si>
    <t>New York : McGraw-Hill Inc., Health Professions Divisions, PreTest Series, c1991.</t>
  </si>
  <si>
    <t>1992</t>
  </si>
  <si>
    <t>6th ed. / edited by Thomas B. Newman, Warren S. Browner.</t>
  </si>
  <si>
    <t>2004-07-23</t>
  </si>
  <si>
    <t>1992-02-13</t>
  </si>
  <si>
    <t>476085692:eng</t>
  </si>
  <si>
    <t>22910580</t>
  </si>
  <si>
    <t>991001032719702656</t>
  </si>
  <si>
    <t>2270124290002656</t>
  </si>
  <si>
    <t>9780070519909</t>
  </si>
  <si>
    <t>30001002244137</t>
  </si>
  <si>
    <t>893168008</t>
  </si>
  <si>
    <t>WA 18 P976 1988</t>
  </si>
  <si>
    <t>0                      WA 0018000P  976         1988</t>
  </si>
  <si>
    <t>Public health &amp; community medicine : 660 multiple-choice questions with referenced, explanatory answers / revised and edited by Raymond O. West, with the assistance of Richard A. Stevens, Julie Carpenter.</t>
  </si>
  <si>
    <t>New York, N.Y. : Medical Examination Pub. Co., c1988.</t>
  </si>
  <si>
    <t>1988</t>
  </si>
  <si>
    <t>9th ed.</t>
  </si>
  <si>
    <t>Medical examination review</t>
  </si>
  <si>
    <t>1999-03-07</t>
  </si>
  <si>
    <t>1988-12-14</t>
  </si>
  <si>
    <t>1100004811:eng</t>
  </si>
  <si>
    <t>16758961</t>
  </si>
  <si>
    <t>991001103479702656</t>
  </si>
  <si>
    <t>2264213110002656</t>
  </si>
  <si>
    <t>9780444012579</t>
  </si>
  <si>
    <t>30001001610205</t>
  </si>
  <si>
    <t>893161679</t>
  </si>
  <si>
    <t>WA 18 T2525 1992</t>
  </si>
  <si>
    <t>0                      WA 0018000T  2525        1992</t>
  </si>
  <si>
    <t>Teaching epidemiology : What you should know and what you should do / edited by Jørn Olsen and Dimitrios Trichopoulos.</t>
  </si>
  <si>
    <t>Oxford ; New York : Oxford University Press, c1992.</t>
  </si>
  <si>
    <t>Commission of the European Communities health services research series ; no. 9</t>
  </si>
  <si>
    <t>1993-03-16</t>
  </si>
  <si>
    <t>1993-01-21</t>
  </si>
  <si>
    <t>3943731574:eng</t>
  </si>
  <si>
    <t>25163915</t>
  </si>
  <si>
    <t>991001434709702656</t>
  </si>
  <si>
    <t>2263598900002656</t>
  </si>
  <si>
    <t>9780192622051</t>
  </si>
  <si>
    <t>30001002530634</t>
  </si>
  <si>
    <t>893557985</t>
  </si>
  <si>
    <t>WA 18 W523t 1994</t>
  </si>
  <si>
    <t>0                      WA 0018000W  523t        1994</t>
  </si>
  <si>
    <t>Teaching creatively with video : fostering reflection, communication, and other clinical skills / Jane Westberg, Hilliard Jason.</t>
  </si>
  <si>
    <t>Westberg, Jane.</t>
  </si>
  <si>
    <t>New York : Springer Pub. Co., c1994.</t>
  </si>
  <si>
    <t>1994</t>
  </si>
  <si>
    <t>Springer series on medical education ; v. 18</t>
  </si>
  <si>
    <t>1994-09-14</t>
  </si>
  <si>
    <t>1994-09-13</t>
  </si>
  <si>
    <t>474729791:eng</t>
  </si>
  <si>
    <t>29466050</t>
  </si>
  <si>
    <t>991000679559702656</t>
  </si>
  <si>
    <t>2260150750002656</t>
  </si>
  <si>
    <t>9780826183606</t>
  </si>
  <si>
    <t>30001002697102</t>
  </si>
  <si>
    <t>893160877</t>
  </si>
  <si>
    <t>WA 19 H673 1991</t>
  </si>
  <si>
    <t>0                      WA 0019000H  673         1991</t>
  </si>
  <si>
    <t>A History of education in public health : health that mocks the doctors' rules / editors, Elizabeth Fee and Roy M. Acheson.</t>
  </si>
  <si>
    <t>Oxford ; New York : Oxford University Press, c1990.</t>
  </si>
  <si>
    <t>1991</t>
  </si>
  <si>
    <t>1993-06-19</t>
  </si>
  <si>
    <t>1991-07-24</t>
  </si>
  <si>
    <t>836717157:eng</t>
  </si>
  <si>
    <t>21974847</t>
  </si>
  <si>
    <t>991000942349702656</t>
  </si>
  <si>
    <t>2267487580002656</t>
  </si>
  <si>
    <t>9780192617576</t>
  </si>
  <si>
    <t>30001002192898</t>
  </si>
  <si>
    <t>893273515</t>
  </si>
  <si>
    <t>WA 20.5 F67 2000</t>
  </si>
  <si>
    <t>0                      WA 0020500F  67          2000</t>
  </si>
  <si>
    <t>Tomorrow's cures today? : how to reform the health research system / Donald R. Forsdyke.</t>
  </si>
  <si>
    <t>Forsdyke, Donald R.</t>
  </si>
  <si>
    <t>Amsterdam : Harwood Academic ; Abingdon : Marston, 2000.</t>
  </si>
  <si>
    <t>1999</t>
  </si>
  <si>
    <t xml:space="preserve">ne </t>
  </si>
  <si>
    <t>2003-10-28</t>
  </si>
  <si>
    <t>2003-10-17</t>
  </si>
  <si>
    <t>800708779:eng</t>
  </si>
  <si>
    <t>47522115</t>
  </si>
  <si>
    <t>991000359169702656</t>
  </si>
  <si>
    <t>2265706910002656</t>
  </si>
  <si>
    <t>9789057026034</t>
  </si>
  <si>
    <t>30001004218121</t>
  </si>
  <si>
    <t>893123015</t>
  </si>
  <si>
    <t>WA 20.5 H434 1991</t>
  </si>
  <si>
    <t>0                      WA 0020500H  434         1991</t>
  </si>
  <si>
    <t>Health promotion research : towards a new social epidemiology / edited by Bernhard Badura and Ilona Kickbusch.</t>
  </si>
  <si>
    <t>Copenhagen : World Health Organization, Regional Office for Europe, c1991.</t>
  </si>
  <si>
    <t xml:space="preserve">dk </t>
  </si>
  <si>
    <t>WHO regional publications. European series ; no. 37</t>
  </si>
  <si>
    <t>2000-03-30</t>
  </si>
  <si>
    <t>1992-07-15</t>
  </si>
  <si>
    <t>806763101:eng</t>
  </si>
  <si>
    <t>25825774</t>
  </si>
  <si>
    <t>991001305159702656</t>
  </si>
  <si>
    <t>2270170930002656</t>
  </si>
  <si>
    <t>9789289011280</t>
  </si>
  <si>
    <t>30001002413518</t>
  </si>
  <si>
    <t>893541241</t>
  </si>
  <si>
    <t>WA 20.5 H434 1993</t>
  </si>
  <si>
    <t>0                      WA 0020500H  434         1993</t>
  </si>
  <si>
    <t>Health research in practice : political, ethical, and methodological issues / edited by Derek Colquhoun, Allan Kellehear.</t>
  </si>
  <si>
    <t>London ; New York : Chapman &amp; Hall ; San Diego, Calif. : Distributed in the USA and Canada by Singular Pub. Group, c1993.</t>
  </si>
  <si>
    <t>1993</t>
  </si>
  <si>
    <t>1st ed.</t>
  </si>
  <si>
    <t>2005-03-01</t>
  </si>
  <si>
    <t>1993-10-21</t>
  </si>
  <si>
    <t>376224033:eng</t>
  </si>
  <si>
    <t>27727026</t>
  </si>
  <si>
    <t>991001488219702656</t>
  </si>
  <si>
    <t>2264870000002656</t>
  </si>
  <si>
    <t>9780412474705</t>
  </si>
  <si>
    <t>30001002579821</t>
  </si>
  <si>
    <t>893287444</t>
  </si>
  <si>
    <t>WA20.5 L886g 1999</t>
  </si>
  <si>
    <t>0                      WA 0020500L  886g        1999</t>
  </si>
  <si>
    <t>Gender, ethnicity, and health research / Sana Loue.</t>
  </si>
  <si>
    <t>Loue, Sana.</t>
  </si>
  <si>
    <t>New York : Kluwer Academic/Plenum Publishers, c1999.</t>
  </si>
  <si>
    <t>2008-07-10</t>
  </si>
  <si>
    <t>2004-06-03</t>
  </si>
  <si>
    <t>9986167:eng</t>
  </si>
  <si>
    <t>41649617</t>
  </si>
  <si>
    <t>991000371199702656</t>
  </si>
  <si>
    <t>2260046500002656</t>
  </si>
  <si>
    <t>9780306461729</t>
  </si>
  <si>
    <t>30001004920338</t>
  </si>
  <si>
    <t>893109459</t>
  </si>
  <si>
    <t>WA20.5 P484n 2001</t>
  </si>
  <si>
    <t>0                      WA 0020500P  484n        2001</t>
  </si>
  <si>
    <t>Needs assessment in public health : a practical guide for students and professionals / Donna J. Petersen and Greg R. Alexander.</t>
  </si>
  <si>
    <t>Petersen, Donna J.</t>
  </si>
  <si>
    <t>New York : Kluwer Academic, c2001.</t>
  </si>
  <si>
    <t>2001</t>
  </si>
  <si>
    <t>2003-08-19</t>
  </si>
  <si>
    <t>2001-11-13</t>
  </si>
  <si>
    <t>797180542:eng</t>
  </si>
  <si>
    <t>45363980</t>
  </si>
  <si>
    <t>991000293059702656</t>
  </si>
  <si>
    <t>2256760500002656</t>
  </si>
  <si>
    <t>9780306465307</t>
  </si>
  <si>
    <t>30001004235224</t>
  </si>
  <si>
    <t>893375449</t>
  </si>
  <si>
    <t>WA30 C437 2001</t>
  </si>
  <si>
    <t>0                      WA 0030000C  437         2001</t>
  </si>
  <si>
    <t>Challenging inequities in health : from ethics to action / edited by Timothy Evans ... [et al.].</t>
  </si>
  <si>
    <t>Oxford [England] ; New York : Oxford University Press, 2001.</t>
  </si>
  <si>
    <t>2005-03-13</t>
  </si>
  <si>
    <t>2002-06-28</t>
  </si>
  <si>
    <t>1038319041:eng</t>
  </si>
  <si>
    <t>44775424</t>
  </si>
  <si>
    <t>991000320499702656</t>
  </si>
  <si>
    <t>2268475540002656</t>
  </si>
  <si>
    <t>9780195137392</t>
  </si>
  <si>
    <t>30001004238442</t>
  </si>
  <si>
    <t>893542253</t>
  </si>
  <si>
    <t>WA 30 C744 1986</t>
  </si>
  <si>
    <t>0                      WA 0030000C  744         1986</t>
  </si>
  <si>
    <t>Concepts of health, illness, and disease : a comparative perspective / edited by Caroline Currer and Meg Stacey.</t>
  </si>
  <si>
    <t>Leamington Spa ; New York : Berg, c1986.</t>
  </si>
  <si>
    <t>1998-10-09</t>
  </si>
  <si>
    <t>1989-03-15</t>
  </si>
  <si>
    <t>795382463:eng</t>
  </si>
  <si>
    <t>12669529</t>
  </si>
  <si>
    <t>991001241839702656</t>
  </si>
  <si>
    <t>2271686280002656</t>
  </si>
  <si>
    <t>9780907582182</t>
  </si>
  <si>
    <t>30001001675828</t>
  </si>
  <si>
    <t>893450975</t>
  </si>
  <si>
    <t>WA30 C755 2002</t>
  </si>
  <si>
    <t>0                      WA 0030000C  755         2002</t>
  </si>
  <si>
    <t>Conservation medicine : ecological health in practice / edited by A. Alonso Aguirre ... [et al.].</t>
  </si>
  <si>
    <t>Oxford ; New York : Oxford University Press, 2002.</t>
  </si>
  <si>
    <t>2002</t>
  </si>
  <si>
    <t>2004-04-01</t>
  </si>
  <si>
    <t>2004-03-31</t>
  </si>
  <si>
    <t>866295882:eng</t>
  </si>
  <si>
    <t>47705894</t>
  </si>
  <si>
    <t>991000368929702656</t>
  </si>
  <si>
    <t>2255224670002656</t>
  </si>
  <si>
    <t>9780195150933</t>
  </si>
  <si>
    <t>30001004507549</t>
  </si>
  <si>
    <t>893822100</t>
  </si>
  <si>
    <t>WA30 D578c 2007</t>
  </si>
  <si>
    <t>0                      WA 0030000D  578c        2007</t>
  </si>
  <si>
    <t>Cultural diversity : a primer for the human services / Jerry V. Diller.</t>
  </si>
  <si>
    <t>Diller, Jerry V.</t>
  </si>
  <si>
    <t>Belmont, CA : Thomson Brooks/Cole, c2007.</t>
  </si>
  <si>
    <t>3rd ed.</t>
  </si>
  <si>
    <t>cau</t>
  </si>
  <si>
    <t>2010-09-15</t>
  </si>
  <si>
    <t>2008-04-17</t>
  </si>
  <si>
    <t>10844571:eng</t>
  </si>
  <si>
    <t>70852625</t>
  </si>
  <si>
    <t>991000692909702656</t>
  </si>
  <si>
    <t>2268089310002656</t>
  </si>
  <si>
    <t>9780495127642</t>
  </si>
  <si>
    <t>30001005292570</t>
  </si>
  <si>
    <t>893637232</t>
  </si>
  <si>
    <t>WA30 I62 2001</t>
  </si>
  <si>
    <t>0                      WA 0030000I  62          2001</t>
  </si>
  <si>
    <t>Investment in health : social and economic returns.</t>
  </si>
  <si>
    <t>Washington, D.C. : Pan American Health Organization, Pan American Sanitary Bureau, c2001.</t>
  </si>
  <si>
    <t>Scientific and technical publication ; no. 582</t>
  </si>
  <si>
    <t>2003-12-10</t>
  </si>
  <si>
    <t>2003-12-09</t>
  </si>
  <si>
    <t>801325324:eng</t>
  </si>
  <si>
    <t>49224034</t>
  </si>
  <si>
    <t>991000361149702656</t>
  </si>
  <si>
    <t>2263688030002656</t>
  </si>
  <si>
    <t>9789275115824</t>
  </si>
  <si>
    <t>30001004507739</t>
  </si>
  <si>
    <t>893822094</t>
  </si>
  <si>
    <t>WA 30 K22p 1992</t>
  </si>
  <si>
    <t>0                      WA 0030000K  22p         1992</t>
  </si>
  <si>
    <t>Promoting cultural diversity : strategies for health care professionals / Kathryn Hopkins Kavanagh, Patricia H. Kennedy.</t>
  </si>
  <si>
    <t>Kavanagh, Kathryn Hopkins.</t>
  </si>
  <si>
    <t>Newbury Park, Calif. : Sage Publications, c1992.</t>
  </si>
  <si>
    <t>2000-04-07</t>
  </si>
  <si>
    <t>1992-08-21</t>
  </si>
  <si>
    <t>20760372:eng</t>
  </si>
  <si>
    <t>25630291</t>
  </si>
  <si>
    <t>991001340399702656</t>
  </si>
  <si>
    <t>2266965750002656</t>
  </si>
  <si>
    <t>9780803946576</t>
  </si>
  <si>
    <t>30001002455436</t>
  </si>
  <si>
    <t>893268392</t>
  </si>
  <si>
    <t>WA 30 M693e 1992</t>
  </si>
  <si>
    <t>0                      WA 0030000M  693e        1992</t>
  </si>
  <si>
    <t>Environmental health / Dade W. Moeller.</t>
  </si>
  <si>
    <t>Moeller, D. W. (Dade W.)</t>
  </si>
  <si>
    <t>Cambridge, Mass. : Harvard University Press, c1992.</t>
  </si>
  <si>
    <t>1999-07-21</t>
  </si>
  <si>
    <t>1992-02-19</t>
  </si>
  <si>
    <t>932445:eng</t>
  </si>
  <si>
    <t>24067734</t>
  </si>
  <si>
    <t>991001032749702656</t>
  </si>
  <si>
    <t>2261437630002656</t>
  </si>
  <si>
    <t>9780674258587</t>
  </si>
  <si>
    <t>30001002244129</t>
  </si>
  <si>
    <t>893816053</t>
  </si>
  <si>
    <t>WA 30 P977 1994</t>
  </si>
  <si>
    <t>0                      WA 0030000P  977         1994</t>
  </si>
  <si>
    <t>Public health advocacy : creating community change to improve health / David G. Altman, Fabricio E. Balcazar, Stephen B. Fawcett, Thomas Seekins, John Q. Young.</t>
  </si>
  <si>
    <t>Palo Alto, CA : Stanford Center for Research in Disease Prevention, c1994.</t>
  </si>
  <si>
    <t>1998-08-28</t>
  </si>
  <si>
    <t>1994-11-23</t>
  </si>
  <si>
    <t>144702493:eng</t>
  </si>
  <si>
    <t>32161713</t>
  </si>
  <si>
    <t>991000682419702656</t>
  </si>
  <si>
    <t>2272390870002656</t>
  </si>
  <si>
    <t>9781879552128</t>
  </si>
  <si>
    <t>30001002697961</t>
  </si>
  <si>
    <t>893647988</t>
  </si>
  <si>
    <t>WA 30 Q105 1990</t>
  </si>
  <si>
    <t>0                      WA 0030000Q  105         1990</t>
  </si>
  <si>
    <t>Quality of life assessments in clinical trials / editor, Bert Spilker.</t>
  </si>
  <si>
    <t>New York : Raven Press, c1990.</t>
  </si>
  <si>
    <t>1990</t>
  </si>
  <si>
    <t>2009-03-27</t>
  </si>
  <si>
    <t>1990-09-07</t>
  </si>
  <si>
    <t>22691529:eng</t>
  </si>
  <si>
    <t>20691886</t>
  </si>
  <si>
    <t>991001454489702656</t>
  </si>
  <si>
    <t>2265395720002656</t>
  </si>
  <si>
    <t>9780881675900</t>
  </si>
  <si>
    <t>30001001884529</t>
  </si>
  <si>
    <t>893284834</t>
  </si>
  <si>
    <t>WA30 S358c 2000</t>
  </si>
  <si>
    <t>0                      WA 0030000S  358c        2000</t>
  </si>
  <si>
    <t>Children's environmental health : reducing risk in a dangerous world / Dona Schneider and Natalie Freeman.</t>
  </si>
  <si>
    <t>Schneider, Dona, 1946-</t>
  </si>
  <si>
    <t>Washington, DC : American Public Health Association, 2000.</t>
  </si>
  <si>
    <t>2000</t>
  </si>
  <si>
    <t>2002-10-17</t>
  </si>
  <si>
    <t>2002-07-02</t>
  </si>
  <si>
    <t>26310:eng</t>
  </si>
  <si>
    <t>45673731</t>
  </si>
  <si>
    <t>991000320979702656</t>
  </si>
  <si>
    <t>2268076020002656</t>
  </si>
  <si>
    <t>9780875532417</t>
  </si>
  <si>
    <t>30001004442556</t>
  </si>
  <si>
    <t>893728272</t>
  </si>
  <si>
    <t>WA 30 S741c 1979</t>
  </si>
  <si>
    <t>0                      WA 0030000S  741c        1979</t>
  </si>
  <si>
    <t>Cultural diversity in health and illness / Rachel E. Spector ; with contributions by Manuel Spector, Irving Kenneth Zola.</t>
  </si>
  <si>
    <t>Spector, Rachel E., 1940-</t>
  </si>
  <si>
    <t>New York : Appleton-Century-Crofts, c1979.</t>
  </si>
  <si>
    <t>1979</t>
  </si>
  <si>
    <t>1990-11-02</t>
  </si>
  <si>
    <t>1987-12-31</t>
  </si>
  <si>
    <t>4783924010:eng</t>
  </si>
  <si>
    <t>4776850</t>
  </si>
  <si>
    <t>991001545339702656</t>
  </si>
  <si>
    <t>2254912940002656</t>
  </si>
  <si>
    <t>9780838513941</t>
  </si>
  <si>
    <t>30001000637597</t>
  </si>
  <si>
    <t>893633182</t>
  </si>
  <si>
    <t>WA 30 S741c 1985</t>
  </si>
  <si>
    <t>0                      WA 0030000S  741c        1985</t>
  </si>
  <si>
    <t>Cultural diversity in health and illness / Rachel E. Spector.</t>
  </si>
  <si>
    <t>Norwalk [Conn.] : Appleton-Century-Crofts, c1985.</t>
  </si>
  <si>
    <t>2000-02-19</t>
  </si>
  <si>
    <t>1987-10-05</t>
  </si>
  <si>
    <t>12162610</t>
  </si>
  <si>
    <t>991000753889702656</t>
  </si>
  <si>
    <t>2258418700002656</t>
  </si>
  <si>
    <t>9780838513958</t>
  </si>
  <si>
    <t>30001000051898</t>
  </si>
  <si>
    <t>893560526</t>
  </si>
  <si>
    <t>WA 30 S741c 1991</t>
  </si>
  <si>
    <t>0                      WA 0030000S  741c        1991</t>
  </si>
  <si>
    <t>Norwalk, Conn. : Appleton &amp; Lange, c1991.</t>
  </si>
  <si>
    <t>ctu</t>
  </si>
  <si>
    <t>2001-01-27</t>
  </si>
  <si>
    <t>1993-03-26</t>
  </si>
  <si>
    <t>23254640</t>
  </si>
  <si>
    <t>991001476819702656</t>
  </si>
  <si>
    <t>2268591320002656</t>
  </si>
  <si>
    <t>9780838513965</t>
  </si>
  <si>
    <t>30001002563577</t>
  </si>
  <si>
    <t>893638345</t>
  </si>
  <si>
    <t>WA 30 S741c 1996</t>
  </si>
  <si>
    <t>0                      WA 0030000S  741c        1996</t>
  </si>
  <si>
    <t>Stamford, CT : Appleton &amp; Lange, c1996.</t>
  </si>
  <si>
    <t>4th ed.</t>
  </si>
  <si>
    <t>2002-09-24</t>
  </si>
  <si>
    <t>1996-03-27</t>
  </si>
  <si>
    <t>33246962</t>
  </si>
  <si>
    <t>991001505399702656</t>
  </si>
  <si>
    <t>2259416160002656</t>
  </si>
  <si>
    <t>9780838513972</t>
  </si>
  <si>
    <t>30001003264183</t>
  </si>
  <si>
    <t>893374664</t>
  </si>
  <si>
    <t>WA 30 S741cc 2000</t>
  </si>
  <si>
    <t>0                      WA 0030000S  741cc       2000</t>
  </si>
  <si>
    <t>Cultural care : guides to heritage assessment and health traditions / Rachel E. Spector.</t>
  </si>
  <si>
    <t>Upper Saddle River, N.J. : Prentice Hall Health, c2000.</t>
  </si>
  <si>
    <t>2001-08-31</t>
  </si>
  <si>
    <t>2000-03-20</t>
  </si>
  <si>
    <t>1864318810:eng</t>
  </si>
  <si>
    <t>43383790</t>
  </si>
  <si>
    <t>991001406569702656</t>
  </si>
  <si>
    <t>2260829170002656</t>
  </si>
  <si>
    <t>9780130877369</t>
  </si>
  <si>
    <t>30001003820737</t>
  </si>
  <si>
    <t>893546675</t>
  </si>
  <si>
    <t>WA 30.5 A5512p 2003</t>
  </si>
  <si>
    <t>0                      WA 0030500A  5512p       2003</t>
  </si>
  <si>
    <t>Pediatric environmental health / author, Committee on Environmental Health, American Academy of Pediatrics ; Ruth, A. Etzel, editor ; Sophie J. Balk, associate editor.</t>
  </si>
  <si>
    <t>American Academy of Pediatrics. Committee on Environmental Health.</t>
  </si>
  <si>
    <t>Washington, D.C. : American Academy of Pediatrics ; London : BMJ, 2003.</t>
  </si>
  <si>
    <t>2nd ed.</t>
  </si>
  <si>
    <t>2004-05-19</t>
  </si>
  <si>
    <t>364508199:eng</t>
  </si>
  <si>
    <t>55037551</t>
  </si>
  <si>
    <t>991000370169702656</t>
  </si>
  <si>
    <t>2270070800002656</t>
  </si>
  <si>
    <t>9781581101119</t>
  </si>
  <si>
    <t>30001004218725</t>
  </si>
  <si>
    <t>893822101</t>
  </si>
  <si>
    <t>WA 30.5 B615 2002</t>
  </si>
  <si>
    <t>0                      WA 0030500B  615         2002</t>
  </si>
  <si>
    <t>Biomarkers of environmentally associated disease : technologies, concepts, and perspectives / [edited by] Samuel H. Wilson, William A. Suk.</t>
  </si>
  <si>
    <t>Boca Raton : Lewis Publishers, c2002.</t>
  </si>
  <si>
    <t>flu</t>
  </si>
  <si>
    <t>2004-09-24</t>
  </si>
  <si>
    <t>2004-09-22</t>
  </si>
  <si>
    <t>801917272:eng</t>
  </si>
  <si>
    <t>48817698</t>
  </si>
  <si>
    <t>991000393699702656</t>
  </si>
  <si>
    <t>2263141330002656</t>
  </si>
  <si>
    <t>9781566705967</t>
  </si>
  <si>
    <t>30001004978302</t>
  </si>
  <si>
    <t>893466239</t>
  </si>
  <si>
    <t>WA 31 A531h 1987</t>
  </si>
  <si>
    <t>0                      WA 0031000A  531h        1987</t>
  </si>
  <si>
    <t>A health practitioner's guide to the social and behavioral sciences / Michael V. Angrosino.</t>
  </si>
  <si>
    <t>Angrosino, Michael V.</t>
  </si>
  <si>
    <t>Dover, Mass. : Auburn House, c1987.</t>
  </si>
  <si>
    <t>1987</t>
  </si>
  <si>
    <t>1990-06-13</t>
  </si>
  <si>
    <t>1990-05-23</t>
  </si>
  <si>
    <t>2846982:eng</t>
  </si>
  <si>
    <t>14214741</t>
  </si>
  <si>
    <t>991001375759702656</t>
  </si>
  <si>
    <t>2268806310002656</t>
  </si>
  <si>
    <t>30001001798158</t>
  </si>
  <si>
    <t>893374485</t>
  </si>
  <si>
    <t>WA 31 B628p 1991</t>
  </si>
  <si>
    <t>0                      WA 0031000B  628p        1991</t>
  </si>
  <si>
    <t>Poverty and health : working with families / Clare Blackburn.</t>
  </si>
  <si>
    <t>Blackburn, Clare, 1957-</t>
  </si>
  <si>
    <t>Milton Keynes ; Philadelphia : Open University Press, c1991.</t>
  </si>
  <si>
    <t>2000-04-16</t>
  </si>
  <si>
    <t>1993-03-04</t>
  </si>
  <si>
    <t>25177903:eng</t>
  </si>
  <si>
    <t>23971319</t>
  </si>
  <si>
    <t>991001432059702656</t>
  </si>
  <si>
    <t>2255042360002656</t>
  </si>
  <si>
    <t>9780335097340</t>
  </si>
  <si>
    <t>30001002529719</t>
  </si>
  <si>
    <t>893465519</t>
  </si>
  <si>
    <t>WA31 B7118c 2002</t>
  </si>
  <si>
    <t>0                      WA 0031000B  7118c       2002</t>
  </si>
  <si>
    <t>Culture in clinical care / Bette R. Bonder, Laura Martin, Andrew W. Miracle.</t>
  </si>
  <si>
    <t>Bonder, Bette.</t>
  </si>
  <si>
    <t>Thorofare, NJ : Slack, c2002.</t>
  </si>
  <si>
    <t>2008-04-08</t>
  </si>
  <si>
    <t>2002-01-31</t>
  </si>
  <si>
    <t>35973302:eng</t>
  </si>
  <si>
    <t>47013229</t>
  </si>
  <si>
    <t>991000304009702656</t>
  </si>
  <si>
    <t>2255028620002656</t>
  </si>
  <si>
    <t>9781556424595</t>
  </si>
  <si>
    <t>30001004236552</t>
  </si>
  <si>
    <t>893816928</t>
  </si>
  <si>
    <t>WA 31 C966 1978</t>
  </si>
  <si>
    <t>0                      WA 0031000C  966         1978</t>
  </si>
  <si>
    <t>The Cultural crisis of modern medicine / edited by John Ehrenreich.</t>
  </si>
  <si>
    <t>New York : Monthly Review Press, c1978.</t>
  </si>
  <si>
    <t>1978</t>
  </si>
  <si>
    <t>2000-03-13</t>
  </si>
  <si>
    <t>1991-05-07</t>
  </si>
  <si>
    <t>9658291419:eng</t>
  </si>
  <si>
    <t>3627806</t>
  </si>
  <si>
    <t>991000902419702656</t>
  </si>
  <si>
    <t>2269219560002656</t>
  </si>
  <si>
    <t>9780853454380</t>
  </si>
  <si>
    <t>30001002173732</t>
  </si>
  <si>
    <t>893637778</t>
  </si>
  <si>
    <t>WA31 C993s 2006</t>
  </si>
  <si>
    <t>0                      WA 0031000C  993s        2006</t>
  </si>
  <si>
    <t>Social epidemiology : strategies for public health activism / Julie G. Cwikel.</t>
  </si>
  <si>
    <t>Cwikel, Julie.</t>
  </si>
  <si>
    <t>New York : Columbia University Press, c2006.</t>
  </si>
  <si>
    <t>2009-08-17</t>
  </si>
  <si>
    <t>2010-04-20</t>
  </si>
  <si>
    <t>2007-01-26</t>
  </si>
  <si>
    <t>902074662:eng</t>
  </si>
  <si>
    <t>70929227</t>
  </si>
  <si>
    <t>991001747139702656</t>
  </si>
  <si>
    <t>2265901330002656</t>
  </si>
  <si>
    <t>9780231100489</t>
  </si>
  <si>
    <t>30001005212263</t>
  </si>
  <si>
    <t>893558322</t>
  </si>
  <si>
    <t>WA 31 H4341 2003</t>
  </si>
  <si>
    <t>0                      WA 0031000H  4341        2003</t>
  </si>
  <si>
    <t>Health and illness in the community : an Oxford core text / edited by Ross J. Taylor, Blair H. Smith, Edwin R. van Teijlingen.</t>
  </si>
  <si>
    <t>Oxford ; New York : Oxford University Press, 2003.</t>
  </si>
  <si>
    <t>Oxford core texts</t>
  </si>
  <si>
    <t>2008-09-22</t>
  </si>
  <si>
    <t>2004-08-27</t>
  </si>
  <si>
    <t>840188008:eng</t>
  </si>
  <si>
    <t>52639252</t>
  </si>
  <si>
    <t>991000379659702656</t>
  </si>
  <si>
    <t>2270841460002656</t>
  </si>
  <si>
    <t>9780192631688</t>
  </si>
  <si>
    <t>30001004219871</t>
  </si>
  <si>
    <t>893109496</t>
  </si>
  <si>
    <t>WA 31 S67803 2005</t>
  </si>
  <si>
    <t>0                      WA 0031000S  67803       2005</t>
  </si>
  <si>
    <t>The social medicine reader.</t>
  </si>
  <si>
    <t>Durham : Duke University Press, 2005.</t>
  </si>
  <si>
    <t>2005</t>
  </si>
  <si>
    <t>2008-08-12</t>
  </si>
  <si>
    <t>10677949409:eng</t>
  </si>
  <si>
    <t>59148079</t>
  </si>
  <si>
    <t>991000908029702656</t>
  </si>
  <si>
    <t>2267005800002656</t>
  </si>
  <si>
    <t>9780822335559</t>
  </si>
  <si>
    <t>30001005294204</t>
  </si>
  <si>
    <t>893834484</t>
  </si>
  <si>
    <t>WA31 T772 2006</t>
  </si>
  <si>
    <t>0                      WA 0031000T  772         2006</t>
  </si>
  <si>
    <t>Transforming unjust structures : the capability approach / edited by Severine Deneulin, Mathias Nebel and Nicholas Sagovsky.</t>
  </si>
  <si>
    <t>Dordrecht : Springer, 2006.</t>
  </si>
  <si>
    <t>Library of ethics and applied philosophy ; v. 19</t>
  </si>
  <si>
    <t>2007-03-12</t>
  </si>
  <si>
    <t>2006-09-28</t>
  </si>
  <si>
    <t>1076891522:eng</t>
  </si>
  <si>
    <t>69983230</t>
  </si>
  <si>
    <t>991000547249702656</t>
  </si>
  <si>
    <t>2263242570002656</t>
  </si>
  <si>
    <t>9781402044311</t>
  </si>
  <si>
    <t>30001005176377</t>
  </si>
  <si>
    <t>893630881</t>
  </si>
  <si>
    <t>WA 31 W473 2006</t>
  </si>
  <si>
    <t>0                      WA 0031000W  473         2006</t>
  </si>
  <si>
    <t>What happens when a society is diverse? : exploring multidimensional identities / edited by Hakan G. Sicakkan and Yngve G. Lithman.</t>
  </si>
  <si>
    <t>Lewiston, N.Y. : Edwin Mellen Press, c2006.</t>
  </si>
  <si>
    <t>2008-08-26</t>
  </si>
  <si>
    <t>2008-08-14</t>
  </si>
  <si>
    <t>47131379:eng</t>
  </si>
  <si>
    <t>62878422</t>
  </si>
  <si>
    <t>991000909129702656</t>
  </si>
  <si>
    <t>2259754940002656</t>
  </si>
  <si>
    <t>9780773458772</t>
  </si>
  <si>
    <t>30001005294519</t>
  </si>
  <si>
    <t>893648678</t>
  </si>
  <si>
    <t>WA 33 AA1 I35 1998</t>
  </si>
  <si>
    <t>0                      WA 0033000AA 1                  I  35          1998</t>
  </si>
  <si>
    <t>Improving state law to prevent and treat infectious disease / by Lawrence O. Gostin ... [et al.].</t>
  </si>
  <si>
    <t>New York, NY : Milbank Memorial Fund, c1998.</t>
  </si>
  <si>
    <t>1999-03-16</t>
  </si>
  <si>
    <t>1998-07-29</t>
  </si>
  <si>
    <t>41561372:eng</t>
  </si>
  <si>
    <t>38309869</t>
  </si>
  <si>
    <t>991001677389702656</t>
  </si>
  <si>
    <t>2254875070002656</t>
  </si>
  <si>
    <t>9781887748179</t>
  </si>
  <si>
    <t>30001004174514</t>
  </si>
  <si>
    <t>893732174</t>
  </si>
  <si>
    <t>WA 39 B628i 1992</t>
  </si>
  <si>
    <t>0                      WA 0039000B  628i        1992</t>
  </si>
  <si>
    <t>Improving health and welfare work with families in poverty : a handbook / Clare Blackburn.</t>
  </si>
  <si>
    <t>Buckingham ; Philadelphia : Open University Press, c1992.</t>
  </si>
  <si>
    <t>2002-09-05</t>
  </si>
  <si>
    <t>291190736:eng</t>
  </si>
  <si>
    <t>25050003</t>
  </si>
  <si>
    <t>991001432039702656</t>
  </si>
  <si>
    <t>2255002400002656</t>
  </si>
  <si>
    <t>9780335097326</t>
  </si>
  <si>
    <t>30001002529693</t>
  </si>
  <si>
    <t>893633052</t>
  </si>
  <si>
    <t>WA39 H2356 2003</t>
  </si>
  <si>
    <t>0                      WA 0039000H  2356        2003</t>
  </si>
  <si>
    <t>A practical approach to occupational and environmental medicine / editor-in-chief, Robert J. McCunney ; [editor, Paul P. Rountree ; associate editors, Cheryl S. Barbanel ... et al.].</t>
  </si>
  <si>
    <t>Philadelphia : Lippincott Williams &amp; Wilkins, c2003.</t>
  </si>
  <si>
    <t>2004-02-04</t>
  </si>
  <si>
    <t>2004-01-28</t>
  </si>
  <si>
    <t>55816036:eng</t>
  </si>
  <si>
    <t>50859183</t>
  </si>
  <si>
    <t>991000364749702656</t>
  </si>
  <si>
    <t>2264327700002656</t>
  </si>
  <si>
    <t>9780781736749</t>
  </si>
  <si>
    <t>30001004508869</t>
  </si>
  <si>
    <t>893827425</t>
  </si>
  <si>
    <t>WA 39 H4285 1993</t>
  </si>
  <si>
    <t>0                      WA 0039000H  4285        1993</t>
  </si>
  <si>
    <t>Hazardous substances resource guide / Richard P. Pohanish and Stanley A. Greene, editors.</t>
  </si>
  <si>
    <t>Detroit : Gale Research, c1993.</t>
  </si>
  <si>
    <t>Gale environmental library</t>
  </si>
  <si>
    <t>1993-10-26</t>
  </si>
  <si>
    <t>1993-10-15</t>
  </si>
  <si>
    <t>350677525:eng</t>
  </si>
  <si>
    <t>27179359</t>
  </si>
  <si>
    <t>991001488089702656</t>
  </si>
  <si>
    <t>2264378700002656</t>
  </si>
  <si>
    <t>30001002579706</t>
  </si>
  <si>
    <t>893465571</t>
  </si>
  <si>
    <t>WA39 O98 2001</t>
  </si>
  <si>
    <t>0                      WA 0039000O  98          2001</t>
  </si>
  <si>
    <t>Oxford handbook of public health practice / edited by David Pencheon ... [et al.].</t>
  </si>
  <si>
    <t>2</t>
  </si>
  <si>
    <t>Oxford ; New York : Oxford University Press, 2001.</t>
  </si>
  <si>
    <t>2010-12-10</t>
  </si>
  <si>
    <t>4794550907:eng</t>
  </si>
  <si>
    <t>47049955</t>
  </si>
  <si>
    <t>991000320179702656</t>
  </si>
  <si>
    <t>2263826020002656</t>
  </si>
  <si>
    <t>9780192632210</t>
  </si>
  <si>
    <t>30001004238368</t>
  </si>
  <si>
    <t>893279905</t>
  </si>
  <si>
    <t>WA39 P348 2005</t>
  </si>
  <si>
    <t>0                      WA 0039000P  348         2005</t>
  </si>
  <si>
    <t>PDR guide to terrorism response : a resource for physicians, nurses, emergency medical services, law enforcement, firefighters / contributing editors, John G. Bartlett, Michael I. Greenberg.</t>
  </si>
  <si>
    <t>Montvale, NJ : Thomson PDR, c2005.</t>
  </si>
  <si>
    <t>2006-12-13</t>
  </si>
  <si>
    <t>2006-08-29</t>
  </si>
  <si>
    <t>367718870:eng</t>
  </si>
  <si>
    <t>68705547</t>
  </si>
  <si>
    <t>991000533249702656</t>
  </si>
  <si>
    <t>2267482510002656</t>
  </si>
  <si>
    <t>9781563635502</t>
  </si>
  <si>
    <t>30001005170016</t>
  </si>
  <si>
    <t>893361310</t>
  </si>
  <si>
    <t>WA 39 P944 1991</t>
  </si>
  <si>
    <t>0                      WA 0039000P  944         1991</t>
  </si>
  <si>
    <t>Preventing occupational disease and injury / edited by James L. Weeks, Barry S. Levy, Gregory R. Wagner.</t>
  </si>
  <si>
    <t>Washington, D.C. : American Public Health Association, c1991.</t>
  </si>
  <si>
    <t>2004-10-03</t>
  </si>
  <si>
    <t>1993-09-22</t>
  </si>
  <si>
    <t>364617153:eng</t>
  </si>
  <si>
    <t>28021134</t>
  </si>
  <si>
    <t>991001486519702656</t>
  </si>
  <si>
    <t>2265182110002656</t>
  </si>
  <si>
    <t>9780875531724</t>
  </si>
  <si>
    <t>30001002579201</t>
  </si>
  <si>
    <t>893451253</t>
  </si>
  <si>
    <t>WA 39 W872 1996</t>
  </si>
  <si>
    <t>0                      WA 0039000W  872         1996</t>
  </si>
  <si>
    <t>Women's health care handbook / edited by Cynda Ann Johnson ... [et al.].</t>
  </si>
  <si>
    <t>Philadelphia : Hanley &amp; Belfus ; St. Louis : Mosby, c1996.</t>
  </si>
  <si>
    <t>2000-06-08</t>
  </si>
  <si>
    <t>1997-02-18</t>
  </si>
  <si>
    <t>3012900:eng</t>
  </si>
  <si>
    <t>34411058</t>
  </si>
  <si>
    <t>991001552709702656</t>
  </si>
  <si>
    <t>2263233150002656</t>
  </si>
  <si>
    <t>9781560531128</t>
  </si>
  <si>
    <t>30001003474816</t>
  </si>
  <si>
    <t>893162147</t>
  </si>
  <si>
    <t>WA 100 098 1997</t>
  </si>
  <si>
    <t>0                      WA 0100000                                                           098 1997</t>
  </si>
  <si>
    <t>Oxford textbook of public health.</t>
  </si>
  <si>
    <t>V. 1</t>
  </si>
  <si>
    <t>New York ; Oxford : Oxford University Press, c1997.</t>
  </si>
  <si>
    <t>3rd ed / edited by Roger Detels ...[et al.].</t>
  </si>
  <si>
    <t>1997-07-08</t>
  </si>
  <si>
    <t>2004-03-14</t>
  </si>
  <si>
    <t>1997-06-04</t>
  </si>
  <si>
    <t>5218478559:eng</t>
  </si>
  <si>
    <t>37588733</t>
  </si>
  <si>
    <t>991001228369702656</t>
  </si>
  <si>
    <t>2258668230002656</t>
  </si>
  <si>
    <t>9780192625502</t>
  </si>
  <si>
    <t>30001003670967</t>
  </si>
  <si>
    <t>893731761</t>
  </si>
  <si>
    <t>V. 3</t>
  </si>
  <si>
    <t>1999-02-12</t>
  </si>
  <si>
    <t>30001003670983</t>
  </si>
  <si>
    <t>893736340</t>
  </si>
  <si>
    <t>V. 2</t>
  </si>
  <si>
    <t>30001003670975</t>
  </si>
  <si>
    <t>893740886</t>
  </si>
  <si>
    <t>WA100 C66  2002</t>
  </si>
  <si>
    <t>0                      WA 0100000C  66          2002</t>
  </si>
  <si>
    <t>Communicating public health information effectively : a guide for practitioners / David E. Nelson ... [et al.].</t>
  </si>
  <si>
    <t>Washington, D.C. : American Public Health Association, 2002.</t>
  </si>
  <si>
    <t>2004-03-30</t>
  </si>
  <si>
    <t>2004-03-29</t>
  </si>
  <si>
    <t>908611042:eng</t>
  </si>
  <si>
    <t>52302256</t>
  </si>
  <si>
    <t>991000368629702656</t>
  </si>
  <si>
    <t>2256215690002656</t>
  </si>
  <si>
    <t>9780875530277</t>
  </si>
  <si>
    <t>30001004507341</t>
  </si>
  <si>
    <t>893817043</t>
  </si>
  <si>
    <t>WA 100 D6758e 2009</t>
  </si>
  <si>
    <t>0                      WA 0100000D  6758e       2009</t>
  </si>
  <si>
    <t>Donaldsons' essential public health / Liam J. Donaldson and Gabriel Scally.</t>
  </si>
  <si>
    <t>Donaldson, Liam J.</t>
  </si>
  <si>
    <t>Oxford ; New York : Radcliffe, c2009.</t>
  </si>
  <si>
    <t>2009</t>
  </si>
  <si>
    <t>2009-08-12</t>
  </si>
  <si>
    <t>2009-08-10</t>
  </si>
  <si>
    <t>3857331780:eng</t>
  </si>
  <si>
    <t>297802711</t>
  </si>
  <si>
    <t>991001484219702656</t>
  </si>
  <si>
    <t>2257791450002656</t>
  </si>
  <si>
    <t>9781846192098</t>
  </si>
  <si>
    <t>30001004918555</t>
  </si>
  <si>
    <t>893279152</t>
  </si>
  <si>
    <t>WA 100 E27 1989</t>
  </si>
  <si>
    <t>0                      WA 0100000E  27          1989</t>
  </si>
  <si>
    <t>Effectiveness and outcomes in health care : proceedings of an invitational conference by the Institute of Medicine, Division of Health Care Services / Kim A. Heithoff and Kathleen N. Lohr, editors.</t>
  </si>
  <si>
    <t>Washington, D.C. : National Academy Press, 1990.</t>
  </si>
  <si>
    <t>1995-07-12</t>
  </si>
  <si>
    <t>1990-11-30</t>
  </si>
  <si>
    <t>799703604:eng</t>
  </si>
  <si>
    <t>24795642</t>
  </si>
  <si>
    <t>991000781619702656</t>
  </si>
  <si>
    <t>2262398950002656</t>
  </si>
  <si>
    <t>9780309043427</t>
  </si>
  <si>
    <t>30001002064881</t>
  </si>
  <si>
    <t>893731225</t>
  </si>
  <si>
    <t>WA 100 E34 1987</t>
  </si>
  <si>
    <t>0                      WA 0100000E  34          1987</t>
  </si>
  <si>
    <t>Ethical dilemmas in health promotion / editor, Spyros Doxiadis ; editorial committee, Roger Blaney ... [et al.].</t>
  </si>
  <si>
    <t>Chichester ; New York : Wiley, c1987.</t>
  </si>
  <si>
    <t>A Wiley medical publication</t>
  </si>
  <si>
    <t>1997-05-23</t>
  </si>
  <si>
    <t>1988-01-07</t>
  </si>
  <si>
    <t>441391654:eng</t>
  </si>
  <si>
    <t>14239745</t>
  </si>
  <si>
    <t>991000687529702656</t>
  </si>
  <si>
    <t>2265898060002656</t>
  </si>
  <si>
    <t>9780471913139</t>
  </si>
  <si>
    <t>30001000695397</t>
  </si>
  <si>
    <t>893368228</t>
  </si>
  <si>
    <t>WA100 E93 2003</t>
  </si>
  <si>
    <t>0                      WA 0100000E  93          2003</t>
  </si>
  <si>
    <t>Evidence-based public health / Ross C. Brownson ... [et al.].</t>
  </si>
  <si>
    <t>Oxford ; New York : Oxford University Press, c2003.</t>
  </si>
  <si>
    <t>2005-11-22</t>
  </si>
  <si>
    <t>2005-11-18</t>
  </si>
  <si>
    <t>866308118:eng</t>
  </si>
  <si>
    <t>48892440</t>
  </si>
  <si>
    <t>991000449939702656</t>
  </si>
  <si>
    <t>2269249520002656</t>
  </si>
  <si>
    <t>9780195143768</t>
  </si>
  <si>
    <t>30001004911527</t>
  </si>
  <si>
    <t>893644440</t>
  </si>
  <si>
    <t>WA 100 G762h 1987</t>
  </si>
  <si>
    <t>0                      WA 0100000G  762h        1987</t>
  </si>
  <si>
    <t>Handbook of community health / Murray Grant.</t>
  </si>
  <si>
    <t>Grant, Murray, 1926-</t>
  </si>
  <si>
    <t>Philadelphia : Lea &amp; Febiger, 1987.</t>
  </si>
  <si>
    <t>1991-01-04</t>
  </si>
  <si>
    <t>1728869:eng</t>
  </si>
  <si>
    <t>15163302</t>
  </si>
  <si>
    <t>991000687819702656</t>
  </si>
  <si>
    <t>2255170480002656</t>
  </si>
  <si>
    <t>9780812110838</t>
  </si>
  <si>
    <t>30001000695488</t>
  </si>
  <si>
    <t>893277952</t>
  </si>
  <si>
    <t>WA 100 G816e 1935</t>
  </si>
  <si>
    <t>0                      WA 0100000G  816e        1935</t>
  </si>
  <si>
    <t>Epidemics and crowd-diseases : an introduction to the study of epidemiology / by Major Greenwood.</t>
  </si>
  <si>
    <t>Greenwood, Major, 1880-1949.</t>
  </si>
  <si>
    <t>New York : Macmillan, 1935.</t>
  </si>
  <si>
    <t>1935</t>
  </si>
  <si>
    <t>2002-11-19</t>
  </si>
  <si>
    <t>2687866:eng</t>
  </si>
  <si>
    <t>2181429</t>
  </si>
  <si>
    <t>991000687849702656</t>
  </si>
  <si>
    <t>2263191300002656</t>
  </si>
  <si>
    <t>30001000695504</t>
  </si>
  <si>
    <t>893283436</t>
  </si>
  <si>
    <t>WA 100 K91s 1994</t>
  </si>
  <si>
    <t>0                      WA 0100000K  91s         1994</t>
  </si>
  <si>
    <t>Silent travelers : germs, genes, and the "immigrant menace" / Alan M. Kraut.</t>
  </si>
  <si>
    <t>Kraut, Alan M.</t>
  </si>
  <si>
    <t>New York, NY : BasicBooks, c1994.</t>
  </si>
  <si>
    <t>1997-09-22</t>
  </si>
  <si>
    <t>1995-02-20</t>
  </si>
  <si>
    <t>31509686:eng</t>
  </si>
  <si>
    <t>28888554</t>
  </si>
  <si>
    <t>991001396559702656</t>
  </si>
  <si>
    <t>2264033520002656</t>
  </si>
  <si>
    <t>9780465078233</t>
  </si>
  <si>
    <t>30001003146190</t>
  </si>
  <si>
    <t>893451133</t>
  </si>
  <si>
    <t>WA 100 L439t 1965</t>
  </si>
  <si>
    <t>0                      WA 0100000L  439t        1965</t>
  </si>
  <si>
    <t>Preventive medicine for the doctor in his community : an epidemiologic approach / by Hugh Rodman Leavell, E. Gurney Clark, and twenty-three contributors.</t>
  </si>
  <si>
    <t>Leavell, Hugh Rodman, 1902-1976.</t>
  </si>
  <si>
    <t>New York : Blakiston Division, McGraw-Hill, 1965.</t>
  </si>
  <si>
    <t>1965</t>
  </si>
  <si>
    <t>1997-11-25</t>
  </si>
  <si>
    <t>1988-02-03</t>
  </si>
  <si>
    <t>360994220:eng</t>
  </si>
  <si>
    <t>641916</t>
  </si>
  <si>
    <t>991001474359702656</t>
  </si>
  <si>
    <t>2261915640002656</t>
  </si>
  <si>
    <t>30001000559288</t>
  </si>
  <si>
    <t>893121525</t>
  </si>
  <si>
    <t>WA 100 M4635 1998</t>
  </si>
  <si>
    <t>0                      WA 0100000M  4635        1998</t>
  </si>
  <si>
    <t>Maxcy-Rosenau-Last public health &amp; preventive medicine / editor, Robert B. Wallace.</t>
  </si>
  <si>
    <t>Stamford, Conn. : Appleton &amp; Lange, c1998.</t>
  </si>
  <si>
    <t>14th ed.</t>
  </si>
  <si>
    <t>2003-06-07</t>
  </si>
  <si>
    <t>4917161096:eng</t>
  </si>
  <si>
    <t>38180358</t>
  </si>
  <si>
    <t>991000820829702656</t>
  </si>
  <si>
    <t>2257227330002656</t>
  </si>
  <si>
    <t>9780838561850</t>
  </si>
  <si>
    <t>30001004091478</t>
  </si>
  <si>
    <t>893632201</t>
  </si>
  <si>
    <t>WA100 M476t 2004</t>
  </si>
  <si>
    <t>0                      WA 0100000M  476t        2004</t>
  </si>
  <si>
    <t>True warnings and false alarms : evaluating fears about the health risks of technology, 1948-1971 / Allan Mazur.</t>
  </si>
  <si>
    <t>Mazur, Allan.</t>
  </si>
  <si>
    <t>Washington, DC : Resources for the Future, c2004.</t>
  </si>
  <si>
    <t>2007-07-30</t>
  </si>
  <si>
    <t>2007-03-28</t>
  </si>
  <si>
    <t>803204132:eng</t>
  </si>
  <si>
    <t>52430782</t>
  </si>
  <si>
    <t>991000604449702656</t>
  </si>
  <si>
    <t>2268932580002656</t>
  </si>
  <si>
    <t>9781891853555</t>
  </si>
  <si>
    <t>30001005176765</t>
  </si>
  <si>
    <t>893550813</t>
  </si>
  <si>
    <t>WA 100 R813p 1986</t>
  </si>
  <si>
    <t>0                      WA 0100000R  813p        1986</t>
  </si>
  <si>
    <t>Maxcy-Rosenau Public health and preventive medicine.</t>
  </si>
  <si>
    <t>Rosenau, M. J. (Milton Joseph), 1869-1946.</t>
  </si>
  <si>
    <t>Norwalk, Conn. : Appleton-Century-Crofts, c1986.</t>
  </si>
  <si>
    <t>12th ed. / editor, John M. Last ; associate editors, James Chin ... [et al.].</t>
  </si>
  <si>
    <t>1991-05-15</t>
  </si>
  <si>
    <t>1988-03-28</t>
  </si>
  <si>
    <t>3901656342:eng</t>
  </si>
  <si>
    <t>12262867</t>
  </si>
  <si>
    <t>991001288119702656</t>
  </si>
  <si>
    <t>2265307580002656</t>
  </si>
  <si>
    <t>9780838561874</t>
  </si>
  <si>
    <t>30001001058272</t>
  </si>
  <si>
    <t>893731846</t>
  </si>
  <si>
    <t>WA 100 S617a 1976</t>
  </si>
  <si>
    <t>0                      WA 0100000S  617a        1976</t>
  </si>
  <si>
    <t>General epidemiology / Herbert Sinnecker.</t>
  </si>
  <si>
    <t>Sinnecker, Herbert.</t>
  </si>
  <si>
    <t>-- London ; New York : Wiley, c1976.</t>
  </si>
  <si>
    <t>1976</t>
  </si>
  <si>
    <t>Wiley-Interscience publication</t>
  </si>
  <si>
    <t>1996-03-18</t>
  </si>
  <si>
    <t>1988-09-21</t>
  </si>
  <si>
    <t>1857378:eng</t>
  </si>
  <si>
    <t>915791</t>
  </si>
  <si>
    <t>991000713359702656</t>
  </si>
  <si>
    <t>2264745210002656</t>
  </si>
  <si>
    <t>9780471793182</t>
  </si>
  <si>
    <t>30001000705675</t>
  </si>
  <si>
    <t>893454777</t>
  </si>
  <si>
    <t>WA 105 A285g 1990a</t>
  </si>
  <si>
    <t>0                      WA 0105000A  285g        1990a</t>
  </si>
  <si>
    <t>Introduction to modern epidemiology / Anders Ahlbom, Staffan Norell ; [translated from Swedish by Gunilla Ahlbom ; foreword by Kenneth Rothman].</t>
  </si>
  <si>
    <t>Ahlbom, Anders.</t>
  </si>
  <si>
    <t>Chestnut Hill, MA : Epidemiology Resources, c1990.</t>
  </si>
  <si>
    <t>1996-04-15</t>
  </si>
  <si>
    <t>1991-07-02</t>
  </si>
  <si>
    <t>3646937:eng</t>
  </si>
  <si>
    <t>21376647</t>
  </si>
  <si>
    <t>991000940439702656</t>
  </si>
  <si>
    <t>2257748510002656</t>
  </si>
  <si>
    <t>9780917227066</t>
  </si>
  <si>
    <t>30001002192492</t>
  </si>
  <si>
    <t>893363560</t>
  </si>
  <si>
    <t>WA 105 A652 1998</t>
  </si>
  <si>
    <t>0                      WA 0105000A  652         1998</t>
  </si>
  <si>
    <t>Applied epidemiology : theory to practice / edited by Ross C. Brownson, Diana B. Petitti.</t>
  </si>
  <si>
    <t>New York : Oxford University Press, c1998.</t>
  </si>
  <si>
    <t>1999-10-14</t>
  </si>
  <si>
    <t>793990953:eng</t>
  </si>
  <si>
    <t>36848139</t>
  </si>
  <si>
    <t>991000597259702656</t>
  </si>
  <si>
    <t>2259182610002656</t>
  </si>
  <si>
    <t>9780195111903</t>
  </si>
  <si>
    <t>30001004015592</t>
  </si>
  <si>
    <t>893454157</t>
  </si>
  <si>
    <t>WA 105 F911p 1987</t>
  </si>
  <si>
    <t>0                      WA 0105000F  911p        1987</t>
  </si>
  <si>
    <t>Primer of epidemiology / Gary D. Friedman.</t>
  </si>
  <si>
    <t>Friedman, Gary D., 1934-</t>
  </si>
  <si>
    <t>New York : McGraw-Hill, c1987.</t>
  </si>
  <si>
    <t>2008-01-07</t>
  </si>
  <si>
    <t>1988-05-07</t>
  </si>
  <si>
    <t>1609799:eng</t>
  </si>
  <si>
    <t>14967164</t>
  </si>
  <si>
    <t>991001190149702656</t>
  </si>
  <si>
    <t>2264215380002656</t>
  </si>
  <si>
    <t>9780070224360</t>
  </si>
  <si>
    <t>30001000979122</t>
  </si>
  <si>
    <t>893465260</t>
  </si>
  <si>
    <t>WA 105 G383e 1998</t>
  </si>
  <si>
    <t>0                      WA 0105000G  383e        1998</t>
  </si>
  <si>
    <t>Epidemiology kept simple : an introduction to classic and modern epidemiology / B. Burt Gerstman.</t>
  </si>
  <si>
    <t>Gerstman, B. Burt.</t>
  </si>
  <si>
    <t>New York : Wiley, c1998.</t>
  </si>
  <si>
    <t>2009-01-16</t>
  </si>
  <si>
    <t>1998-12-18</t>
  </si>
  <si>
    <t>796442047:eng</t>
  </si>
  <si>
    <t>37771040</t>
  </si>
  <si>
    <t>991000694199702656</t>
  </si>
  <si>
    <t>2256545980002656</t>
  </si>
  <si>
    <t>9780471240297</t>
  </si>
  <si>
    <t>30001004037661</t>
  </si>
  <si>
    <t>893148065</t>
  </si>
  <si>
    <t>WA 105 H214e 1985</t>
  </si>
  <si>
    <t>0                      WA 0105000H  214e        1985</t>
  </si>
  <si>
    <t>Economic breakdown and the threat of global pandemics / prepared by an EIR Special Task Force ; Warren J. Hamerman, John Grauerholz, Carol Schaeffer Cleary.</t>
  </si>
  <si>
    <t>Hamerman, Warren J.</t>
  </si>
  <si>
    <t>Washington, D.C. : Executive Intelligence Review, c1985.</t>
  </si>
  <si>
    <t>EIR special report</t>
  </si>
  <si>
    <t>1997-10-07</t>
  </si>
  <si>
    <t>1988-05-09</t>
  </si>
  <si>
    <t>8489666:eng</t>
  </si>
  <si>
    <t>15162522</t>
  </si>
  <si>
    <t>991001187779702656</t>
  </si>
  <si>
    <t>2264019230002656</t>
  </si>
  <si>
    <t>30001000978553</t>
  </si>
  <si>
    <t>893363839</t>
  </si>
  <si>
    <t>WA 105 H282e 1995</t>
  </si>
  <si>
    <t>0                      WA 0105000H  282e        1995</t>
  </si>
  <si>
    <t>Epidemiology in nursing practice / Gail A. Harkness.</t>
  </si>
  <si>
    <t>Harkness, Gail A.</t>
  </si>
  <si>
    <t>St. Louis : Mosby, c1995.</t>
  </si>
  <si>
    <t>1995</t>
  </si>
  <si>
    <t>msu</t>
  </si>
  <si>
    <t>1999-02-25</t>
  </si>
  <si>
    <t>1997-02-14</t>
  </si>
  <si>
    <t>34140708:eng</t>
  </si>
  <si>
    <t>31975103</t>
  </si>
  <si>
    <t>991001552909702656</t>
  </si>
  <si>
    <t>2265325640002656</t>
  </si>
  <si>
    <t>9780801620522</t>
  </si>
  <si>
    <t>30001003474873</t>
  </si>
  <si>
    <t>893369475</t>
  </si>
  <si>
    <t>WA 105 K18m 1995</t>
  </si>
  <si>
    <t>0                      WA 0105000K  18m         1995</t>
  </si>
  <si>
    <t>Man and microbes : diseases and plagues in history and modern times / by Arno Karlen.</t>
  </si>
  <si>
    <t>Karlen, Arno.</t>
  </si>
  <si>
    <t>New York : Putnam, c1995.</t>
  </si>
  <si>
    <t>1995-05-09</t>
  </si>
  <si>
    <t>32974138:eng</t>
  </si>
  <si>
    <t>31172888</t>
  </si>
  <si>
    <t>991001400119702656</t>
  </si>
  <si>
    <t>2257202640002656</t>
  </si>
  <si>
    <t>9780874777598</t>
  </si>
  <si>
    <t>30001003147677</t>
  </si>
  <si>
    <t>893455746</t>
  </si>
  <si>
    <t>WA 105 P957 1994</t>
  </si>
  <si>
    <t>0                      WA 0105000P  957         1994</t>
  </si>
  <si>
    <t>Principles and practice of public health surveillance / edited by Steven M. Teutsch, R. Elliott Churchill.</t>
  </si>
  <si>
    <t>New York : Oxford University Press, c1994.</t>
  </si>
  <si>
    <t>2003-05-18</t>
  </si>
  <si>
    <t>1994-11-01</t>
  </si>
  <si>
    <t>356491382:eng</t>
  </si>
  <si>
    <t>27849988</t>
  </si>
  <si>
    <t>991000485939702656</t>
  </si>
  <si>
    <t>2270439930002656</t>
  </si>
  <si>
    <t>9780195080216</t>
  </si>
  <si>
    <t>30001002697599</t>
  </si>
  <si>
    <t>893822252</t>
  </si>
  <si>
    <t>WA 105 R854 1982 v.1</t>
  </si>
  <si>
    <t>0                      WA 0105000R  854         1982                                        v.1</t>
  </si>
  <si>
    <t>The medical detectives / Berton Roueché.</t>
  </si>
  <si>
    <t>V.1</t>
  </si>
  <si>
    <t>Roueché, Berton, 1911-1994.</t>
  </si>
  <si>
    <t>New York : Washington Square Press, Pocket Books, 1982, c1980.</t>
  </si>
  <si>
    <t>1982</t>
  </si>
  <si>
    <t>2003-05-24</t>
  </si>
  <si>
    <t>196611814:eng</t>
  </si>
  <si>
    <t>11955719</t>
  </si>
  <si>
    <t>991000754079702656</t>
  </si>
  <si>
    <t>2260147160002656</t>
  </si>
  <si>
    <t>30001000052011</t>
  </si>
  <si>
    <t>893454832</t>
  </si>
  <si>
    <t>WA 108 C641 1994</t>
  </si>
  <si>
    <t>0                      WA 0108000C  641         1994</t>
  </si>
  <si>
    <t>Clinician's handbook of preventive services : put prevention into family practice / American Academy of Pediatrics.</t>
  </si>
  <si>
    <t>Elk Grove Village, IL : American Academy of Pediatrics, [1994]</t>
  </si>
  <si>
    <t>ilu</t>
  </si>
  <si>
    <t>ANA pub. no. CH-32 6M</t>
  </si>
  <si>
    <t>2000-06-15</t>
  </si>
  <si>
    <t>55856350:eng</t>
  </si>
  <si>
    <t>31213376</t>
  </si>
  <si>
    <t>991000252889702656</t>
  </si>
  <si>
    <t>2260415510002656</t>
  </si>
  <si>
    <t>9780910761666</t>
  </si>
  <si>
    <t>30001003205350</t>
  </si>
  <si>
    <t>893633566</t>
  </si>
  <si>
    <t>WA108 C641 2004</t>
  </si>
  <si>
    <t>0                      WA 0108000C  641         2004</t>
  </si>
  <si>
    <t>Clinical preventive medicine / [edited by] Richard S. Lang, Donald D. Hensrud.</t>
  </si>
  <si>
    <t>Chicago : American Medical Association, c2004.</t>
  </si>
  <si>
    <t>2004-09-30</t>
  </si>
  <si>
    <t>1143752011:eng</t>
  </si>
  <si>
    <t>54356558</t>
  </si>
  <si>
    <t>991000393379702656</t>
  </si>
  <si>
    <t>2272127300002656</t>
  </si>
  <si>
    <t>9781579474171</t>
  </si>
  <si>
    <t>30001004923076</t>
  </si>
  <si>
    <t>893547795</t>
  </si>
  <si>
    <t>WA 108 C678h 1988</t>
  </si>
  <si>
    <t>0                      WA 0108000C  678h        1988</t>
  </si>
  <si>
    <t>Health, prevention, and economics / David R. Cohen and John B. Henderson.</t>
  </si>
  <si>
    <t>Cohen, David, 1951-</t>
  </si>
  <si>
    <t>Oxford ; New York : Oxford University Press, 1991 c1988.</t>
  </si>
  <si>
    <t>1998-10-15</t>
  </si>
  <si>
    <t>1993-12-15</t>
  </si>
  <si>
    <t>27105978:eng</t>
  </si>
  <si>
    <t>18072132</t>
  </si>
  <si>
    <t>991000647419702656</t>
  </si>
  <si>
    <t>2267390620002656</t>
  </si>
  <si>
    <t>9780192617781</t>
  </si>
  <si>
    <t>30001002690552</t>
  </si>
  <si>
    <t>893739838</t>
  </si>
  <si>
    <t>WA 108 H2365 2004</t>
  </si>
  <si>
    <t>0                      WA 0108000H  2365        2004</t>
  </si>
  <si>
    <t>Handbook of preventive interventions for children and adolescents / Lisa A. Rapp-Paglicci, Catherine N. Dulmus, John S. Wodarski.</t>
  </si>
  <si>
    <t>Hoboken, NJ : John Wiley, 2004.</t>
  </si>
  <si>
    <t>2010-09-13</t>
  </si>
  <si>
    <t>351258724:eng</t>
  </si>
  <si>
    <t>52706275</t>
  </si>
  <si>
    <t>991000396329702656</t>
  </si>
  <si>
    <t>2272129470002656</t>
  </si>
  <si>
    <t>9780471274339</t>
  </si>
  <si>
    <t>30001004978880</t>
  </si>
  <si>
    <t>893365398</t>
  </si>
  <si>
    <t>WA 108 H434 1990</t>
  </si>
  <si>
    <t>0                      WA 0108000H  434         1990</t>
  </si>
  <si>
    <t>Health enhancement, disease prevention, and early intervention : biobehavioral perspectives / Kenneth D. Craig, Stephen M. Weiss, editors.</t>
  </si>
  <si>
    <t>New York : Springer Pub. Co., c1990.</t>
  </si>
  <si>
    <t>1998-03-14</t>
  </si>
  <si>
    <t>1991-03-01</t>
  </si>
  <si>
    <t>365868028:eng</t>
  </si>
  <si>
    <t>19814864</t>
  </si>
  <si>
    <t>991000814979702656</t>
  </si>
  <si>
    <t>2272489310002656</t>
  </si>
  <si>
    <t>9780826161604</t>
  </si>
  <si>
    <t>30001002085845</t>
  </si>
  <si>
    <t>893825903</t>
  </si>
  <si>
    <t>WA 108 P94224 1992</t>
  </si>
  <si>
    <t>0                      WA 0108000P  94224       1992</t>
  </si>
  <si>
    <t>Prevention practice : strategies for physical therapy and occupational therapy / [edited by] Jeffrey Rothman, Ruth Levine.</t>
  </si>
  <si>
    <t>Philadelphia : Saunders, c1992.</t>
  </si>
  <si>
    <t>2005-08-29</t>
  </si>
  <si>
    <t>1993-05-04</t>
  </si>
  <si>
    <t>836884626:eng</t>
  </si>
  <si>
    <t>24064993</t>
  </si>
  <si>
    <t>991001508099702656</t>
  </si>
  <si>
    <t>2264184050002656</t>
  </si>
  <si>
    <t>9780721632612</t>
  </si>
  <si>
    <t>30001002600056</t>
  </si>
  <si>
    <t>893274225</t>
  </si>
  <si>
    <t>WA 108 P944 1992</t>
  </si>
  <si>
    <t>0                      WA 0108000P  944         1992</t>
  </si>
  <si>
    <t>Prevention '91/'92 : federal programs and progress / U.S. Department of Health and Human Services, Public Health Service, Office of Disease Prevention and Health Promotion.</t>
  </si>
  <si>
    <t>Washington, D.C.. : The Dept. : U.S.G.P.O., 1992.</t>
  </si>
  <si>
    <t>1994-11-27</t>
  </si>
  <si>
    <t>1992-12-23</t>
  </si>
  <si>
    <t>29649918:eng</t>
  </si>
  <si>
    <t>27166251</t>
  </si>
  <si>
    <t>991001352199702656</t>
  </si>
  <si>
    <t>2265318750002656</t>
  </si>
  <si>
    <t>30001002459834</t>
  </si>
  <si>
    <t>893552397</t>
  </si>
  <si>
    <t>WA 108 P993 1988</t>
  </si>
  <si>
    <t>0                      WA 0108000P  993         1988</t>
  </si>
  <si>
    <t>Putting prevention into practice : problem solving in clinical prevention / edited by Richard K. Riegelman, Gail J. Povar.</t>
  </si>
  <si>
    <t>Boston : Little, Brown, c1988.</t>
  </si>
  <si>
    <t>1994-03-18</t>
  </si>
  <si>
    <t>1988-06-02</t>
  </si>
  <si>
    <t>890190707:eng</t>
  </si>
  <si>
    <t>17696066</t>
  </si>
  <si>
    <t>991001192989702656</t>
  </si>
  <si>
    <t>2262518490002656</t>
  </si>
  <si>
    <t>9780316745192</t>
  </si>
  <si>
    <t>30001000979759</t>
  </si>
  <si>
    <t>893161755</t>
  </si>
  <si>
    <t>WA 108 T337h 1988</t>
  </si>
  <si>
    <t>0                      WA 0108000T  337h        1988</t>
  </si>
  <si>
    <t>Hidden arguments : political ideology and disease prevention policy / Sylvia Noble Tesh.</t>
  </si>
  <si>
    <t>Tesh, Sylvia Noble, 1937-</t>
  </si>
  <si>
    <t>New Brunswick, N.J. : Rutgers University Press, c1988.</t>
  </si>
  <si>
    <t>1991-03-18</t>
  </si>
  <si>
    <t>1988-07-20</t>
  </si>
  <si>
    <t>354602154:eng</t>
  </si>
  <si>
    <t>15628354</t>
  </si>
  <si>
    <t>991001418779702656</t>
  </si>
  <si>
    <t>2270536390002656</t>
  </si>
  <si>
    <t>9780813512693</t>
  </si>
  <si>
    <t>30001001181611</t>
  </si>
  <si>
    <t>893374538</t>
  </si>
  <si>
    <t>WA 108 U845g 1996</t>
  </si>
  <si>
    <t>0                      WA 0108000U  845g        1996</t>
  </si>
  <si>
    <t>Guide to clinical preventive services : report of the U.S. Preventive Services Task Force.</t>
  </si>
  <si>
    <t>U.S. Preventive Services Task Force.</t>
  </si>
  <si>
    <t>Alexandria, Va. : International Medical Pub., 1996.</t>
  </si>
  <si>
    <t>vau</t>
  </si>
  <si>
    <t>9206974863:eng</t>
  </si>
  <si>
    <t>34774243</t>
  </si>
  <si>
    <t>991000261779702656</t>
  </si>
  <si>
    <t>2260089000002656</t>
  </si>
  <si>
    <t>9781883205133</t>
  </si>
  <si>
    <t>30001003561927</t>
  </si>
  <si>
    <t>893811286</t>
  </si>
  <si>
    <t>WA 108 U84g 1996</t>
  </si>
  <si>
    <t>0                      WA 0108000U  84g         1996</t>
  </si>
  <si>
    <t>Baltimore : Williams &amp; Wilkins, c1996.</t>
  </si>
  <si>
    <t>mdu</t>
  </si>
  <si>
    <t>1999-01-22</t>
  </si>
  <si>
    <t>1996-09-10</t>
  </si>
  <si>
    <t>32821331</t>
  </si>
  <si>
    <t>991001551229702656</t>
  </si>
  <si>
    <t>2263358190002656</t>
  </si>
  <si>
    <t>9780683085082</t>
  </si>
  <si>
    <t>30001003441716</t>
  </si>
  <si>
    <t>893369474</t>
  </si>
  <si>
    <t>WA 110 C851p 1991</t>
  </si>
  <si>
    <t>0                      WA 0110000C  851p        1991</t>
  </si>
  <si>
    <t>Practical infection control in dentistry / [edited by] James A. Cottone, Geza T. Terezhalmy, John A. Molinari.</t>
  </si>
  <si>
    <t>Philadelphia : Lea &amp; Febiger, c1991.</t>
  </si>
  <si>
    <t>1999-08-09</t>
  </si>
  <si>
    <t>1993-12-08</t>
  </si>
  <si>
    <t>365219440:eng</t>
  </si>
  <si>
    <t>21162954</t>
  </si>
  <si>
    <t>991000551489702656</t>
  </si>
  <si>
    <t>2258489470002656</t>
  </si>
  <si>
    <t>9780812113266</t>
  </si>
  <si>
    <t>30001002671420</t>
  </si>
  <si>
    <t>893276890</t>
  </si>
  <si>
    <t>WA 110 E5356 2007</t>
  </si>
  <si>
    <t>0                      WA 0110000E  5356        2007</t>
  </si>
  <si>
    <t>Emerging infectious diseases : trends and issues / edited by Felissa R. Lashley and Jerry D. Durham.</t>
  </si>
  <si>
    <t>New York : Springer Pub. Co., c2007.</t>
  </si>
  <si>
    <t>2007-08-01</t>
  </si>
  <si>
    <t>1077482848:eng</t>
  </si>
  <si>
    <t>77476593</t>
  </si>
  <si>
    <t>991000639129702656</t>
  </si>
  <si>
    <t>2262253690002656</t>
  </si>
  <si>
    <t>9780826102508</t>
  </si>
  <si>
    <t>30001005218013</t>
  </si>
  <si>
    <t>893651402</t>
  </si>
  <si>
    <t>WA 110 H177b 1993</t>
  </si>
  <si>
    <t>0                      WA 0110000H  177b        1993</t>
  </si>
  <si>
    <t>Bloodborne pathogens / National Safety Council.</t>
  </si>
  <si>
    <t>Hall, Karen, 1963-</t>
  </si>
  <si>
    <t>Boston, MA : Jones and Bartlett : Distributed by National Safety Council, c1993.</t>
  </si>
  <si>
    <t>1997-09-13</t>
  </si>
  <si>
    <t>1993-08-23</t>
  </si>
  <si>
    <t>14283581:eng</t>
  </si>
  <si>
    <t>26587789</t>
  </si>
  <si>
    <t>991001547169702656</t>
  </si>
  <si>
    <t>2262985650002656</t>
  </si>
  <si>
    <t>9780867207712</t>
  </si>
  <si>
    <t>30001002643668</t>
  </si>
  <si>
    <t>893826855</t>
  </si>
  <si>
    <t>WA 110 H4345 1996</t>
  </si>
  <si>
    <t>0                      WA 0110000H  4345        1996</t>
  </si>
  <si>
    <t>Health promotion and disease prevention in clinical practice / editors, Steven H. Woolf, Steven Jonas, Robert S. Lawrence.</t>
  </si>
  <si>
    <t>2006-11-10</t>
  </si>
  <si>
    <t>1077214744:eng</t>
  </si>
  <si>
    <t>32052880</t>
  </si>
  <si>
    <t>991001551299702656</t>
  </si>
  <si>
    <t>2267050200002656</t>
  </si>
  <si>
    <t>9780683092707</t>
  </si>
  <si>
    <t>30001003441724</t>
  </si>
  <si>
    <t>893364253</t>
  </si>
  <si>
    <t>WA 110 N277i 1970</t>
  </si>
  <si>
    <t>0                      WA 0110000N  277i        1970</t>
  </si>
  <si>
    <t>Isolation techniques for use in hospitals / National Communication Center.</t>
  </si>
  <si>
    <t>National Communicable Disease Center (U.S.)</t>
  </si>
  <si>
    <t>1970</t>
  </si>
  <si>
    <t>gau</t>
  </si>
  <si>
    <t>Public Health Service publication no. 2054</t>
  </si>
  <si>
    <t>1999-03-03</t>
  </si>
  <si>
    <t>1988-01-05</t>
  </si>
  <si>
    <t>1154374593:eng</t>
  </si>
  <si>
    <t>2316855</t>
  </si>
  <si>
    <t>991000719309702656</t>
  </si>
  <si>
    <t>2262347330002656</t>
  </si>
  <si>
    <t>30001000705824</t>
  </si>
  <si>
    <t>893631934</t>
  </si>
  <si>
    <t>WA110 N736c 2000</t>
  </si>
  <si>
    <t>0                      WA 0110000N  736c        2000</t>
  </si>
  <si>
    <t>Communicable diseases and infection control for EMS / Robert G. Nixon.</t>
  </si>
  <si>
    <t>Nixon, Robert G.</t>
  </si>
  <si>
    <t>Upper Saddle River, N.J. : Brady/Prentice Hall, 2000.</t>
  </si>
  <si>
    <t>2006-03-31</t>
  </si>
  <si>
    <t>2002-07-10</t>
  </si>
  <si>
    <t>870054:eng</t>
  </si>
  <si>
    <t>42290532</t>
  </si>
  <si>
    <t>991000324739702656</t>
  </si>
  <si>
    <t>2259363300002656</t>
  </si>
  <si>
    <t>9780130843845</t>
  </si>
  <si>
    <t>30001004442762</t>
  </si>
  <si>
    <t>893629098</t>
  </si>
  <si>
    <t>WA 110 P831 2006</t>
  </si>
  <si>
    <t>0                      WA 0110000P  831         2006</t>
  </si>
  <si>
    <t>Population dynamics and infectious diseases in Asia / editors, Adrian C. Sleigh ... [et al.].</t>
  </si>
  <si>
    <t>Singapore ; Hackensack, N.J. : World Scientific, c2006.</t>
  </si>
  <si>
    <t xml:space="preserve">si </t>
  </si>
  <si>
    <t>2010-04-07</t>
  </si>
  <si>
    <t>2008-01-10</t>
  </si>
  <si>
    <t>998378367:eng</t>
  </si>
  <si>
    <t>123215857</t>
  </si>
  <si>
    <t>991000670009702656</t>
  </si>
  <si>
    <t>2271476800002656</t>
  </si>
  <si>
    <t>9789812568335</t>
  </si>
  <si>
    <t>30001005242021</t>
  </si>
  <si>
    <t>893735332</t>
  </si>
  <si>
    <t>WA 110 T779 2004</t>
  </si>
  <si>
    <t>0                      WA 0110000T  779         2004</t>
  </si>
  <si>
    <t>Travel medicine / Jay S. Keystone ... [et al.].</t>
  </si>
  <si>
    <t>St. Louis, Mo. ; London : Mosby, 2003.</t>
  </si>
  <si>
    <t>mou</t>
  </si>
  <si>
    <t>2008-02-11</t>
  </si>
  <si>
    <t>2005-02-18</t>
  </si>
  <si>
    <t>1017360483:eng</t>
  </si>
  <si>
    <t>82535910</t>
  </si>
  <si>
    <t>991000428999702656</t>
  </si>
  <si>
    <t>2260032300002656</t>
  </si>
  <si>
    <t>9780323025218</t>
  </si>
  <si>
    <t>30001004927796</t>
  </si>
  <si>
    <t>893461480</t>
  </si>
  <si>
    <t>WA240 T7558 2006</t>
  </si>
  <si>
    <t>0                      WA 0240000T  7558        2006</t>
  </si>
  <si>
    <t>Toxicology of organophosphate and carbamate compounds / edited by Ramesh C. Gupta.</t>
  </si>
  <si>
    <t>Amsterdam ; Boston : Elsevier Academic Press, c2006.</t>
  </si>
  <si>
    <t>2010-04-11</t>
  </si>
  <si>
    <t>2006-04-25</t>
  </si>
  <si>
    <t>766951005:eng</t>
  </si>
  <si>
    <t>63144922</t>
  </si>
  <si>
    <t>991000477059702656</t>
  </si>
  <si>
    <t>2258152910002656</t>
  </si>
  <si>
    <t>9780120885237</t>
  </si>
  <si>
    <t>30001005126513</t>
  </si>
  <si>
    <t>893811526</t>
  </si>
  <si>
    <t>WA243  S433 2004</t>
  </si>
  <si>
    <t>0                      WA 0243000S  433         2004</t>
  </si>
  <si>
    <t>Screening for diseases : prevention in primary care / Vincenza Snow, editor.</t>
  </si>
  <si>
    <t>Philadelphia : American College of Physicians, c2004.</t>
  </si>
  <si>
    <t>2005-03-14</t>
  </si>
  <si>
    <t>2004-11-22</t>
  </si>
  <si>
    <t>819657709:eng</t>
  </si>
  <si>
    <t>54356678</t>
  </si>
  <si>
    <t>991000414019702656</t>
  </si>
  <si>
    <t>2272171370002656</t>
  </si>
  <si>
    <t>9781930513563</t>
  </si>
  <si>
    <t>30001004925618</t>
  </si>
  <si>
    <t>893109526</t>
  </si>
  <si>
    <t>WA 245 R847ma 1989</t>
  </si>
  <si>
    <t>0                      WA 0245000R  847ma       1989</t>
  </si>
  <si>
    <t>Medical screening and employee health costs / Mark A. Rothstein.</t>
  </si>
  <si>
    <t>Rothstein, Mark A.</t>
  </si>
  <si>
    <t>Washington, D.C. : Bureau of National Affairs, c1989.</t>
  </si>
  <si>
    <t>1989-09-18</t>
  </si>
  <si>
    <t>1989-08-16</t>
  </si>
  <si>
    <t>21185756:eng</t>
  </si>
  <si>
    <t>19455951</t>
  </si>
  <si>
    <t>991001313499702656</t>
  </si>
  <si>
    <t>2256722360002656</t>
  </si>
  <si>
    <t>9780871796288</t>
  </si>
  <si>
    <t>30001001751868</t>
  </si>
  <si>
    <t>893821115</t>
  </si>
  <si>
    <t>WA 250 A512i 1987</t>
  </si>
  <si>
    <t>0                      WA 0250000A  512i        1987</t>
  </si>
  <si>
    <t>Injury control for children and youth / author: Committee on Accident and Poison Prevention, American Academy of Pediatrics ; editor: Matilda S. McIntire.</t>
  </si>
  <si>
    <t>American Academy of Pediatrics. Committee on Accident and Poison Prevention.</t>
  </si>
  <si>
    <t>Elk Grove Village, IL : The Academy, c1987.</t>
  </si>
  <si>
    <t>1993-12-30</t>
  </si>
  <si>
    <t>1987-11-17</t>
  </si>
  <si>
    <t>3856117040:eng</t>
  </si>
  <si>
    <t>18881963</t>
  </si>
  <si>
    <t>991001531959702656</t>
  </si>
  <si>
    <t>2267651180002656</t>
  </si>
  <si>
    <t>9780910761116</t>
  </si>
  <si>
    <t>30001000621773</t>
  </si>
  <si>
    <t>893455907</t>
  </si>
  <si>
    <t>WA 250 N275i 1989</t>
  </si>
  <si>
    <t>0                      WA 0250000N  275i        1989</t>
  </si>
  <si>
    <t>Injury prevention : meeting the challenge / the National Committee for Injury Prevention and Control.</t>
  </si>
  <si>
    <t>National Committee for Injury Prevention and Control (U.S.)</t>
  </si>
  <si>
    <t>New York : Oxford University Press, c1989.</t>
  </si>
  <si>
    <t>1990-03-16</t>
  </si>
  <si>
    <t>133802453:eng</t>
  </si>
  <si>
    <t>19724253</t>
  </si>
  <si>
    <t>991001447499702656</t>
  </si>
  <si>
    <t>2265491580002656</t>
  </si>
  <si>
    <t>9780195062489</t>
  </si>
  <si>
    <t>30001001881137</t>
  </si>
  <si>
    <t>893455822</t>
  </si>
  <si>
    <t>WA 288 H993a 1996</t>
  </si>
  <si>
    <t>0                      WA 0288000H  993a        1996</t>
  </si>
  <si>
    <t>Accidental falls : their causes and their injuries : fundamentals of slipping, tripping, stumbling, tumbling and crumpling / by Alvin S. Hyde ; with ill. by Caitlin B. Hyde.</t>
  </si>
  <si>
    <t>Hyde, A. S.</t>
  </si>
  <si>
    <t>Key Biscayne, FL : HAI, c1996.</t>
  </si>
  <si>
    <t>2000-09-05</t>
  </si>
  <si>
    <t>1997-03-24</t>
  </si>
  <si>
    <t>1124483701:eng</t>
  </si>
  <si>
    <t>36318121</t>
  </si>
  <si>
    <t>991000838409702656</t>
  </si>
  <si>
    <t>2272191960002656</t>
  </si>
  <si>
    <t>9780963705716</t>
  </si>
  <si>
    <t>30001003442672</t>
  </si>
  <si>
    <t>893632320</t>
  </si>
  <si>
    <t>WA288 R321 2005</t>
  </si>
  <si>
    <t>0                      WA 0288000R  321         2005</t>
  </si>
  <si>
    <t>Reducing the risk of falls in your health care organization / Joint Commission Resources ; [editor, Ilese J. Smith].</t>
  </si>
  <si>
    <t>Oakbrook Terrace, IL : Joint Commission Resources, c2005.</t>
  </si>
  <si>
    <t>2008-11-05</t>
  </si>
  <si>
    <t>2005-11-16</t>
  </si>
  <si>
    <t>46208958:eng</t>
  </si>
  <si>
    <t>61658993</t>
  </si>
  <si>
    <t>991000449359702656</t>
  </si>
  <si>
    <t>2272304430002656</t>
  </si>
  <si>
    <t>9780866889421</t>
  </si>
  <si>
    <t>30001004914570</t>
  </si>
  <si>
    <t>893644439</t>
  </si>
  <si>
    <t>WA 292 A512 1992</t>
  </si>
  <si>
    <t>0                      WA 0292000A  512         1992</t>
  </si>
  <si>
    <t>The American Red Cross first aid and safety handbook / [prepared by] the American Red Cross and Kathleen A. Handal.</t>
  </si>
  <si>
    <t>Boston : Little, Brown, c1992.</t>
  </si>
  <si>
    <t>2006-09-18</t>
  </si>
  <si>
    <t>1992-05-06</t>
  </si>
  <si>
    <t>376035400:eng</t>
  </si>
  <si>
    <t>24143982</t>
  </si>
  <si>
    <t>991001301029702656</t>
  </si>
  <si>
    <t>2266386740002656</t>
  </si>
  <si>
    <t>9780316736459</t>
  </si>
  <si>
    <t>30001002411744</t>
  </si>
  <si>
    <t>893557810</t>
  </si>
  <si>
    <t>WA 292 A512c 1987</t>
  </si>
  <si>
    <t>0                      WA 0292000A  512c        1987</t>
  </si>
  <si>
    <t>CPR / American Red Cross.</t>
  </si>
  <si>
    <t>American Red Cross.</t>
  </si>
  <si>
    <t>[Washington, D.C.?] : American Red Cross, [c1987]</t>
  </si>
  <si>
    <t>2002-06-13</t>
  </si>
  <si>
    <t>1990-10-31</t>
  </si>
  <si>
    <t>917520952:eng</t>
  </si>
  <si>
    <t>16960227</t>
  </si>
  <si>
    <t>991000773059702656</t>
  </si>
  <si>
    <t>2266294130002656</t>
  </si>
  <si>
    <t>9780865360754</t>
  </si>
  <si>
    <t>30001002062570</t>
  </si>
  <si>
    <t>893454843</t>
  </si>
  <si>
    <t>WA 292 B311 1990</t>
  </si>
  <si>
    <t>0                      WA 0292000B  311         1990</t>
  </si>
  <si>
    <t>Basic emergency care of the sick and injured / [edited by] Guy S. Parcel, Charles E. Rinear.</t>
  </si>
  <si>
    <t>St. Louis : Times Mirror/Mosby College Pub., c1990.</t>
  </si>
  <si>
    <t>1997-11-29</t>
  </si>
  <si>
    <t>1990-06-28</t>
  </si>
  <si>
    <t>365269241:eng</t>
  </si>
  <si>
    <t>20353559</t>
  </si>
  <si>
    <t>991001450209702656</t>
  </si>
  <si>
    <t>2264575250002656</t>
  </si>
  <si>
    <t>9780801642678</t>
  </si>
  <si>
    <t>30001001882689</t>
  </si>
  <si>
    <t>893274189</t>
  </si>
  <si>
    <t>WA 292 C882 1993</t>
  </si>
  <si>
    <t>0                      WA 0292000C  882         1993</t>
  </si>
  <si>
    <t>CPR for the professional rescuer / American Red Cross.</t>
  </si>
  <si>
    <t>St. Louis : Mosby Lifeline, c1993.</t>
  </si>
  <si>
    <t>2010-11-18</t>
  </si>
  <si>
    <t>1998-09-29</t>
  </si>
  <si>
    <t>3857345620:eng</t>
  </si>
  <si>
    <t>27070269</t>
  </si>
  <si>
    <t>991000666899702656</t>
  </si>
  <si>
    <t>2264625750002656</t>
  </si>
  <si>
    <t>9780801670671</t>
  </si>
  <si>
    <t>30001004030682</t>
  </si>
  <si>
    <t>893815124</t>
  </si>
  <si>
    <t>WA292 F5266 2001</t>
  </si>
  <si>
    <t>0                      WA 0292000F  5266        2001</t>
  </si>
  <si>
    <t>First aid and CPR / Alton Thygerson.</t>
  </si>
  <si>
    <t>Thygerson, Alton L.</t>
  </si>
  <si>
    <t>Sudbury, Mass. : Jones and Bartlett, c2001.</t>
  </si>
  <si>
    <t>4th ed., [advanced].</t>
  </si>
  <si>
    <t>2010-02-19</t>
  </si>
  <si>
    <t>4917213869:eng</t>
  </si>
  <si>
    <t>47283361</t>
  </si>
  <si>
    <t>991000435579702656</t>
  </si>
  <si>
    <t>2264769960002656</t>
  </si>
  <si>
    <t>9780763717728</t>
  </si>
  <si>
    <t>30001004929115</t>
  </si>
  <si>
    <t>893822142</t>
  </si>
  <si>
    <t>WA 292 F527 1995</t>
  </si>
  <si>
    <t>0                      WA 0292000F  527         1995</t>
  </si>
  <si>
    <t>First aid fast / American Red Cross.</t>
  </si>
  <si>
    <t>St. Louis, MO : Mosby Lifeline, c1995.</t>
  </si>
  <si>
    <t>1998-11-05</t>
  </si>
  <si>
    <t>3857875943:eng</t>
  </si>
  <si>
    <t>33059990</t>
  </si>
  <si>
    <t>991000666799702656</t>
  </si>
  <si>
    <t>2265705120002656</t>
  </si>
  <si>
    <t>9780815102588</t>
  </si>
  <si>
    <t>30001004030666</t>
  </si>
  <si>
    <t>893545478</t>
  </si>
  <si>
    <t>WA 292 P2218 1997</t>
  </si>
  <si>
    <t>0                      WA 0292000P  2218        1997</t>
  </si>
  <si>
    <t>Paramedic field care : a complaint-based approach / chief editors, Peter T. Pons, Debra Cason.</t>
  </si>
  <si>
    <t>St. Louis : Mosby Lifeline, c1997.</t>
  </si>
  <si>
    <t>2003-11-22</t>
  </si>
  <si>
    <t>1997-12-15</t>
  </si>
  <si>
    <t>41110392:eng</t>
  </si>
  <si>
    <t>36923358</t>
  </si>
  <si>
    <t>991001269469702656</t>
  </si>
  <si>
    <t>2271826630002656</t>
  </si>
  <si>
    <t>9780801663611</t>
  </si>
  <si>
    <t>30001003694454</t>
  </si>
  <si>
    <t>893278919</t>
  </si>
  <si>
    <t>WA 292 T549t 1988</t>
  </si>
  <si>
    <t>0                      WA 0292000T  549t        1988</t>
  </si>
  <si>
    <t>Teaching first aid resource book / Alton L. Thygerson.</t>
  </si>
  <si>
    <t>Boston : Jones and Bartlett, c1988.</t>
  </si>
  <si>
    <t>1989-06-14</t>
  </si>
  <si>
    <t>1988-08-24</t>
  </si>
  <si>
    <t>17542705:eng</t>
  </si>
  <si>
    <t>18321172</t>
  </si>
  <si>
    <t>991001414599702656</t>
  </si>
  <si>
    <t>2256890600002656</t>
  </si>
  <si>
    <t>9780867200966</t>
  </si>
  <si>
    <t>30001001180019</t>
  </si>
  <si>
    <t>893358560</t>
  </si>
  <si>
    <t>WA295 D611 2006</t>
  </si>
  <si>
    <t>0                      WA 0295000D  611         2006</t>
  </si>
  <si>
    <t>Disaster medicine / [editor-in-chief] Gregory R. Ciottone ; associate editors, Philip D. Anderson ... [et al.].</t>
  </si>
  <si>
    <t>Philadelphia, PA : Mosby Elsevier, c2006.</t>
  </si>
  <si>
    <t>2010-11-02</t>
  </si>
  <si>
    <t>1017347790:eng</t>
  </si>
  <si>
    <t>59003652</t>
  </si>
  <si>
    <t>991000532779702656</t>
  </si>
  <si>
    <t>2255492980002656</t>
  </si>
  <si>
    <t>9780323032537</t>
  </si>
  <si>
    <t>30001005170073</t>
  </si>
  <si>
    <t>893462978</t>
  </si>
  <si>
    <t>WA 295 D612 2008</t>
  </si>
  <si>
    <t>0                      WA 0295000D  612         2008</t>
  </si>
  <si>
    <t>Dispensing medical countermeasures for public health emergencies : workshop summary / Miriam Davis, Marnina S. Kammersall, and Bruce M. Altevogt, rapporteurs ; Forum on Medical and Public Health Preparedness for Catastrophic Events, Board on Health Sciences Policy, Institute of Medicine of the National Academies.</t>
  </si>
  <si>
    <t>Washington, D.C. : National Academies Press, c2008.</t>
  </si>
  <si>
    <t>2008</t>
  </si>
  <si>
    <t>2009-06-29</t>
  </si>
  <si>
    <t>799837700:eng</t>
  </si>
  <si>
    <t>252583833</t>
  </si>
  <si>
    <t>991001474399702656</t>
  </si>
  <si>
    <t>2261341930002656</t>
  </si>
  <si>
    <t>9780309120968</t>
  </si>
  <si>
    <t>30001004917946</t>
  </si>
  <si>
    <t>893741152</t>
  </si>
  <si>
    <t>WA 295 E54 2002</t>
  </si>
  <si>
    <t>0                      WA 0295000E  54          2002</t>
  </si>
  <si>
    <t>Emergency preparedness : bioterrorism and beyond / Elaine R. Rubin, Marian Osterweis, Lisa M. Lindeman, editors.</t>
  </si>
  <si>
    <t>Washington, DC : Association of Academic Health Centers, c2002.</t>
  </si>
  <si>
    <t>2007-11-26</t>
  </si>
  <si>
    <t>6266859:eng</t>
  </si>
  <si>
    <t>50072549</t>
  </si>
  <si>
    <t>991000663379702656</t>
  </si>
  <si>
    <t>2270796000002656</t>
  </si>
  <si>
    <t>9781879694224</t>
  </si>
  <si>
    <t>30001005272960</t>
  </si>
  <si>
    <t>893357276</t>
  </si>
  <si>
    <t>WA295 M489 2005</t>
  </si>
  <si>
    <t>0                      WA 0295000M  489         2005</t>
  </si>
  <si>
    <t>Medical response to terrorism : preparedness and clinical practice / editor-in-chief, Daniel C. Keyes ; editors, Jonathan L. Burstein, Richard B. Schwartz, Raymond E. Swienton.</t>
  </si>
  <si>
    <t>Philadelphia : Lippincott Williams &amp; Wilkins, c2005.</t>
  </si>
  <si>
    <t>364640599:eng</t>
  </si>
  <si>
    <t>56404903</t>
  </si>
  <si>
    <t>991000532809702656</t>
  </si>
  <si>
    <t>2270503440002656</t>
  </si>
  <si>
    <t>9780781749862</t>
  </si>
  <si>
    <t>30001005170131</t>
  </si>
  <si>
    <t>893829236</t>
  </si>
  <si>
    <t>WA300 A1694 2004</t>
  </si>
  <si>
    <t>0                      WA 0300000A  1694        2004</t>
  </si>
  <si>
    <t>Accessing health care : responding to diversity / edited by Judith Healy and Martin McKee.</t>
  </si>
  <si>
    <t>Oxford : Oxford University Press, 2004.</t>
  </si>
  <si>
    <t>2006-04-10</t>
  </si>
  <si>
    <t>364777275:eng</t>
  </si>
  <si>
    <t>55037645</t>
  </si>
  <si>
    <t>991000473729702656</t>
  </si>
  <si>
    <t>2272638860002656</t>
  </si>
  <si>
    <t>9780198516187</t>
  </si>
  <si>
    <t>30001004914349</t>
  </si>
  <si>
    <t>893447369</t>
  </si>
  <si>
    <t>WA 300 A221a 1993</t>
  </si>
  <si>
    <t>0                      WA 0300000A  221a        1993</t>
  </si>
  <si>
    <t>At risk in America : the health and health care needs of vulnerable populations in the United States / Lu Ann Aday.</t>
  </si>
  <si>
    <t>Aday, Lu Ann.</t>
  </si>
  <si>
    <t>San Francisco : Jossey-Bass Publishers, c1993.</t>
  </si>
  <si>
    <t>The Jossey-Bass health series.</t>
  </si>
  <si>
    <t>2002-06-17</t>
  </si>
  <si>
    <t>1993-03-11</t>
  </si>
  <si>
    <t>797139010:eng</t>
  </si>
  <si>
    <t>26766739</t>
  </si>
  <si>
    <t>991001479459702656</t>
  </si>
  <si>
    <t>2269055630002656</t>
  </si>
  <si>
    <t>9781555425036</t>
  </si>
  <si>
    <t>30001002566349</t>
  </si>
  <si>
    <t>893467988</t>
  </si>
  <si>
    <t>WA 300 A376n 1994</t>
  </si>
  <si>
    <t>0                      WA 0300000A  376n        1994</t>
  </si>
  <si>
    <t>New dimensions in women's health / Linda Lewis Alexander, Judith H. LaRosa.</t>
  </si>
  <si>
    <t>Alexander, Linda Lewis.</t>
  </si>
  <si>
    <t>Boston : Jones and Bartlett Publishers, c1994.</t>
  </si>
  <si>
    <t>The Jones &amp; Barlett series in health sciences.</t>
  </si>
  <si>
    <t>1994-05-12</t>
  </si>
  <si>
    <t>1994-05-05</t>
  </si>
  <si>
    <t>31867453:eng</t>
  </si>
  <si>
    <t>29668482</t>
  </si>
  <si>
    <t>991001196409702656</t>
  </si>
  <si>
    <t>2271089100002656</t>
  </si>
  <si>
    <t>9780867207774</t>
  </si>
  <si>
    <t>30001002984674</t>
  </si>
  <si>
    <t>893465266</t>
  </si>
  <si>
    <t>WA300 A598 1999</t>
  </si>
  <si>
    <t>0                      WA 0300000A  598         1999</t>
  </si>
  <si>
    <t>Animal handlers / Ricky Lee Langley, guest editor.</t>
  </si>
  <si>
    <t>Philadelphia : Hanley &amp; Belfus, Inc., c1999.</t>
  </si>
  <si>
    <t>Occupational medicine, state of the art reviews, 0885-114x ; v. 14, no. 2</t>
  </si>
  <si>
    <t>2004-03-02</t>
  </si>
  <si>
    <t>2004-02-29</t>
  </si>
  <si>
    <t>27390389:eng</t>
  </si>
  <si>
    <t>41383760</t>
  </si>
  <si>
    <t>991000367169702656</t>
  </si>
  <si>
    <t>2258567510002656</t>
  </si>
  <si>
    <t>9781560532866</t>
  </si>
  <si>
    <t>30001004509651</t>
  </si>
  <si>
    <t>893817042</t>
  </si>
  <si>
    <t>WA300 A8317 2003</t>
  </si>
  <si>
    <t>0                      WA 0300000A  8317        2003</t>
  </si>
  <si>
    <t>Asian Americans : vulnerable populations, model interventions, and clarifying agendas / edited by Lin Zhan.</t>
  </si>
  <si>
    <t>Sudbury, Mass. : Jones and Bartlett Publishers, c2003.</t>
  </si>
  <si>
    <t>2004-06-06</t>
  </si>
  <si>
    <t>924800785:eng</t>
  </si>
  <si>
    <t>50291118</t>
  </si>
  <si>
    <t>991000370969702656</t>
  </si>
  <si>
    <t>2270347690002656</t>
  </si>
  <si>
    <t>9780763722418</t>
  </si>
  <si>
    <t>30001004920098</t>
  </si>
  <si>
    <t>893109458</t>
  </si>
  <si>
    <t>WA 300 B938h 1982</t>
  </si>
  <si>
    <t>0                      WA 0300000B  938h        1982</t>
  </si>
  <si>
    <t>Health care for the other Americans / Bonnie Bullough, Vern L. Bullough.</t>
  </si>
  <si>
    <t>Bullough, Bonnie.</t>
  </si>
  <si>
    <t>New York : Appleton-Century-Crofts, c1982.</t>
  </si>
  <si>
    <t>1998-04-03</t>
  </si>
  <si>
    <t>29738524:eng</t>
  </si>
  <si>
    <t>7835389</t>
  </si>
  <si>
    <t>991000754119702656</t>
  </si>
  <si>
    <t>2254956880002656</t>
  </si>
  <si>
    <t>9780838536636</t>
  </si>
  <si>
    <t>30001000052029</t>
  </si>
  <si>
    <t>893120342</t>
  </si>
  <si>
    <t>WA 300 C594h 1959</t>
  </si>
  <si>
    <t>0                      WA 0300000C  594h        1959</t>
  </si>
  <si>
    <t>Health in the Mexican-American culture : a community study / Margaret Clark.</t>
  </si>
  <si>
    <t>Clark, Margaret, 1925-2003.</t>
  </si>
  <si>
    <t>Berkeley : University of California Press, c1959.</t>
  </si>
  <si>
    <t>1959</t>
  </si>
  <si>
    <t>2008-09-11</t>
  </si>
  <si>
    <t>1989-03-29</t>
  </si>
  <si>
    <t>1196565:eng</t>
  </si>
  <si>
    <t>630792</t>
  </si>
  <si>
    <t>991000664349702656</t>
  </si>
  <si>
    <t>2262346950002656</t>
  </si>
  <si>
    <t>30001000689283</t>
  </si>
  <si>
    <t>893272773</t>
  </si>
  <si>
    <t>WA 300 D355 1990</t>
  </si>
  <si>
    <t>0                      WA 0300000D  355         1990</t>
  </si>
  <si>
    <t>Delivering preventive health care to Hispanics : a manual for providers.</t>
  </si>
  <si>
    <t>Washington, D.C. : National Coalition of Hispanic Health and Human Services Organizations, c1990.</t>
  </si>
  <si>
    <t>Field ed.</t>
  </si>
  <si>
    <t>2001-09-23</t>
  </si>
  <si>
    <t>1989-01-03</t>
  </si>
  <si>
    <t>946198171:eng</t>
  </si>
  <si>
    <t>19784736</t>
  </si>
  <si>
    <t>991001106559702656</t>
  </si>
  <si>
    <t>2270852400002656</t>
  </si>
  <si>
    <t>30001001611153</t>
  </si>
  <si>
    <t>893278717</t>
  </si>
  <si>
    <t>WA300 E424 2004</t>
  </si>
  <si>
    <t>0                      WA 0300000E  424         2004</t>
  </si>
  <si>
    <t>Eliminating health disparities : measurement and data needs / Panel on DHHS Collection of Race and Ethnicity Data ; Michele Ver Ploeg and Edward Perrin, editors.</t>
  </si>
  <si>
    <t>Washington, DC : National Academies Press, c2004.</t>
  </si>
  <si>
    <t>2004-09-09</t>
  </si>
  <si>
    <t>896242260:eng</t>
  </si>
  <si>
    <t>55589206</t>
  </si>
  <si>
    <t>991000385999702656</t>
  </si>
  <si>
    <t>2261670980002656</t>
  </si>
  <si>
    <t>9780309092319</t>
  </si>
  <si>
    <t>30001004922581</t>
  </si>
  <si>
    <t>893723418</t>
  </si>
  <si>
    <t>WA300 G233m 1998</t>
  </si>
  <si>
    <t>0                      WA 0300000G  233m        1998</t>
  </si>
  <si>
    <t>Managing diversity : a complete desk reference and planning guide / Lee Gardenswartz and Anita Rowe.</t>
  </si>
  <si>
    <t>Gardenswartz, Lee.</t>
  </si>
  <si>
    <t>New York : McGraw-Hill, c1998.</t>
  </si>
  <si>
    <t>Rev. ed.</t>
  </si>
  <si>
    <t>2008-12-18</t>
  </si>
  <si>
    <t>837035054:eng</t>
  </si>
  <si>
    <t>38120687</t>
  </si>
  <si>
    <t>991000386089702656</t>
  </si>
  <si>
    <t>2265324950002656</t>
  </si>
  <si>
    <t>9780070220041</t>
  </si>
  <si>
    <t>30001004921641</t>
  </si>
  <si>
    <t>893817063</t>
  </si>
  <si>
    <t>WA300 G325 2006</t>
  </si>
  <si>
    <t>0                      WA 0300000G  325         2006</t>
  </si>
  <si>
    <t>Gender, race, class, and health : intersectional approaches / Amy J. Schulz, Leith Mullings, editors.</t>
  </si>
  <si>
    <t>San Francisco, CA : Jossey-Bass, c2006.</t>
  </si>
  <si>
    <t>354495259:eng</t>
  </si>
  <si>
    <t>61859788</t>
  </si>
  <si>
    <t>991000693099702656</t>
  </si>
  <si>
    <t>2270185120002656</t>
  </si>
  <si>
    <t>9780787976637</t>
  </si>
  <si>
    <t>30001005292455</t>
  </si>
  <si>
    <t>893454743</t>
  </si>
  <si>
    <t>WA 300 G876c 1996</t>
  </si>
  <si>
    <t>0                      WA 0300000G  876c        1996</t>
  </si>
  <si>
    <t>Culture and the clinical encounter : an intercultural sensitizer for the health professions / Rena C. Gropper.</t>
  </si>
  <si>
    <t>Gropper, Rena C.</t>
  </si>
  <si>
    <t>Yarmouth, Me., USA : Intercultural Press, c1996.</t>
  </si>
  <si>
    <t>meu</t>
  </si>
  <si>
    <t>2008-01-08</t>
  </si>
  <si>
    <t>1996-03-01</t>
  </si>
  <si>
    <t>797133102:eng</t>
  </si>
  <si>
    <t>34080088</t>
  </si>
  <si>
    <t>991001505069702656</t>
  </si>
  <si>
    <t>2262898340002656</t>
  </si>
  <si>
    <t>9781877864438</t>
  </si>
  <si>
    <t>30001003264001</t>
  </si>
  <si>
    <t>893274224</t>
  </si>
  <si>
    <t>WA 300 H294h 1986</t>
  </si>
  <si>
    <t>0                      WA 0300000H  294h        1986</t>
  </si>
  <si>
    <t>The health of populations : an introduction / Andrew C. Harper.</t>
  </si>
  <si>
    <t>Harper, Andrew C.</t>
  </si>
  <si>
    <t>New York : Springer Pub. Co., c1986.</t>
  </si>
  <si>
    <t>2001-01-11</t>
  </si>
  <si>
    <t>967386:eng</t>
  </si>
  <si>
    <t>14188818</t>
  </si>
  <si>
    <t>991000723839702656</t>
  </si>
  <si>
    <t>2259890980002656</t>
  </si>
  <si>
    <t>9780826155108</t>
  </si>
  <si>
    <t>30001000706327</t>
  </si>
  <si>
    <t>893272917</t>
  </si>
  <si>
    <t>WA 300 H433855 1992</t>
  </si>
  <si>
    <t>0                      WA 0300000H  433855      1992</t>
  </si>
  <si>
    <t>Health issues in the Black community / [edited by] Ronald L. Braithwaite, Sandra E. Taylor.</t>
  </si>
  <si>
    <t>San Francisco : Jossey-Bass, c1992.</t>
  </si>
  <si>
    <t>The Jossey-Bass health series</t>
  </si>
  <si>
    <t>1992-11-04</t>
  </si>
  <si>
    <t>866307290:eng</t>
  </si>
  <si>
    <t>25967214</t>
  </si>
  <si>
    <t>991001346729702656</t>
  </si>
  <si>
    <t>2266524250002656</t>
  </si>
  <si>
    <t>9781555424770</t>
  </si>
  <si>
    <t>30001002457457</t>
  </si>
  <si>
    <t>893149110</t>
  </si>
  <si>
    <t>WA300 H433855 2001</t>
  </si>
  <si>
    <t>0                      WA 0300000H  433855      2001</t>
  </si>
  <si>
    <t>Health issues in the Black community / Ronald L. Braithwaite, Sandra E. Taylor, editors ; foreword by Jesse L. Jackson, Sr.</t>
  </si>
  <si>
    <t>San Francisco : Jossey-Bass, c2001.</t>
  </si>
  <si>
    <t>2008-10-02</t>
  </si>
  <si>
    <t>2004-09-10</t>
  </si>
  <si>
    <t>45500393</t>
  </si>
  <si>
    <t>991000386579702656</t>
  </si>
  <si>
    <t>2272689060002656</t>
  </si>
  <si>
    <t>9780787952365</t>
  </si>
  <si>
    <t>30001004922540</t>
  </si>
  <si>
    <t>893542292</t>
  </si>
  <si>
    <t>WA 300 H434 1990</t>
  </si>
  <si>
    <t>0                      WA 0300000H  434         1990</t>
  </si>
  <si>
    <t>Health care for Asians / edited by Brian R. McAvoy, Liam J. Donaldson.</t>
  </si>
  <si>
    <t>Oxford general practice series ; 18.</t>
  </si>
  <si>
    <t>1991-03-08</t>
  </si>
  <si>
    <t>349961918:eng</t>
  </si>
  <si>
    <t>20320157</t>
  </si>
  <si>
    <t>991000814949702656</t>
  </si>
  <si>
    <t>2262063530002656</t>
  </si>
  <si>
    <t>9780192617330</t>
  </si>
  <si>
    <t>30001002085829</t>
  </si>
  <si>
    <t>893551772</t>
  </si>
  <si>
    <t>WA 300 H434 1991</t>
  </si>
  <si>
    <t>0                      WA 0300000H  434         1991</t>
  </si>
  <si>
    <t>Health promotion in diverse cultural communities / Virginia M. Gonzalez ... [et al.].</t>
  </si>
  <si>
    <t>Palo Alto, CA : Health Promotion Resource Center, Stanford Center for Research in Disease Prevention, c1991.</t>
  </si>
  <si>
    <t>2002-04-02</t>
  </si>
  <si>
    <t>1992-02-24</t>
  </si>
  <si>
    <t>28793929:eng</t>
  </si>
  <si>
    <t>25981722</t>
  </si>
  <si>
    <t>991001033389702656</t>
  </si>
  <si>
    <t>2261206660002656</t>
  </si>
  <si>
    <t>30001002244244</t>
  </si>
  <si>
    <t>893377058</t>
  </si>
  <si>
    <t>WA300 H434 1999</t>
  </si>
  <si>
    <t>0                      WA 0300000H  434         1999</t>
  </si>
  <si>
    <t>Health and the American Indian / Priscilla A. Day, Hilary N. Weaver, editors.</t>
  </si>
  <si>
    <t>New York : Haworth Press, c1999.</t>
  </si>
  <si>
    <t>2009-04-16</t>
  </si>
  <si>
    <t>436067008:eng</t>
  </si>
  <si>
    <t>40856821</t>
  </si>
  <si>
    <t>991000370729702656</t>
  </si>
  <si>
    <t>2267553790002656</t>
  </si>
  <si>
    <t>9780789006585</t>
  </si>
  <si>
    <t>30001004920171</t>
  </si>
  <si>
    <t>893365375</t>
  </si>
  <si>
    <t>WA 300 H673 1996</t>
  </si>
  <si>
    <t>0                      WA 0300000H  673         1996</t>
  </si>
  <si>
    <t>Hispanic voices : Hispanic health educators speak out / edited by Sara Torres.</t>
  </si>
  <si>
    <t>New York : NLN Press, c1996.</t>
  </si>
  <si>
    <t>NLN pub. no. 14-2693</t>
  </si>
  <si>
    <t>898811325:eng</t>
  </si>
  <si>
    <t>33818400</t>
  </si>
  <si>
    <t>991000258669702656</t>
  </si>
  <si>
    <t>2272542070002656</t>
  </si>
  <si>
    <t>9780887376535</t>
  </si>
  <si>
    <t>30001003353168</t>
  </si>
  <si>
    <t>893264055</t>
  </si>
  <si>
    <t>WA 300 I59h 1988</t>
  </si>
  <si>
    <t>0                      WA 0300000I  59h         1988</t>
  </si>
  <si>
    <t>Homelessness, health, and human needs / Committee on Health Care for Homeless People, Institute of Medicine.</t>
  </si>
  <si>
    <t>3</t>
  </si>
  <si>
    <t>Institute of Medicine (U.S.). Committee on Health Care for Homeless People.</t>
  </si>
  <si>
    <t>Washington, D.C. : National Academy Press, c1988.</t>
  </si>
  <si>
    <t>2002-09-07</t>
  </si>
  <si>
    <t>1992-05-27</t>
  </si>
  <si>
    <t>998982:eng</t>
  </si>
  <si>
    <t>18441515</t>
  </si>
  <si>
    <t>991001304999702656</t>
  </si>
  <si>
    <t>2269044060002656</t>
  </si>
  <si>
    <t>9780309038324</t>
  </si>
  <si>
    <t>30001002413443</t>
  </si>
  <si>
    <t>893643445</t>
  </si>
  <si>
    <t>WA 300 L357 1994</t>
  </si>
  <si>
    <t>0                      WA 0300000L  357         1994</t>
  </si>
  <si>
    <t>Latino health in the US : a growing challenge / edited by Carlos W. Molina and Marilyn Aguirre-Molina.</t>
  </si>
  <si>
    <t>Washington, DC : American Public Health Association, c1994.</t>
  </si>
  <si>
    <t>1995-12-01</t>
  </si>
  <si>
    <t>905391436:eng</t>
  </si>
  <si>
    <t>32114878</t>
  </si>
  <si>
    <t>991001499909702656</t>
  </si>
  <si>
    <t>2255692690002656</t>
  </si>
  <si>
    <t>9780875532158</t>
  </si>
  <si>
    <t>30001003262278</t>
  </si>
  <si>
    <t>893149288</t>
  </si>
  <si>
    <t>WA 300 M363 2000</t>
  </si>
  <si>
    <t>0                      WA 0300000M  363         2000</t>
  </si>
  <si>
    <t>Market research in health and social care / edited by Mike Luck, Rob Pocock, and Mike Tricker.</t>
  </si>
  <si>
    <t>London ; New York : Routledge, 2000.</t>
  </si>
  <si>
    <t>766937618:eng</t>
  </si>
  <si>
    <t>43115141</t>
  </si>
  <si>
    <t>991000358979702656</t>
  </si>
  <si>
    <t>2260725150002656</t>
  </si>
  <si>
    <t>9780415207546</t>
  </si>
  <si>
    <t>30001004218154</t>
  </si>
  <si>
    <t>893461412</t>
  </si>
  <si>
    <t>WA300 N163h 1999</t>
  </si>
  <si>
    <t>0                      WA 0300000N  163h        1999</t>
  </si>
  <si>
    <t>Health in America : a multicultural perspective / Raymond M. Nakamura.</t>
  </si>
  <si>
    <t>Nakamura, Raymond M.</t>
  </si>
  <si>
    <t>Boston, Mass : Allyn and Bacon, c1999.</t>
  </si>
  <si>
    <t>2005-06-01</t>
  </si>
  <si>
    <t>16360683:eng</t>
  </si>
  <si>
    <t>39275796</t>
  </si>
  <si>
    <t>991000439179702656</t>
  </si>
  <si>
    <t>2264492790002656</t>
  </si>
  <si>
    <t>9780205290123</t>
  </si>
  <si>
    <t>30001004929735</t>
  </si>
  <si>
    <t>893275055</t>
  </si>
  <si>
    <t>WA300 N532 2003</t>
  </si>
  <si>
    <t>0                      WA 0300000N  532         2003</t>
  </si>
  <si>
    <t>New faces in a changing America : multiracial identity in the 21st century / [edited by] Loretta I. Winters, Herman L. DeBose.</t>
  </si>
  <si>
    <t>Thousand Oaks, Calif. : Sage Publications, c2003.</t>
  </si>
  <si>
    <t>2004-09-16</t>
  </si>
  <si>
    <t>2004-06-05</t>
  </si>
  <si>
    <t>796418836:eng</t>
  </si>
  <si>
    <t>50606378</t>
  </si>
  <si>
    <t>991001727399702656</t>
  </si>
  <si>
    <t>2263383410002656</t>
  </si>
  <si>
    <t>9780761923008</t>
  </si>
  <si>
    <t>30001004509966</t>
  </si>
  <si>
    <t>893274429</t>
  </si>
  <si>
    <t>WA300 N532 2004</t>
  </si>
  <si>
    <t>0                      WA 0300000N  532         2004</t>
  </si>
  <si>
    <t>New dimensions in women's health / Linda Lewis Alexander ... [et al.].</t>
  </si>
  <si>
    <t>Sudbury, Mass. : Jones and Bartlett Publishers, c2004.</t>
  </si>
  <si>
    <t>2006-05-25</t>
  </si>
  <si>
    <t>2006-04-24</t>
  </si>
  <si>
    <t>53224828</t>
  </si>
  <si>
    <t>991000476769702656</t>
  </si>
  <si>
    <t>2263208910002656</t>
  </si>
  <si>
    <t>9780763707231</t>
  </si>
  <si>
    <t>30001005126950</t>
  </si>
  <si>
    <t>893280021</t>
  </si>
  <si>
    <t>WA300 P392s 2002</t>
  </si>
  <si>
    <t>0                      WA 0300000P  392s        2002</t>
  </si>
  <si>
    <t>The Silicon Valley of dreams : environmental injustice, immigrant workers, and the high-tech global economy / David Naguib Pellow and Lisa Sun-Hee Park.</t>
  </si>
  <si>
    <t>Pellow, David N., 1969-</t>
  </si>
  <si>
    <t>New York : New York University Press, c2002.</t>
  </si>
  <si>
    <t>Critical America</t>
  </si>
  <si>
    <t>793945356:eng</t>
  </si>
  <si>
    <t>50479220</t>
  </si>
  <si>
    <t>991000373049702656</t>
  </si>
  <si>
    <t>2257727370002656</t>
  </si>
  <si>
    <t>9780814767092</t>
  </si>
  <si>
    <t>30001004921278</t>
  </si>
  <si>
    <t>893109463</t>
  </si>
  <si>
    <t>WA 300 P935 2001</t>
  </si>
  <si>
    <t>0                      WA 0300000P  935         2001</t>
  </si>
  <si>
    <t>A primer for cultural proficiency : towards quality health services for Hispanics.</t>
  </si>
  <si>
    <t>[Washington, D.C.] : Estrella Press, 2001.</t>
  </si>
  <si>
    <t>2005-10-07</t>
  </si>
  <si>
    <t>2004-11-17</t>
  </si>
  <si>
    <t>2005-04-10</t>
  </si>
  <si>
    <t>56675291:eng</t>
  </si>
  <si>
    <t>46939273</t>
  </si>
  <si>
    <t>991000411499702656</t>
  </si>
  <si>
    <t>2267845050002656</t>
  </si>
  <si>
    <t>9780933084070</t>
  </si>
  <si>
    <t>30001004925196</t>
  </si>
  <si>
    <t>893359537</t>
  </si>
  <si>
    <t>WA300 P952 1999</t>
  </si>
  <si>
    <t>0                      WA 0300000P  952         1999</t>
  </si>
  <si>
    <t>Primary care of Native American patients : diagnosis, therapy, and epidemiology / edited by James M. Galloway, Bruce W. Goldberg, Joseph S. Alpert ; foreword by Michael H. Trujillo.</t>
  </si>
  <si>
    <t>Boston : Butterworth-Heinemann, c1999.</t>
  </si>
  <si>
    <t>836963140:eng</t>
  </si>
  <si>
    <t>39464690</t>
  </si>
  <si>
    <t>991000372879702656</t>
  </si>
  <si>
    <t>2269402210002656</t>
  </si>
  <si>
    <t>9780750699891</t>
  </si>
  <si>
    <t>30001004509792</t>
  </si>
  <si>
    <t>893359511</t>
  </si>
  <si>
    <t>WA 300 P9647 1999</t>
  </si>
  <si>
    <t>0                      WA 0300000P  9647        1999</t>
  </si>
  <si>
    <t>Promoting health in multicultural populations : a handbook for practitioners / [edited by] Robert M. Huff, Michael V. Kline.</t>
  </si>
  <si>
    <t>Thousand Oaks, Calif. : Sage Publications, c1999.</t>
  </si>
  <si>
    <t>2006-02-16</t>
  </si>
  <si>
    <t>1999-06-23</t>
  </si>
  <si>
    <t>3857880133:eng</t>
  </si>
  <si>
    <t>39399432</t>
  </si>
  <si>
    <t>991001567949702656</t>
  </si>
  <si>
    <t>2267959750002656</t>
  </si>
  <si>
    <t>9780761901822</t>
  </si>
  <si>
    <t>30001004074904</t>
  </si>
  <si>
    <t>893369487</t>
  </si>
  <si>
    <t>WA300 Q29a 2005</t>
  </si>
  <si>
    <t>0                      WA 0300000Q  29a         2005</t>
  </si>
  <si>
    <t>African Americans' health care practices, perspectives, and needs / Randolph K. Quaye.</t>
  </si>
  <si>
    <t>Quaye, Randolph.</t>
  </si>
  <si>
    <t>Lanham, Md. : University Press of America, c2005.</t>
  </si>
  <si>
    <t>2008-05-21</t>
  </si>
  <si>
    <t>2008-06-17</t>
  </si>
  <si>
    <t>2008-04-16</t>
  </si>
  <si>
    <t>23142875:eng</t>
  </si>
  <si>
    <t>60615435</t>
  </si>
  <si>
    <t>991000683639702656</t>
  </si>
  <si>
    <t>2271933380002656</t>
  </si>
  <si>
    <t>9780761830238</t>
  </si>
  <si>
    <t>30001005292380</t>
  </si>
  <si>
    <t>893831016</t>
  </si>
  <si>
    <t>WA 300 Q9t 1994</t>
  </si>
  <si>
    <t>0                      WA 0300000Q  9t          1994</t>
  </si>
  <si>
    <t>Transcultural medicine : dealing with patients from different cultures ; including 35 articles published in the British medical press, 1981-1988 / Bashir Quershi.</t>
  </si>
  <si>
    <t>Qureshi, Bashir.</t>
  </si>
  <si>
    <t>Dordrecht ; Boston : Kluwer Academic Publishers, c1994.</t>
  </si>
  <si>
    <t>2001-09-24</t>
  </si>
  <si>
    <t>17654609:eng</t>
  </si>
  <si>
    <t>29564068</t>
  </si>
  <si>
    <t>991000485889702656</t>
  </si>
  <si>
    <t>2255588320002656</t>
  </si>
  <si>
    <t>9780792388364</t>
  </si>
  <si>
    <t>30001002697425</t>
  </si>
  <si>
    <t>893456893</t>
  </si>
  <si>
    <t>WA300 R121 2006</t>
  </si>
  <si>
    <t>0                      WA 0300000R  121         2006</t>
  </si>
  <si>
    <t>Racial and ethnic disparities in health and health care / Elene V. Metrosa, editor.</t>
  </si>
  <si>
    <t>New York : Nova Science Publishers, c2006.</t>
  </si>
  <si>
    <t>2009-01-29</t>
  </si>
  <si>
    <t>2008-03-20</t>
  </si>
  <si>
    <t>9827343608:eng</t>
  </si>
  <si>
    <t>69391439</t>
  </si>
  <si>
    <t>991000685519702656</t>
  </si>
  <si>
    <t>2264266720002656</t>
  </si>
  <si>
    <t>9781600212680</t>
  </si>
  <si>
    <t>30001005270824</t>
  </si>
  <si>
    <t>893133400</t>
  </si>
  <si>
    <t>WA300 R324b 2001</t>
  </si>
  <si>
    <t>0                      WA 0300000R  324b        2001</t>
  </si>
  <si>
    <t>The Black man's guide to good health : essential advice for African American men and their families / James W. Reed, Neil Shulman, and Charlene Shucker.</t>
  </si>
  <si>
    <t>Reed, James, 1944-</t>
  </si>
  <si>
    <t>Roscoe, Ill. : Hilton Pub., c2001.</t>
  </si>
  <si>
    <t>New and rev. ed.</t>
  </si>
  <si>
    <t>3858375385:eng</t>
  </si>
  <si>
    <t>45232714</t>
  </si>
  <si>
    <t>991000371069702656</t>
  </si>
  <si>
    <t>2267086970002656</t>
  </si>
  <si>
    <t>9780967525815</t>
  </si>
  <si>
    <t>30001004920320</t>
  </si>
  <si>
    <t>893365376</t>
  </si>
  <si>
    <t>WA 300 R457g 2004</t>
  </si>
  <si>
    <t>0                      WA 0300000R  457g        2004</t>
  </si>
  <si>
    <t>Genes, culture, and medicine : bridging gaps in treatment for Hispanic Americans / by Carolina Reyes, [et al.]</t>
  </si>
  <si>
    <t>Reyes, Carolina.</t>
  </si>
  <si>
    <t>Washington, DC : The National Alliance for Hispanic Health ; Reston, VA : The National Pharmaceutical Council, c2004.</t>
  </si>
  <si>
    <t>68768656:eng</t>
  </si>
  <si>
    <t>55805965</t>
  </si>
  <si>
    <t>991000411539702656</t>
  </si>
  <si>
    <t>2260477900002656</t>
  </si>
  <si>
    <t>9780933084124</t>
  </si>
  <si>
    <t>30001004925204</t>
  </si>
  <si>
    <t>893136806</t>
  </si>
  <si>
    <t>30001004929453</t>
  </si>
  <si>
    <t>893136805</t>
  </si>
  <si>
    <t>WA300 S345i 2002</t>
  </si>
  <si>
    <t>0                      WA 0300000S  345i        2002</t>
  </si>
  <si>
    <t>Immigrant access to health benefits : a resource manual / prepared for the Access Project by Claudia Schlosberg and edited by Doreena Wong, National Health Law Program.</t>
  </si>
  <si>
    <t>Schlosberg, Claudia.</t>
  </si>
  <si>
    <t>Washington, D.C. : National Health Law Program ; Boston : Access Project, c2002.</t>
  </si>
  <si>
    <t>2010-05-27</t>
  </si>
  <si>
    <t>2004-06-10</t>
  </si>
  <si>
    <t>9435034:eng</t>
  </si>
  <si>
    <t>51731528</t>
  </si>
  <si>
    <t>991001727449702656</t>
  </si>
  <si>
    <t>2255590420002656</t>
  </si>
  <si>
    <t>30001004920221</t>
  </si>
  <si>
    <t>893468055</t>
  </si>
  <si>
    <t>WA300 S555v 2005</t>
  </si>
  <si>
    <t>0                      WA 0300000S  555v        2005</t>
  </si>
  <si>
    <t>Vulnerable populations in the United States / Leiyu Shi, Gregory D. Stevens.</t>
  </si>
  <si>
    <t>Shi, Leiyu.</t>
  </si>
  <si>
    <t>San Francisco, CA : Jossey-Bass, c2005.</t>
  </si>
  <si>
    <t>2006-12-09</t>
  </si>
  <si>
    <t>2006-02-09</t>
  </si>
  <si>
    <t>968838:eng</t>
  </si>
  <si>
    <t>55746870</t>
  </si>
  <si>
    <t>991000463379702656</t>
  </si>
  <si>
    <t>2264248340002656</t>
  </si>
  <si>
    <t>9780787969585</t>
  </si>
  <si>
    <t>30001004912830</t>
  </si>
  <si>
    <t>893136913</t>
  </si>
  <si>
    <t>WA300  S741 1999</t>
  </si>
  <si>
    <t>0                      WA 0300000S  741         1999</t>
  </si>
  <si>
    <t>Special populations / Howard Frumkin, Glenn Pransky, guest editors.</t>
  </si>
  <si>
    <t>Philadelphia : Hanley &amp; Belfus, c1999.</t>
  </si>
  <si>
    <t>Occupational medicine, state of the art reviews, 0885-114X ; v. 14, no. 3</t>
  </si>
  <si>
    <t>5612652570:eng</t>
  </si>
  <si>
    <t>42369123</t>
  </si>
  <si>
    <t>991000367209702656</t>
  </si>
  <si>
    <t>2265106260002656</t>
  </si>
  <si>
    <t>9781560532873</t>
  </si>
  <si>
    <t>30001004509644</t>
  </si>
  <si>
    <t>893269409</t>
  </si>
  <si>
    <t>WA 300 S741c 2004</t>
  </si>
  <si>
    <t>0                      WA 0300000S  741c        2004</t>
  </si>
  <si>
    <t>Cultural diversity in health &amp; illness / Rachael E. Spector.</t>
  </si>
  <si>
    <t>Upper Saddle River, N.J. : Prentice Hall, c2004.</t>
  </si>
  <si>
    <t>6th ed.</t>
  </si>
  <si>
    <t>2010-09-27</t>
  </si>
  <si>
    <t>51800002</t>
  </si>
  <si>
    <t>991000373609702656</t>
  </si>
  <si>
    <t>2257758120002656</t>
  </si>
  <si>
    <t>9780130493798</t>
  </si>
  <si>
    <t>30001004509115</t>
  </si>
  <si>
    <t>893723410</t>
  </si>
  <si>
    <t>WA300 U588 1998</t>
  </si>
  <si>
    <t>0                      WA 0300000U  588         1998</t>
  </si>
  <si>
    <t>U.S.-Mexico border health : issues for regional and migrant populations / [edited by] J. Gerard Power and Theresa Byrd.</t>
  </si>
  <si>
    <t>Thousand Oaks, CA : Sage Publications, c1998.</t>
  </si>
  <si>
    <t>837044066:eng</t>
  </si>
  <si>
    <t>38281713</t>
  </si>
  <si>
    <t>991000373369702656</t>
  </si>
  <si>
    <t>2262461720002656</t>
  </si>
  <si>
    <t>9780761908951</t>
  </si>
  <si>
    <t>30001004509859</t>
  </si>
  <si>
    <t>893817048</t>
  </si>
  <si>
    <t>WA 300 W927 1993</t>
  </si>
  <si>
    <t>0                      WA 0300000W  927         1993</t>
  </si>
  <si>
    <t>Women's health and development : a global challenge / [edited by] Beverly J. McElmurry, Kathleen F. Norr, Randy Spreen Parker.</t>
  </si>
  <si>
    <t>Boston : Jones and Bartlett, c1993.</t>
  </si>
  <si>
    <t>2007-04-16</t>
  </si>
  <si>
    <t>1993-08-26</t>
  </si>
  <si>
    <t>797085428:eng</t>
  </si>
  <si>
    <t>28375623</t>
  </si>
  <si>
    <t>991001547479702656</t>
  </si>
  <si>
    <t>2255356730002656</t>
  </si>
  <si>
    <t>30001002643825</t>
  </si>
  <si>
    <t>893284895</t>
  </si>
  <si>
    <t>WA 300 W951 1987</t>
  </si>
  <si>
    <t>0                      WA 0300000W  951         1987</t>
  </si>
  <si>
    <t>Homelessness and health / James D. Wright and Eleanor Weber ; with contributions from Peter H. Rossi, Julie A. Lam, and Janet Wilson Knight ; preface by Senator Edward M. Kennedy.</t>
  </si>
  <si>
    <t>Wright, James D.</t>
  </si>
  <si>
    <t>Washington, D.C. : McGraw-Hill's Healthcare Information Center, c1987.</t>
  </si>
  <si>
    <t>1997-08-11</t>
  </si>
  <si>
    <t>1989-03-16</t>
  </si>
  <si>
    <t>1780215173:eng</t>
  </si>
  <si>
    <t>17636038</t>
  </si>
  <si>
    <t>991001241729702656</t>
  </si>
  <si>
    <t>2255104460002656</t>
  </si>
  <si>
    <t>30001001675802</t>
  </si>
  <si>
    <t>893374388</t>
  </si>
  <si>
    <t>WA 300.1 S518 2009</t>
  </si>
  <si>
    <t>0                      WA 0300100S  518         2009</t>
  </si>
  <si>
    <t>Sexualities and identities of minority women / Sana Loue, editor.</t>
  </si>
  <si>
    <t>New York : Springer, c2009.</t>
  </si>
  <si>
    <t>2009-10-07</t>
  </si>
  <si>
    <t>2009-10-01</t>
  </si>
  <si>
    <t>766691670:eng</t>
  </si>
  <si>
    <t>430054653</t>
  </si>
  <si>
    <t>991001496049702656</t>
  </si>
  <si>
    <t>2259107130002656</t>
  </si>
  <si>
    <t>9780387756561</t>
  </si>
  <si>
    <t>30001004919702</t>
  </si>
  <si>
    <t>893465575</t>
  </si>
  <si>
    <t>WA305 A227 2006</t>
  </si>
  <si>
    <t>0                      WA 0305000A  227         2006</t>
  </si>
  <si>
    <t>Addressing racism : facilitating cultural competence in mental health and educational settings / edited by Madonna G. Constantine, Derald Wing Sue.</t>
  </si>
  <si>
    <t>Hoboken, N.J. : John Wiley &amp; Sons, c2006.</t>
  </si>
  <si>
    <t>796453324:eng</t>
  </si>
  <si>
    <t>61879765</t>
  </si>
  <si>
    <t>991000693149702656</t>
  </si>
  <si>
    <t>2256598250002656</t>
  </si>
  <si>
    <t>9780471779971</t>
  </si>
  <si>
    <t>30001005292398</t>
  </si>
  <si>
    <t>893831110</t>
  </si>
  <si>
    <t>WA305 A832 2002</t>
  </si>
  <si>
    <t>0                      WA 0305000A  832         2002</t>
  </si>
  <si>
    <t>Asian American mental health : assessment theories and methods / edited by Karen S. Kurasaki, Sumie Okazaki, Stanley Sue.</t>
  </si>
  <si>
    <t>New York : Kluwer Academic/Plenum Publishers, c2002.</t>
  </si>
  <si>
    <t>International and cultural psychology series</t>
  </si>
  <si>
    <t>839272365:eng</t>
  </si>
  <si>
    <t>49525852</t>
  </si>
  <si>
    <t>991000476259702656</t>
  </si>
  <si>
    <t>2272139080002656</t>
  </si>
  <si>
    <t>9780306472688</t>
  </si>
  <si>
    <t>30001004914505</t>
  </si>
  <si>
    <t>893547829</t>
  </si>
  <si>
    <t>WA305 B575c 2001</t>
  </si>
  <si>
    <t>0                      WA 0305000B  575c        2001</t>
  </si>
  <si>
    <t>Cross-cultural psychiatry : a practical guide / Dinesh Bhugra, Kamaldeep Bhui.</t>
  </si>
  <si>
    <t>Bhugra, Dinesh.</t>
  </si>
  <si>
    <t>London : Arnold ; New York : Oxford University Press, 2001.</t>
  </si>
  <si>
    <t>2004-06-02</t>
  </si>
  <si>
    <t>836969079:eng</t>
  </si>
  <si>
    <t>45327216</t>
  </si>
  <si>
    <t>991000370249702656</t>
  </si>
  <si>
    <t>2254915440002656</t>
  </si>
  <si>
    <t>9780340763797</t>
  </si>
  <si>
    <t>30001004921161</t>
  </si>
  <si>
    <t>893365374</t>
  </si>
  <si>
    <t>WA 305 D169u 1998</t>
  </si>
  <si>
    <t>0                      WA 0305000D  169u        1998</t>
  </si>
  <si>
    <t>Understanding cultural identity in intervention and assessment / Richard H. Dana.</t>
  </si>
  <si>
    <t>Dana, Richard H. (Richard Henry), 1927-</t>
  </si>
  <si>
    <t>Thousand Oaks : Sage Publications, c1998.</t>
  </si>
  <si>
    <t>Multicultural aspects of counseling series ; v. 9</t>
  </si>
  <si>
    <t>2005-10-11</t>
  </si>
  <si>
    <t>590142:eng</t>
  </si>
  <si>
    <t>37836637</t>
  </si>
  <si>
    <t>991000372379702656</t>
  </si>
  <si>
    <t>2270079650002656</t>
  </si>
  <si>
    <t>9780761903635</t>
  </si>
  <si>
    <t>30001004509925</t>
  </si>
  <si>
    <t>893269414</t>
  </si>
  <si>
    <t>WA 305 E84 1986</t>
  </si>
  <si>
    <t>0                      WA 0305000E  84          1986</t>
  </si>
  <si>
    <t>Ethnic psychiatry / edited by Charles B. Wilkinson.</t>
  </si>
  <si>
    <t>New York : Plenum Medical Book Co., c1986.</t>
  </si>
  <si>
    <t>Critical issues in psychiatry</t>
  </si>
  <si>
    <t>7250561:eng</t>
  </si>
  <si>
    <t>13423756</t>
  </si>
  <si>
    <t>991000723989702656</t>
  </si>
  <si>
    <t>2263990330002656</t>
  </si>
  <si>
    <t>9780306423062</t>
  </si>
  <si>
    <t>30001000706376</t>
  </si>
  <si>
    <t>893167636</t>
  </si>
  <si>
    <t>WA 305 H483 1989</t>
  </si>
  <si>
    <t>0                      WA 0305000H  483         1989</t>
  </si>
  <si>
    <t>Helping mentally ill homeless people : a manual for shelter workers / American Public Health Association.</t>
  </si>
  <si>
    <t>Washington, D.C. : American Public Health Association, c1989.</t>
  </si>
  <si>
    <t>1991-07-19</t>
  </si>
  <si>
    <t>476495287:eng</t>
  </si>
  <si>
    <t>27435209</t>
  </si>
  <si>
    <t>991000942119702656</t>
  </si>
  <si>
    <t>2254912590002656</t>
  </si>
  <si>
    <t>9780875531588</t>
  </si>
  <si>
    <t>30001002192815</t>
  </si>
  <si>
    <t>893278508</t>
  </si>
  <si>
    <t>WA305 H772p 2001</t>
  </si>
  <si>
    <t>0                      WA 0305000H  772p        2001</t>
  </si>
  <si>
    <t>Psychotherapy and counseling with Asian American clients : a practical guide / George K. Hong, MaryAnna Domokos-Cheng Ham.</t>
  </si>
  <si>
    <t>Hong, George K.</t>
  </si>
  <si>
    <t>Thousand Oaks, Calif. : Sage Publications, c2001.</t>
  </si>
  <si>
    <t>Multicultural aspects of counseling series ; v. 16</t>
  </si>
  <si>
    <t>837012839:eng</t>
  </si>
  <si>
    <t>44467432</t>
  </si>
  <si>
    <t>991000473369702656</t>
  </si>
  <si>
    <t>2271208270002656</t>
  </si>
  <si>
    <t>9780761916154</t>
  </si>
  <si>
    <t>30001004914638</t>
  </si>
  <si>
    <t>893269482</t>
  </si>
  <si>
    <t>WA305 M54939 2004</t>
  </si>
  <si>
    <t>0                      WA 0305000M  54939       2004</t>
  </si>
  <si>
    <t>Mental health services for minority ethnic children and adolescents / edited by Mhemooda Malek and Carol Joughin ; foreword by Kedar Nath Dwivedi.</t>
  </si>
  <si>
    <t>London ; New York : Jessica Kingsley Publishers, 2004.</t>
  </si>
  <si>
    <t>Child and adolescent mental health series</t>
  </si>
  <si>
    <t>354962261:eng</t>
  </si>
  <si>
    <t>54425147</t>
  </si>
  <si>
    <t>991000473519702656</t>
  </si>
  <si>
    <t>2267337860002656</t>
  </si>
  <si>
    <t>9781841870397</t>
  </si>
  <si>
    <t>30001004914463</t>
  </si>
  <si>
    <t>893644453</t>
  </si>
  <si>
    <t>WA 305 O97m 1980</t>
  </si>
  <si>
    <t>0                      WA 0305000O  97m         1980</t>
  </si>
  <si>
    <t>Mental health and black offenders / Charles E. Owens.</t>
  </si>
  <si>
    <t>Owens, Charles E.</t>
  </si>
  <si>
    <t>Lexington, Mass. : Lexington Books, c1980.</t>
  </si>
  <si>
    <t>1980</t>
  </si>
  <si>
    <t>1999-07-20</t>
  </si>
  <si>
    <t>514866:eng</t>
  </si>
  <si>
    <t>6086291</t>
  </si>
  <si>
    <t>991000724139702656</t>
  </si>
  <si>
    <t>2257739420002656</t>
  </si>
  <si>
    <t>9780669026450</t>
  </si>
  <si>
    <t>30001000706418</t>
  </si>
  <si>
    <t>893540328</t>
  </si>
  <si>
    <t>WA 305 P192a 1994</t>
  </si>
  <si>
    <t>0                      WA 0305000P  192a        1994</t>
  </si>
  <si>
    <t>Assessing and treating culturally diverse clients : a practical guide / Freddy A. Paniagua.</t>
  </si>
  <si>
    <t>Paniagua, Freddy A.</t>
  </si>
  <si>
    <t>Thousand Oaks, Calif. : Sage Publications, c1994.</t>
  </si>
  <si>
    <t>Multicultural aspects of counseling series ; 4</t>
  </si>
  <si>
    <t>2007-05-10</t>
  </si>
  <si>
    <t>1995-06-01</t>
  </si>
  <si>
    <t>10141334099:eng</t>
  </si>
  <si>
    <t>30518577</t>
  </si>
  <si>
    <t>991001400709702656</t>
  </si>
  <si>
    <t>2267366010002656</t>
  </si>
  <si>
    <t>9780803954953</t>
  </si>
  <si>
    <t>30001003147966</t>
  </si>
  <si>
    <t>893134522</t>
  </si>
  <si>
    <t>WA305 P192a 2005</t>
  </si>
  <si>
    <t>0                      WA 0305000P  192a        2005</t>
  </si>
  <si>
    <t>Thousand Oaks, Calif. : Sage Publications, c2005.</t>
  </si>
  <si>
    <t>Multicultural aspects of counseling and psychotherapy series ; 4</t>
  </si>
  <si>
    <t>56755717</t>
  </si>
  <si>
    <t>991000692999702656</t>
  </si>
  <si>
    <t>2272177600002656</t>
  </si>
  <si>
    <t>9781412910088</t>
  </si>
  <si>
    <t>30001005292513</t>
  </si>
  <si>
    <t>893726576</t>
  </si>
  <si>
    <t>WA 305 P9738 2000</t>
  </si>
  <si>
    <t>0                      WA 0305000P  9738        2000</t>
  </si>
  <si>
    <t>Psychological intervention and cultural diversity / edited by Joseph F. Aponte, Julian Wohl.</t>
  </si>
  <si>
    <t>Boston : Allyn and Bacon, c2000.</t>
  </si>
  <si>
    <t>2005-11-19</t>
  </si>
  <si>
    <t>2004-09-08</t>
  </si>
  <si>
    <t>476695150:eng</t>
  </si>
  <si>
    <t>41646977</t>
  </si>
  <si>
    <t>991000385249702656</t>
  </si>
  <si>
    <t>2261667230002656</t>
  </si>
  <si>
    <t>9780205294749</t>
  </si>
  <si>
    <t>30001004921674</t>
  </si>
  <si>
    <t>893365385</t>
  </si>
  <si>
    <t>WA 305 T784 1986</t>
  </si>
  <si>
    <t>0                      WA 0305000T  784         1986</t>
  </si>
  <si>
    <t>Treating the homeless : urban psychiatry's challenge / edited by Billy E. Jones.</t>
  </si>
  <si>
    <t>Washington, D.C. : American Psychiatric Press, c1986.</t>
  </si>
  <si>
    <t>Clinical insights</t>
  </si>
  <si>
    <t>2001-11-19</t>
  </si>
  <si>
    <t>54779859:eng</t>
  </si>
  <si>
    <t>12972932</t>
  </si>
  <si>
    <t>991000724319702656</t>
  </si>
  <si>
    <t>2256030410002656</t>
  </si>
  <si>
    <t>9780880480802</t>
  </si>
  <si>
    <t>30001000706434</t>
  </si>
  <si>
    <t>893120076</t>
  </si>
  <si>
    <t>WA305 U12a 2003</t>
  </si>
  <si>
    <t>0                      WA 0305000U  12a         2003</t>
  </si>
  <si>
    <t>Asian Americans : personality patterns, identity, and mental health / Laura Uba.</t>
  </si>
  <si>
    <t>Uba, Laura.</t>
  </si>
  <si>
    <t>New York : Guilford Press, 2003.</t>
  </si>
  <si>
    <t>Paperback ed.</t>
  </si>
  <si>
    <t>2009-09-01</t>
  </si>
  <si>
    <t>783249:eng</t>
  </si>
  <si>
    <t>54017018</t>
  </si>
  <si>
    <t>991000370539702656</t>
  </si>
  <si>
    <t>2271584250002656</t>
  </si>
  <si>
    <t>9781572309128</t>
  </si>
  <si>
    <t>30001004920148</t>
  </si>
  <si>
    <t>893370427</t>
  </si>
  <si>
    <t>WA 307 V5677 2002</t>
  </si>
  <si>
    <t>0                      WA 0307000V  5677        2002</t>
  </si>
  <si>
    <t>Violence in the lives of black women : battered, black, and blue / Carolyn M. West, editor.</t>
  </si>
  <si>
    <t>New York : Haworth Press, c2002.</t>
  </si>
  <si>
    <t>Women &amp; therapy ; v. 25, no. 3/4, 2002</t>
  </si>
  <si>
    <t>2009-05-19</t>
  </si>
  <si>
    <t>2008-10-31</t>
  </si>
  <si>
    <t>837998292:eng</t>
  </si>
  <si>
    <t>50448163</t>
  </si>
  <si>
    <t>991001327859702656</t>
  </si>
  <si>
    <t>2270968250002656</t>
  </si>
  <si>
    <t>9780789019943</t>
  </si>
  <si>
    <t>30001004914778</t>
  </si>
  <si>
    <t>893134471</t>
  </si>
  <si>
    <t>WA 308 B573 1988</t>
  </si>
  <si>
    <t>0                      WA 0308000B  573         1988</t>
  </si>
  <si>
    <t>Beyond individual risk assessment : community wide approaches to promoting the health and development of families and children / edited by Robert W. Chamberlin.</t>
  </si>
  <si>
    <t>Washington, D.C. : National Center for Education in Maternal and Child Health, c1988.</t>
  </si>
  <si>
    <t>1989-11-14</t>
  </si>
  <si>
    <t>1989-07-19</t>
  </si>
  <si>
    <t>2908653354:eng</t>
  </si>
  <si>
    <t>19882248</t>
  </si>
  <si>
    <t>991001310109702656</t>
  </si>
  <si>
    <t>2263047990002656</t>
  </si>
  <si>
    <t>30001001750639</t>
  </si>
  <si>
    <t>893149078</t>
  </si>
  <si>
    <t>WA 308 D186f 1993</t>
  </si>
  <si>
    <t>0                      WA 0308000D  186f        1993</t>
  </si>
  <si>
    <t>Families, health &amp; illness : perspectives on coping and intervention / Carol B. Danielson, Brenda Hamel-Bissell, Patricia Winstead-Fry.</t>
  </si>
  <si>
    <t>Danielson, Carol B.</t>
  </si>
  <si>
    <t>St. Louis : Mosby, c1993.</t>
  </si>
  <si>
    <t>2005-06-11</t>
  </si>
  <si>
    <t>1994-08-04</t>
  </si>
  <si>
    <t>311438683:eng</t>
  </si>
  <si>
    <t>26769041</t>
  </si>
  <si>
    <t>991001161109702656</t>
  </si>
  <si>
    <t>2267421940002656</t>
  </si>
  <si>
    <t>9780801603600</t>
  </si>
  <si>
    <t>30001002974097</t>
  </si>
  <si>
    <t>893121227</t>
  </si>
  <si>
    <t>WA 308 F1983 1992</t>
  </si>
  <si>
    <t>0                      WA 0308000F  1983        1992</t>
  </si>
  <si>
    <t>Family health care / Russell J. Sawa, editor.</t>
  </si>
  <si>
    <t>Newbury Park, CA : SAGE Publications, c1992.</t>
  </si>
  <si>
    <t>1992-11-19</t>
  </si>
  <si>
    <t>1992-10-20</t>
  </si>
  <si>
    <t>28820181:eng</t>
  </si>
  <si>
    <t>26318438</t>
  </si>
  <si>
    <t>991001342769702656</t>
  </si>
  <si>
    <t>2263483690002656</t>
  </si>
  <si>
    <t>9780803947481</t>
  </si>
  <si>
    <t>30001002456368</t>
  </si>
  <si>
    <t>893460484</t>
  </si>
  <si>
    <t>WA 308 F312w 1990</t>
  </si>
  <si>
    <t>0                      WA 0308000F  312w        1990</t>
  </si>
  <si>
    <t>When a loved one is ill : how to take better care of your loved one, your family, and yourself / by Leonard Felder.</t>
  </si>
  <si>
    <t>Felder, Leonard.</t>
  </si>
  <si>
    <t>New York : New American Library, c1990.</t>
  </si>
  <si>
    <t>1991-04-04</t>
  </si>
  <si>
    <t>1991-01-29</t>
  </si>
  <si>
    <t>25075639:eng</t>
  </si>
  <si>
    <t>20294308</t>
  </si>
  <si>
    <t>991000815439702656</t>
  </si>
  <si>
    <t>2266170570002656</t>
  </si>
  <si>
    <t>9780453007122</t>
  </si>
  <si>
    <t>30001002086025</t>
  </si>
  <si>
    <t>893820520</t>
  </si>
  <si>
    <t>WA308 H4335 2003</t>
  </si>
  <si>
    <t>0                      WA 0308000H  4335        2003</t>
  </si>
  <si>
    <t>Health and welfare for families in the 21st century / edited by Helen M. Wallace, Gordon Green, Kenneth J. Jaros ; with contributing editor, Naomi Morris.</t>
  </si>
  <si>
    <t>Boston : Jones and Bartlett, c2003.</t>
  </si>
  <si>
    <t>2006-02-28</t>
  </si>
  <si>
    <t>2003-06-09</t>
  </si>
  <si>
    <t>364546134:eng</t>
  </si>
  <si>
    <t>51096020</t>
  </si>
  <si>
    <t>991000349469702656</t>
  </si>
  <si>
    <t>2269211170002656</t>
  </si>
  <si>
    <t>9780736718592</t>
  </si>
  <si>
    <t>30001004504561</t>
  </si>
  <si>
    <t>893827413</t>
  </si>
  <si>
    <t>WA308 R429 1998</t>
  </si>
  <si>
    <t>0                      WA 0308000R  429         1998</t>
  </si>
  <si>
    <t>Resiliency in African-American families / editors, Hamilton I. McCubbin ... [et al.].</t>
  </si>
  <si>
    <t>Thousand Oaks, Calif. : Sage Publications, c1998.</t>
  </si>
  <si>
    <t>Resiliency in families series ; v. 3</t>
  </si>
  <si>
    <t>41966086:eng</t>
  </si>
  <si>
    <t>38573229</t>
  </si>
  <si>
    <t>991000370839702656</t>
  </si>
  <si>
    <t>2268480040002656</t>
  </si>
  <si>
    <t>9780761913924</t>
  </si>
  <si>
    <t>30001004920106</t>
  </si>
  <si>
    <t>893447245</t>
  </si>
  <si>
    <t>WA 308 R749f 1994</t>
  </si>
  <si>
    <t>0                      WA 0308000R  749f        1994</t>
  </si>
  <si>
    <t>Families, illness, and disability : an integrative treatment model / John S. Rolland.</t>
  </si>
  <si>
    <t>Rolland, John S., 1948-</t>
  </si>
  <si>
    <t>New York : BasicBooks, c1994.</t>
  </si>
  <si>
    <t>2002-01-08</t>
  </si>
  <si>
    <t>836747484:eng</t>
  </si>
  <si>
    <t>29848184</t>
  </si>
  <si>
    <t>991001397049702656</t>
  </si>
  <si>
    <t>2263806440002656</t>
  </si>
  <si>
    <t>9780465029150</t>
  </si>
  <si>
    <t>30001003146364</t>
  </si>
  <si>
    <t>893826705</t>
  </si>
  <si>
    <t>WA 308 W726f 1989</t>
  </si>
  <si>
    <t>0                      WA 0308000W  726f        1989</t>
  </si>
  <si>
    <t>Family problems / Peter R. Williams.</t>
  </si>
  <si>
    <t>Williams, Peter R.</t>
  </si>
  <si>
    <t>Oxford [England] ; New York : Oxford University Press, c1989.</t>
  </si>
  <si>
    <t>Oxford general practice series ; 17</t>
  </si>
  <si>
    <t>1992-04-02</t>
  </si>
  <si>
    <t>21325054:eng</t>
  </si>
  <si>
    <t>19513371</t>
  </si>
  <si>
    <t>991001300089702656</t>
  </si>
  <si>
    <t>2260345500002656</t>
  </si>
  <si>
    <t>9780192616043</t>
  </si>
  <si>
    <t>30001002411470</t>
  </si>
  <si>
    <t>893638216</t>
  </si>
  <si>
    <t>WA309 B973c 2001</t>
  </si>
  <si>
    <t>0                      WA 0309000B  973c        2001</t>
  </si>
  <si>
    <t>Concise guide to women's mental health / Vivien K. Burt, Victoria C. Hendrick.</t>
  </si>
  <si>
    <t>Burt, Vivien K., 1944-</t>
  </si>
  <si>
    <t>Washington, DC : American Psychiatric Pub., c2001.</t>
  </si>
  <si>
    <t>Concise guides</t>
  </si>
  <si>
    <t>2002-10-07</t>
  </si>
  <si>
    <t>34844715:eng</t>
  </si>
  <si>
    <t>45500394</t>
  </si>
  <si>
    <t>991000316159702656</t>
  </si>
  <si>
    <t>2272689240002656</t>
  </si>
  <si>
    <t>9781585620302</t>
  </si>
  <si>
    <t>30001004239408</t>
  </si>
  <si>
    <t>893456552</t>
  </si>
  <si>
    <t>WA 309 C746w 2004</t>
  </si>
  <si>
    <t>0                      WA 0309000C  746w        2004</t>
  </si>
  <si>
    <t>Women's health : body, mind, spirit : an integrated approach to wellness and illness / Marian C. Condon.</t>
  </si>
  <si>
    <t>Condon, Marian C.</t>
  </si>
  <si>
    <t>2007-06-28</t>
  </si>
  <si>
    <t>2007-06-22</t>
  </si>
  <si>
    <t>14419008:eng</t>
  </si>
  <si>
    <t>47798253</t>
  </si>
  <si>
    <t>991000634469702656</t>
  </si>
  <si>
    <t>2264350520002656</t>
  </si>
  <si>
    <t>9780838596487</t>
  </si>
  <si>
    <t>30001005218617</t>
  </si>
  <si>
    <t>893467437</t>
  </si>
  <si>
    <t>WA 309 C87 2004</t>
  </si>
  <si>
    <t>0                      WA 0309000C  87          2004</t>
  </si>
  <si>
    <t>Current care of women : diagnosis &amp; treatment / edited by Dawn P. Lemcke ... [et al.].</t>
  </si>
  <si>
    <t>New York : Lange Medical Books/McGraw-Hill, c2004.</t>
  </si>
  <si>
    <t>2005-11-07</t>
  </si>
  <si>
    <t>1077198544:eng</t>
  </si>
  <si>
    <t>53971836</t>
  </si>
  <si>
    <t>991000391279702656</t>
  </si>
  <si>
    <t>2262889130002656</t>
  </si>
  <si>
    <t>9780071219778</t>
  </si>
  <si>
    <t>30001004977106</t>
  </si>
  <si>
    <t>893365389</t>
  </si>
  <si>
    <t>WA309 D279 1998</t>
  </si>
  <si>
    <t>0                      WA 0309000D  279         1998</t>
  </si>
  <si>
    <t>Too little, too late : dealing with the health needs of women in poverty / edited by Cesar A. Perales and Lauren S. Young.</t>
  </si>
  <si>
    <t>Women, health, and poverty.</t>
  </si>
  <si>
    <t>New York : Harrington Park Press, c1988.</t>
  </si>
  <si>
    <t>2004-06-04</t>
  </si>
  <si>
    <t>1007551978:eng</t>
  </si>
  <si>
    <t>17412601</t>
  </si>
  <si>
    <t>991000371739702656</t>
  </si>
  <si>
    <t>2264471730002656</t>
  </si>
  <si>
    <t>9780918393500</t>
  </si>
  <si>
    <t>30001004921203</t>
  </si>
  <si>
    <t>893285528</t>
  </si>
  <si>
    <t>WA309 E61 2002</t>
  </si>
  <si>
    <t>0                      WA 0309000E  61          2002</t>
  </si>
  <si>
    <t>Environmental, policy, and cultural factors related to physical activity in a diverse sample of women : the Women's Cardiovascular Health Network project / Amy A. Eyler, editor.</t>
  </si>
  <si>
    <t>New York : Haworth Medical Press, c2002.</t>
  </si>
  <si>
    <t>953637:eng</t>
  </si>
  <si>
    <t>50285705</t>
  </si>
  <si>
    <t>991000373009702656</t>
  </si>
  <si>
    <t>2262181520002656</t>
  </si>
  <si>
    <t>9780789020000</t>
  </si>
  <si>
    <t>30001004670636</t>
  </si>
  <si>
    <t>893370431</t>
  </si>
  <si>
    <t>WA 309 E92 1996</t>
  </si>
  <si>
    <t>0                      WA 0309000E  92          1996</t>
  </si>
  <si>
    <t>Evaluating women's health messages : a resource book / Roxanne Louiselle Parrott, Celeste Michelle Condit, editors.</t>
  </si>
  <si>
    <t>Thousand Oaks : Sage Publications, c1996.</t>
  </si>
  <si>
    <t>1997-06-30</t>
  </si>
  <si>
    <t>836992186:eng</t>
  </si>
  <si>
    <t>33078540</t>
  </si>
  <si>
    <t>991001255439702656</t>
  </si>
  <si>
    <t>2255176800002656</t>
  </si>
  <si>
    <t>9780761900566</t>
  </si>
  <si>
    <t>30001003684703</t>
  </si>
  <si>
    <t>893149027</t>
  </si>
  <si>
    <t>WA 309 F756w 1995</t>
  </si>
  <si>
    <t>0                      WA 0309000F  756w        1995</t>
  </si>
  <si>
    <t>Women and the health care industry : an unhealthy relationship? / Peggy Foster.</t>
  </si>
  <si>
    <t>Foster, Peggy.</t>
  </si>
  <si>
    <t>Buckingham ; Bristol, Pa. : Open University Press, c1995.</t>
  </si>
  <si>
    <t>2005-03-28</t>
  </si>
  <si>
    <t>1996-01-11</t>
  </si>
  <si>
    <t>836992583:eng</t>
  </si>
  <si>
    <t>31607427</t>
  </si>
  <si>
    <t>991001501339702656</t>
  </si>
  <si>
    <t>2264892100002656</t>
  </si>
  <si>
    <t>9780335094721</t>
  </si>
  <si>
    <t>30001003262641</t>
  </si>
  <si>
    <t>893561052</t>
  </si>
  <si>
    <t>WA 309 G325r 1996</t>
  </si>
  <si>
    <t>0                      WA 0309000G  325r        1996</t>
  </si>
  <si>
    <t>Gender-related health issues : an international perspective : proceedings, gender-related health issues / International Forum of Women for Pharmacy ; 55th World Congress of Pharmacy and Pharmaceutical Sciences, August 29-30, 1995, Stockholm, Sweden ; edited by Mary J. Berg, Gloria N. Francke, Marianne R. Rollings.</t>
  </si>
  <si>
    <t>Washington, D.C. : American Pharmaceutical Association, c1996.</t>
  </si>
  <si>
    <t>2002-09-29</t>
  </si>
  <si>
    <t>1998-01-21</t>
  </si>
  <si>
    <t>891515907:eng</t>
  </si>
  <si>
    <t>38067423</t>
  </si>
  <si>
    <t>991001297929702656</t>
  </si>
  <si>
    <t>2257999510002656</t>
  </si>
  <si>
    <t>9780917330803</t>
  </si>
  <si>
    <t>30001003746445</t>
  </si>
  <si>
    <t>893134455</t>
  </si>
  <si>
    <t>WA309 I33 1999</t>
  </si>
  <si>
    <t>0                      WA 0309000I  33          1999</t>
  </si>
  <si>
    <t>Immigrant women's health : problems and solutions / Elizabeth J. Kramer, Susan L. Ivey, and Yu-Wen Ying, editors.</t>
  </si>
  <si>
    <t>San Francisco : Jossey-Bass, c1999.</t>
  </si>
  <si>
    <t>2008-04-04</t>
  </si>
  <si>
    <t>862938721:eng</t>
  </si>
  <si>
    <t>39981342</t>
  </si>
  <si>
    <t>991000371639702656</t>
  </si>
  <si>
    <t>2258405630002656</t>
  </si>
  <si>
    <t>9780787942946</t>
  </si>
  <si>
    <t>30001004921245</t>
  </si>
  <si>
    <t>893817046</t>
  </si>
  <si>
    <t>WA309 I39 2003</t>
  </si>
  <si>
    <t>0                      WA 0309000I  39          2003</t>
  </si>
  <si>
    <t>Indigenous women's health book, within the sacred circle.</t>
  </si>
  <si>
    <t>Lake Andes, S.D. : Indigenous Women's Press, c2003.</t>
  </si>
  <si>
    <t>sdu</t>
  </si>
  <si>
    <t>8909473694:eng</t>
  </si>
  <si>
    <t>54057628</t>
  </si>
  <si>
    <t>991000373259702656</t>
  </si>
  <si>
    <t>2261448410002656</t>
  </si>
  <si>
    <t>9780974129709</t>
  </si>
  <si>
    <t>30001004920056</t>
  </si>
  <si>
    <t>893109464</t>
  </si>
  <si>
    <t>WA 309 J27w 2000</t>
  </si>
  <si>
    <t>0                      WA 0309000J  27w         2000</t>
  </si>
  <si>
    <t>Winning in the women's health care marketplace : a comprehensive plan for health care strategists / Genie James.</t>
  </si>
  <si>
    <t>James, Genie.</t>
  </si>
  <si>
    <t>San Francisco : Jossey-Bass Publishers, c2000.</t>
  </si>
  <si>
    <t>2004-08-31</t>
  </si>
  <si>
    <t>799607774:eng</t>
  </si>
  <si>
    <t>41892389</t>
  </si>
  <si>
    <t>991000381449702656</t>
  </si>
  <si>
    <t>2259262260002656</t>
  </si>
  <si>
    <t>9780787944445</t>
  </si>
  <si>
    <t>30001004841229</t>
  </si>
  <si>
    <t>893547782</t>
  </si>
  <si>
    <t>WA309 L357 2003</t>
  </si>
  <si>
    <t>0                      WA 0309000L  357         2003</t>
  </si>
  <si>
    <t>Latina health in the United States : a public health reader / Marilyn Aguirre-Molina, Carlos W. Molina, editors.</t>
  </si>
  <si>
    <t>San Francisco, CA : Jossey-Bass, c2003.</t>
  </si>
  <si>
    <t>838030115:eng</t>
  </si>
  <si>
    <t>51892922</t>
  </si>
  <si>
    <t>991000371519702656</t>
  </si>
  <si>
    <t>2272755320002656</t>
  </si>
  <si>
    <t>9780787965792</t>
  </si>
  <si>
    <t>30001004509099</t>
  </si>
  <si>
    <t>893537123</t>
  </si>
  <si>
    <t>WA 309 L7219 2002</t>
  </si>
  <si>
    <t>0                      WA 0309000L  7219        2002</t>
  </si>
  <si>
    <t>A life course approach to women's health / edited by Diana Kuh and Rebecca Hardy.</t>
  </si>
  <si>
    <t>Oxford ; New York : Oxford University Press, c2002.</t>
  </si>
  <si>
    <t>Life course approach to adult health ; no. 1</t>
  </si>
  <si>
    <t>2009-05-20</t>
  </si>
  <si>
    <t>2004-09-03</t>
  </si>
  <si>
    <t>363850974:eng</t>
  </si>
  <si>
    <t>49977172</t>
  </si>
  <si>
    <t>991000382859702656</t>
  </si>
  <si>
    <t>2260876030002656</t>
  </si>
  <si>
    <t>9780192632890</t>
  </si>
  <si>
    <t>30001004507267</t>
  </si>
  <si>
    <t>893639141</t>
  </si>
  <si>
    <t>WA309 M549 2003</t>
  </si>
  <si>
    <t>0                      WA 0309000M  549         2003</t>
  </si>
  <si>
    <t>Mental health issues for sexual minority women : redefining women's mental health / Tonda L. Hughes, Carrol Smith, Alice Dan, editors.</t>
  </si>
  <si>
    <t>New York : Harrington Park Press, 2003.</t>
  </si>
  <si>
    <t>910152389:eng</t>
  </si>
  <si>
    <t>50960707</t>
  </si>
  <si>
    <t>991000371279702656</t>
  </si>
  <si>
    <t>2256189460002656</t>
  </si>
  <si>
    <t>9781560233107</t>
  </si>
  <si>
    <t>30001004509149</t>
  </si>
  <si>
    <t>893466231</t>
  </si>
  <si>
    <t>WA309 N424w 2003</t>
  </si>
  <si>
    <t>0                      WA 0309000N  424w        2003</t>
  </si>
  <si>
    <t>Women of color and the reproductive rights movement / Jennifer Nelson.</t>
  </si>
  <si>
    <t>Nelson, Jennifer, 1967-</t>
  </si>
  <si>
    <t>New York : New York University Press, c2003.</t>
  </si>
  <si>
    <t>708215:eng</t>
  </si>
  <si>
    <t>52203414</t>
  </si>
  <si>
    <t>991000373089702656</t>
  </si>
  <si>
    <t>2259474550002656</t>
  </si>
  <si>
    <t>9780814758212</t>
  </si>
  <si>
    <t>30001004921260</t>
  </si>
  <si>
    <t>893447248</t>
  </si>
  <si>
    <t>WA 309 N976 1996</t>
  </si>
  <si>
    <t>0                      WA 0309000N  976         1996</t>
  </si>
  <si>
    <t>Nutrition in women's health / [edited by] Debra A. Krummel, Penny M. Kris-Etherton.</t>
  </si>
  <si>
    <t>Gaithersburg, Md. : Aspen Publishers, c1996.</t>
  </si>
  <si>
    <t>2001-02-26</t>
  </si>
  <si>
    <t>1996-02-14</t>
  </si>
  <si>
    <t>357807935:eng</t>
  </si>
  <si>
    <t>32822170</t>
  </si>
  <si>
    <t>991001504909702656</t>
  </si>
  <si>
    <t>2264106640002656</t>
  </si>
  <si>
    <t>9780834206823</t>
  </si>
  <si>
    <t>30001003263946</t>
  </si>
  <si>
    <t>893149292</t>
  </si>
  <si>
    <t>WA309 N9765 2004</t>
  </si>
  <si>
    <t>0                      WA 0309000N  9765        2004</t>
  </si>
  <si>
    <t>Nutritional concerns of women / edited by Dorothy Klimis-Zacas, Ira Wolinsky.</t>
  </si>
  <si>
    <t>Boca Raton : CRC Press, c2004.</t>
  </si>
  <si>
    <t>CRC series in modern nutrition</t>
  </si>
  <si>
    <t>2005-10-27</t>
  </si>
  <si>
    <t>2005-10-25</t>
  </si>
  <si>
    <t>766866324:eng</t>
  </si>
  <si>
    <t>52127760</t>
  </si>
  <si>
    <t>991000445909702656</t>
  </si>
  <si>
    <t>2262626400002656</t>
  </si>
  <si>
    <t>9780849313370</t>
  </si>
  <si>
    <t>30001004913655</t>
  </si>
  <si>
    <t>893365483</t>
  </si>
  <si>
    <t>WA309 P652 2002</t>
  </si>
  <si>
    <t>0                      WA 0309000P  652         2002</t>
  </si>
  <si>
    <t>Primary care of women / editors, Karen J. Carlson, Stephanie A. Eisenstat ; associate editors, Fredric D. Frigoletto, Jr., Isaac Schiff.</t>
  </si>
  <si>
    <t>St. Louis : Mosby, c2002.</t>
  </si>
  <si>
    <t>2006-01-17</t>
  </si>
  <si>
    <t>2006-01-16</t>
  </si>
  <si>
    <t>350042723:eng</t>
  </si>
  <si>
    <t>48093223</t>
  </si>
  <si>
    <t>991000455459702656</t>
  </si>
  <si>
    <t>2263245110002656</t>
  </si>
  <si>
    <t>9780323010658</t>
  </si>
  <si>
    <t>30001004910479</t>
  </si>
  <si>
    <t>893354374</t>
  </si>
  <si>
    <t>WA309 P771c 1998</t>
  </si>
  <si>
    <t>0                      WA 0309000P  771c        1998</t>
  </si>
  <si>
    <t>Counseling women in prison / Joycelyn M. Pollock.</t>
  </si>
  <si>
    <t>Pollock, Joycelyn M., 1956-</t>
  </si>
  <si>
    <t>Women's mental health and development ; v. 3</t>
  </si>
  <si>
    <t>612905:eng</t>
  </si>
  <si>
    <t>37725461</t>
  </si>
  <si>
    <t>991000370799702656</t>
  </si>
  <si>
    <t>2255880700002656</t>
  </si>
  <si>
    <t>9780803973305</t>
  </si>
  <si>
    <t>30001004920163</t>
  </si>
  <si>
    <t>893452070</t>
  </si>
  <si>
    <t>WA 309 P9521 2004</t>
  </si>
  <si>
    <t>0                      WA 0309000P  9521        2004</t>
  </si>
  <si>
    <t>Primary care for women / edited by Phyllis C. Leppert, Jeffrey F. Peipert.</t>
  </si>
  <si>
    <t>Philadelphia : Lippincott Williams &amp; Wilkins, c2004.</t>
  </si>
  <si>
    <t>2006-09-11</t>
  </si>
  <si>
    <t>136235571:eng</t>
  </si>
  <si>
    <t>52208421</t>
  </si>
  <si>
    <t>991000537139702656</t>
  </si>
  <si>
    <t>2255159260002656</t>
  </si>
  <si>
    <t>9780781737906</t>
  </si>
  <si>
    <t>30001005120656</t>
  </si>
  <si>
    <t>893366815</t>
  </si>
  <si>
    <t>WA309 R318w 1999</t>
  </si>
  <si>
    <t>0                      WA 0309000R  318w        1999</t>
  </si>
  <si>
    <t>Women's health needs in patient education / Barbara K. Redman.</t>
  </si>
  <si>
    <t>Redman, Barbara Klug.</t>
  </si>
  <si>
    <t>New York : Springer Pub. Co., c1999.</t>
  </si>
  <si>
    <t>Springer series, focus on women</t>
  </si>
  <si>
    <t>2005-08-31</t>
  </si>
  <si>
    <t>966228:eng</t>
  </si>
  <si>
    <t>41231396</t>
  </si>
  <si>
    <t>991000372529702656</t>
  </si>
  <si>
    <t>2257765520002656</t>
  </si>
  <si>
    <t>9780826112644</t>
  </si>
  <si>
    <t>30001004509768</t>
  </si>
  <si>
    <t>893375492</t>
  </si>
  <si>
    <t>WA 309 T355 1998</t>
  </si>
  <si>
    <t>0                      WA 0309000T  355         1998</t>
  </si>
  <si>
    <t>Textbook of women's health / editor-in-chief, Lila A. Wallis ; associate editors, Anne S. Kasper ... [et al.].</t>
  </si>
  <si>
    <t>Philadelphia, PA : Lippincott-Raven, c1998.</t>
  </si>
  <si>
    <t>1998-02-27</t>
  </si>
  <si>
    <t>477305084:eng</t>
  </si>
  <si>
    <t>37553679</t>
  </si>
  <si>
    <t>991001306089702656</t>
  </si>
  <si>
    <t>2258773850002656</t>
  </si>
  <si>
    <t>9780316919913</t>
  </si>
  <si>
    <t>30001003749852</t>
  </si>
  <si>
    <t>893284667</t>
  </si>
  <si>
    <t>WA 309 W8712 1998</t>
  </si>
  <si>
    <t>0                      WA 0309000W  8712        1998</t>
  </si>
  <si>
    <t>Women's health : a primary care clinical guide / [edited by] Ellis Quinn Youngkin, Marcia Szmania Davis.</t>
  </si>
  <si>
    <t>796420194:eng</t>
  </si>
  <si>
    <t>37844439</t>
  </si>
  <si>
    <t>991001306269702656</t>
  </si>
  <si>
    <t>2264255290002656</t>
  </si>
  <si>
    <t>9780838596401</t>
  </si>
  <si>
    <t>30001003749902</t>
  </si>
  <si>
    <t>893374436</t>
  </si>
  <si>
    <t>WA 309 W8713 1997</t>
  </si>
  <si>
    <t>0                      WA 0309000W  8713        1997</t>
  </si>
  <si>
    <t>Women's health across the lifespan : a comprehensive perspective / Karen Moses Allen, Janice Mitchell Phillips.</t>
  </si>
  <si>
    <t>Allen, Karen M. (Karen Moses)</t>
  </si>
  <si>
    <t>Philadelphia : Lippincott, c1997.</t>
  </si>
  <si>
    <t>2001-02-12</t>
  </si>
  <si>
    <t>1997-06-09</t>
  </si>
  <si>
    <t>141751238:eng</t>
  </si>
  <si>
    <t>34767506</t>
  </si>
  <si>
    <t>991001556269702656</t>
  </si>
  <si>
    <t>2270772640002656</t>
  </si>
  <si>
    <t>9780397552160</t>
  </si>
  <si>
    <t>30001003670991</t>
  </si>
  <si>
    <t>893468022</t>
  </si>
  <si>
    <t>WA309 W87345 2004</t>
  </si>
  <si>
    <t>0                      WA 0309000W  87345       2004</t>
  </si>
  <si>
    <t>Women's health in mid-life : a primary care guide / edited by Jo Ann Rosenfeld.</t>
  </si>
  <si>
    <t>Cambridge, UK ; New York, NY : Cambridge, 2004.</t>
  </si>
  <si>
    <t>2004-10-31</t>
  </si>
  <si>
    <t>2004-10-29</t>
  </si>
  <si>
    <t>865186756:eng</t>
  </si>
  <si>
    <t>52819760</t>
  </si>
  <si>
    <t>991000405319702656</t>
  </si>
  <si>
    <t>2268248380002656</t>
  </si>
  <si>
    <t>9780521823401</t>
  </si>
  <si>
    <t>30001004924223</t>
  </si>
  <si>
    <t>893163405</t>
  </si>
  <si>
    <t>WA 309 W8738 2003</t>
  </si>
  <si>
    <t>0                      WA 0309000W  8738        2003</t>
  </si>
  <si>
    <t>Women's health nursing : toward evidence-based practice / [edited by] Eileen T. Breslin, Vicki A. Lucas.</t>
  </si>
  <si>
    <t>St. Louis, Mo. : Saunders, c2003.</t>
  </si>
  <si>
    <t>2003-11-06</t>
  </si>
  <si>
    <t>839793483:eng</t>
  </si>
  <si>
    <t>52511006</t>
  </si>
  <si>
    <t>991001723499702656</t>
  </si>
  <si>
    <t>2263697700002656</t>
  </si>
  <si>
    <t>9780721674230</t>
  </si>
  <si>
    <t>30001004507473</t>
  </si>
  <si>
    <t>893377523</t>
  </si>
  <si>
    <t>WA 309 W8743 1997</t>
  </si>
  <si>
    <t>0                      WA 0309000W  8743        1997</t>
  </si>
  <si>
    <t>Women's health research : a medical and policy primer / Society for the Advancement of Women's Health Research ; Florence P. Haseltine, editor ; Beverly Greenberg Jacobson, executive editor ; Lynne Beauregard ... [et al.].</t>
  </si>
  <si>
    <t>Washington, DC : Health Press International, c1997.</t>
  </si>
  <si>
    <t>1999-02-26</t>
  </si>
  <si>
    <t>1997-09-19</t>
  </si>
  <si>
    <t>474885431:eng</t>
  </si>
  <si>
    <t>35657907</t>
  </si>
  <si>
    <t>991001563199702656</t>
  </si>
  <si>
    <t>2256900640002656</t>
  </si>
  <si>
    <t>9780880487917</t>
  </si>
  <si>
    <t>30001003626084</t>
  </si>
  <si>
    <t>893374739</t>
  </si>
  <si>
    <t>WA 309 Z58w 1998</t>
  </si>
  <si>
    <t>0                      WA 0309000Z  58w         1998</t>
  </si>
  <si>
    <t>Women's mental health in primary care / Kathryn J. Zerbe.</t>
  </si>
  <si>
    <t>Zerbe, Kathryn J., 1951-</t>
  </si>
  <si>
    <t>Philadelphia : W.B. Saunders, c1999</t>
  </si>
  <si>
    <t>2000-05-20</t>
  </si>
  <si>
    <t>1999-09-24</t>
  </si>
  <si>
    <t>42266936:eng</t>
  </si>
  <si>
    <t>39131260</t>
  </si>
  <si>
    <t>991000595529702656</t>
  </si>
  <si>
    <t>2264507450002656</t>
  </si>
  <si>
    <t>9780721672397</t>
  </si>
  <si>
    <t>30001004014884</t>
  </si>
  <si>
    <t>893118527</t>
  </si>
  <si>
    <t>WA 309 Z999 2000</t>
  </si>
  <si>
    <t>0                      WA 0309000Z  999         2000</t>
  </si>
  <si>
    <t>20 common problems in women's health care / editors, Mindy A. Smith, Leslie A. Shimp.</t>
  </si>
  <si>
    <t>New York : McGraw-Hill, Health Professions Division, c2000.</t>
  </si>
  <si>
    <t>20 common problems</t>
  </si>
  <si>
    <t>353587948:eng</t>
  </si>
  <si>
    <t>41926137</t>
  </si>
  <si>
    <t>991000537089702656</t>
  </si>
  <si>
    <t>2255164250002656</t>
  </si>
  <si>
    <t>9780070697676</t>
  </si>
  <si>
    <t>30001005120532</t>
  </si>
  <si>
    <t>893143398</t>
  </si>
  <si>
    <t>WA 310 F363p 1987</t>
  </si>
  <si>
    <t>0                      WA 0310000F  363p        1987</t>
  </si>
  <si>
    <t>The population policy of Sri Lanka : an ethical evaluation in the light of Catholic moral theology / Emmanuel F. Fernando.</t>
  </si>
  <si>
    <t>Fernando, Emmanuel F.</t>
  </si>
  <si>
    <t>Ann Arbor, Mich. : U.M.I. Dissertation Services, 1990, c1987.</t>
  </si>
  <si>
    <t xml:space="preserve">xx </t>
  </si>
  <si>
    <t>1990-08-28</t>
  </si>
  <si>
    <t>22633073:eng</t>
  </si>
  <si>
    <t>21135734</t>
  </si>
  <si>
    <t>991001453409702656</t>
  </si>
  <si>
    <t>2265510730002656</t>
  </si>
  <si>
    <t>30001001884057</t>
  </si>
  <si>
    <t>893638329</t>
  </si>
  <si>
    <t>WA 310 M425 1989-91</t>
  </si>
  <si>
    <t>0                      WA 0310000M  425         1989                                        -91</t>
  </si>
  <si>
    <t>Maternal and child health research program : completed projects 1989, 1990 and 1991 / supported by Maternal and Child Health Bureau, Health Resources and Services Administration, Public Health Service, U.S. Department of Health and Human Services.</t>
  </si>
  <si>
    <t>Arlington, Va. : National Center for Education in Maternal and Child Health, [1993]</t>
  </si>
  <si>
    <t>2007-03-05</t>
  </si>
  <si>
    <t>1995-02-22</t>
  </si>
  <si>
    <t>9254500608:eng</t>
  </si>
  <si>
    <t>30116083</t>
  </si>
  <si>
    <t>991000686679702656</t>
  </si>
  <si>
    <t>2261187790002656</t>
  </si>
  <si>
    <t>30001002699223</t>
  </si>
  <si>
    <t>893272836</t>
  </si>
  <si>
    <t>WA 310 M4254 1990</t>
  </si>
  <si>
    <t>0                      WA 0310000M  4254        1990</t>
  </si>
  <si>
    <t>Maternal-child health policy : a nursing perspective / Janet Nielson Natapoff, Rita Reis Wieczorek, editors.</t>
  </si>
  <si>
    <t>1998-07-07</t>
  </si>
  <si>
    <t>1990-06-15</t>
  </si>
  <si>
    <t>967528:eng</t>
  </si>
  <si>
    <t>21038130</t>
  </si>
  <si>
    <t>991001449299702656</t>
  </si>
  <si>
    <t>2271944800002656</t>
  </si>
  <si>
    <t>9780826160508</t>
  </si>
  <si>
    <t>30001001882341</t>
  </si>
  <si>
    <t>893743794</t>
  </si>
  <si>
    <t>WA 310 P876 1992</t>
  </si>
  <si>
    <t>0                      WA 0310000P  876         1992</t>
  </si>
  <si>
    <t>A Pound of prevention : the case for universal maternity care in the U.S. / edited by Jonathan B. Kotch ... [et al.].</t>
  </si>
  <si>
    <t>Washington, DC : American Public Health Association, c1992.</t>
  </si>
  <si>
    <t>1996-12-03</t>
  </si>
  <si>
    <t>1992-03-12</t>
  </si>
  <si>
    <t>1017185033:eng</t>
  </si>
  <si>
    <t>29029388</t>
  </si>
  <si>
    <t>991001033529702656</t>
  </si>
  <si>
    <t>2264913110002656</t>
  </si>
  <si>
    <t>9780875532066</t>
  </si>
  <si>
    <t>30001002244269</t>
  </si>
  <si>
    <t>893268001</t>
  </si>
  <si>
    <t>WA 320 A512h 1987</t>
  </si>
  <si>
    <t>0                      WA 0320000A  512h        1987</t>
  </si>
  <si>
    <t>Health in day care : a manual for health professionals / author: Committee on Early Childhood Adoption and Dependent Care, American Academy of Pediatrics ; Selma R. Deitch, editor.</t>
  </si>
  <si>
    <t>American Academy of Pediatrics. Committee on Early Childhood, Adoption, and Dependent Care.</t>
  </si>
  <si>
    <t>Elk Grove Village, Ill. : American Academy of Pediatrics, c1987.</t>
  </si>
  <si>
    <t>1988-01-12</t>
  </si>
  <si>
    <t>16357213:eng</t>
  </si>
  <si>
    <t>18053518</t>
  </si>
  <si>
    <t>991001537279702656</t>
  </si>
  <si>
    <t>2257186490002656</t>
  </si>
  <si>
    <t>30001000623449</t>
  </si>
  <si>
    <t>893268590</t>
  </si>
  <si>
    <t>WA 320 A654 1996</t>
  </si>
  <si>
    <t>0                      WA 0320000A  654         1996</t>
  </si>
  <si>
    <t>The APSAC handbook on child maltreatment / editors, John Briere ... [et al.].</t>
  </si>
  <si>
    <t>2008-12-22</t>
  </si>
  <si>
    <t>1997-06-20</t>
  </si>
  <si>
    <t>3373116964:eng</t>
  </si>
  <si>
    <t>33245139</t>
  </si>
  <si>
    <t>991001668799702656</t>
  </si>
  <si>
    <t>2257211620002656</t>
  </si>
  <si>
    <t>9780803955967</t>
  </si>
  <si>
    <t>30001003682962</t>
  </si>
  <si>
    <t>893121657</t>
  </si>
  <si>
    <t>WA 320 B694m 1989</t>
  </si>
  <si>
    <t>0                      WA 0320000B  694m        1989</t>
  </si>
  <si>
    <t>Males at risk : the other side of child sexual abuse / Frank G. Bolton, Jr., Larry A. Morris, Ann E. MacEachron.</t>
  </si>
  <si>
    <t>Bolton, Frank G.</t>
  </si>
  <si>
    <t>Newbury Park, Calif. : Sage Publications, c1989.</t>
  </si>
  <si>
    <t>1996-09-12</t>
  </si>
  <si>
    <t>1989-05-30</t>
  </si>
  <si>
    <t>836705760:eng</t>
  </si>
  <si>
    <t>19814634</t>
  </si>
  <si>
    <t>991001249309702656</t>
  </si>
  <si>
    <t>2268069890002656</t>
  </si>
  <si>
    <t>9780803932371</t>
  </si>
  <si>
    <t>30001001678525</t>
  </si>
  <si>
    <t>893541158</t>
  </si>
  <si>
    <t>WA 320 C53401 1979</t>
  </si>
  <si>
    <t>0                      WA 0320000C  53401       1979</t>
  </si>
  <si>
    <t>Child abuse and violence / edited for the American Orthopsychiatric Association by David G. Gil.</t>
  </si>
  <si>
    <t>New York : AMS Press, c1979.</t>
  </si>
  <si>
    <t>1995-11-07</t>
  </si>
  <si>
    <t>1988-01-06</t>
  </si>
  <si>
    <t>351871270:eng</t>
  </si>
  <si>
    <t>4516045</t>
  </si>
  <si>
    <t>991000725609702656</t>
  </si>
  <si>
    <t>2266430490002656</t>
  </si>
  <si>
    <t>9780404160449</t>
  </si>
  <si>
    <t>30001000706822</t>
  </si>
  <si>
    <t>893726608</t>
  </si>
  <si>
    <t>WA 320 C534013 1981</t>
  </si>
  <si>
    <t>0                      WA 0320000C  534013      1981</t>
  </si>
  <si>
    <t>Child abuse and neglect : a medical reference / edited by Norman S. Ellerstein.</t>
  </si>
  <si>
    <t>New York : Wiley, c1981.</t>
  </si>
  <si>
    <t>1981</t>
  </si>
  <si>
    <t>2001-05-06</t>
  </si>
  <si>
    <t>906789829:eng</t>
  </si>
  <si>
    <t>7462857</t>
  </si>
  <si>
    <t>991000725889702656</t>
  </si>
  <si>
    <t>2264125050002656</t>
  </si>
  <si>
    <t>9780471058779</t>
  </si>
  <si>
    <t>30001000706871</t>
  </si>
  <si>
    <t>893545715</t>
  </si>
  <si>
    <t>WA 320 C53413 1983</t>
  </si>
  <si>
    <t>0                      WA 0320000C  53413       1983</t>
  </si>
  <si>
    <t>Child abuse and neglect : a guide with case studies for treating the child and family / edited by Nancy B. Ebeling, Deborah A. Hill.</t>
  </si>
  <si>
    <t>Boston : Wright-PSG, c1983.</t>
  </si>
  <si>
    <t>1983</t>
  </si>
  <si>
    <t>1993-11-13</t>
  </si>
  <si>
    <t>375319080:eng</t>
  </si>
  <si>
    <t>8532291</t>
  </si>
  <si>
    <t>991000725929702656</t>
  </si>
  <si>
    <t>2254754910002656</t>
  </si>
  <si>
    <t>9780723670407</t>
  </si>
  <si>
    <t>30001000706897</t>
  </si>
  <si>
    <t>893831124</t>
  </si>
  <si>
    <t>WA 320 C53483 1998</t>
  </si>
  <si>
    <t>0                      WA 0320000C  53483       1998</t>
  </si>
  <si>
    <t>Child maltreatment / [edited by] James A. Monteleone.</t>
  </si>
  <si>
    <t>St. Louis, Mo. : G.W. Medical Pub., c1998.</t>
  </si>
  <si>
    <t>1998-03-26</t>
  </si>
  <si>
    <t>2909328919:eng</t>
  </si>
  <si>
    <t>37663546</t>
  </si>
  <si>
    <t>991001427389702656</t>
  </si>
  <si>
    <t>2268948810002656</t>
  </si>
  <si>
    <t>9781878060228</t>
  </si>
  <si>
    <t>30001003860527</t>
  </si>
  <si>
    <t>893832170</t>
  </si>
  <si>
    <t>1998-03-24</t>
  </si>
  <si>
    <t>30001003860485</t>
  </si>
  <si>
    <t>893834667</t>
  </si>
  <si>
    <t>WA 320 C536 1988</t>
  </si>
  <si>
    <t>0                      WA 0320000C  536         1988</t>
  </si>
  <si>
    <t>Child sexual abuse within the family : assessment and treatment : the work of the Great Ormond Street Sexual Abuse Team / edited by Arnon Bentovim ... [et al.]</t>
  </si>
  <si>
    <t>London : Wright, c1988.</t>
  </si>
  <si>
    <t>1988-12-28</t>
  </si>
  <si>
    <t>836714292:eng</t>
  </si>
  <si>
    <t>20017322</t>
  </si>
  <si>
    <t>991001108739702656</t>
  </si>
  <si>
    <t>2266442120002656</t>
  </si>
  <si>
    <t>9780723606345</t>
  </si>
  <si>
    <t>30001001611641</t>
  </si>
  <si>
    <t>893736213</t>
  </si>
  <si>
    <t>WA 320 C53612 1984</t>
  </si>
  <si>
    <t>0                      WA 0320000C  53612       1984</t>
  </si>
  <si>
    <t>Child abuse / edited by A. Carmi and H. Zimrin ; with contributions by O. Ayalon ... [et al.].</t>
  </si>
  <si>
    <t>Berlin ; New York : Springer-Verlag, c1984.</t>
  </si>
  <si>
    <t>1984</t>
  </si>
  <si>
    <t xml:space="preserve">gw </t>
  </si>
  <si>
    <t>Medicolegal library ; 1</t>
  </si>
  <si>
    <t>1995-11-13</t>
  </si>
  <si>
    <t>364140358:eng</t>
  </si>
  <si>
    <t>10403496</t>
  </si>
  <si>
    <t>991000725569702656</t>
  </si>
  <si>
    <t>2267169820002656</t>
  </si>
  <si>
    <t>9780387124711</t>
  </si>
  <si>
    <t>30001000706814</t>
  </si>
  <si>
    <t>893642360</t>
  </si>
  <si>
    <t>WA 320 C5365 1986</t>
  </si>
  <si>
    <t>0                      WA 0320000C  5365        1986</t>
  </si>
  <si>
    <t>Children and health care : moral and social issues / edited by Loretta M. Kopelman and John C. Moskop.</t>
  </si>
  <si>
    <t>Dordrecht ; Boston : Kluwer Academic Publishers, c1989.</t>
  </si>
  <si>
    <t>Philosophy and medicine ; v. 33</t>
  </si>
  <si>
    <t>1998-03-27</t>
  </si>
  <si>
    <t>1989-01-10</t>
  </si>
  <si>
    <t>1090716677:eng</t>
  </si>
  <si>
    <t>18136905</t>
  </si>
  <si>
    <t>991001109449702656</t>
  </si>
  <si>
    <t>2271256560002656</t>
  </si>
  <si>
    <t>9781556080784</t>
  </si>
  <si>
    <t>30001001611773</t>
  </si>
  <si>
    <t>893168022</t>
  </si>
  <si>
    <t>WA 320 C53652 1990</t>
  </si>
  <si>
    <t>0                      WA 0320000C  53652       1990</t>
  </si>
  <si>
    <t>Children in a changing health system : assessments and proposals for reform / edited by Mark J. Schlesinger and Leon Eisenberg.</t>
  </si>
  <si>
    <t>Baltimore : Johns Hopkins University Press, c1990.</t>
  </si>
  <si>
    <t>The Johns Hopkins series in contemporary medicine and public health.</t>
  </si>
  <si>
    <t>1992-12-03</t>
  </si>
  <si>
    <t>1992-11-23</t>
  </si>
  <si>
    <t>906220934:eng</t>
  </si>
  <si>
    <t>20358394</t>
  </si>
  <si>
    <t>991001347139702656</t>
  </si>
  <si>
    <t>2272770520002656</t>
  </si>
  <si>
    <t>9780801839733</t>
  </si>
  <si>
    <t>30001002457754</t>
  </si>
  <si>
    <t>893546593</t>
  </si>
  <si>
    <t>WA 320 C842c 1972</t>
  </si>
  <si>
    <t>0                      WA 0320000C  842c        1972</t>
  </si>
  <si>
    <t>Child welfare : policies and practice / Lela B. Costin.</t>
  </si>
  <si>
    <t>Costin, Lela B.</t>
  </si>
  <si>
    <t>New York : McGraw-Hill, c1979.</t>
  </si>
  <si>
    <t>-- 2d ed. --</t>
  </si>
  <si>
    <t>1997-11-21</t>
  </si>
  <si>
    <t>3396233:eng</t>
  </si>
  <si>
    <t>4114574</t>
  </si>
  <si>
    <t>991000725729702656</t>
  </si>
  <si>
    <t>2271878210002656</t>
  </si>
  <si>
    <t>9780070132061</t>
  </si>
  <si>
    <t>30001000706830</t>
  </si>
  <si>
    <t>893160938</t>
  </si>
  <si>
    <t>WA320 E915 2000</t>
  </si>
  <si>
    <t>0                      WA 0320000E  915         2000</t>
  </si>
  <si>
    <t>Evaluation of the sexually abused child : a medical textbook and photographic atlas / [edited by] Astrid H. Heger, S. Jean Emans, David Muram ... [et al.].</t>
  </si>
  <si>
    <t>New York : Oxford University Press, c2000.</t>
  </si>
  <si>
    <t>2002-11-17</t>
  </si>
  <si>
    <t>2002-06-27</t>
  </si>
  <si>
    <t>866308113:eng</t>
  </si>
  <si>
    <t>64389654</t>
  </si>
  <si>
    <t>991000318799702656</t>
  </si>
  <si>
    <t>2258506740002656</t>
  </si>
  <si>
    <t>9780195131260</t>
  </si>
  <si>
    <t>30001004239721</t>
  </si>
  <si>
    <t>893456554</t>
  </si>
  <si>
    <t>WA 320 E93s 1989</t>
  </si>
  <si>
    <t>0                      WA 0320000E  93s         1989</t>
  </si>
  <si>
    <t>Sexual trauma in children and adolescents : dynamics and treatment / by Diana Sullivan Everstine &amp; Louis Everstine.</t>
  </si>
  <si>
    <t>Everstine, Diana Sullivan, 1944-</t>
  </si>
  <si>
    <t>New York : Brunner/Mazel, c1989.</t>
  </si>
  <si>
    <t>1989-09-12</t>
  </si>
  <si>
    <t>865283606:eng</t>
  </si>
  <si>
    <t>18414184</t>
  </si>
  <si>
    <t>991001316539702656</t>
  </si>
  <si>
    <t>2257552390002656</t>
  </si>
  <si>
    <t>9780876305294</t>
  </si>
  <si>
    <t>30001001753047</t>
  </si>
  <si>
    <t>893638228</t>
  </si>
  <si>
    <t>WA 320 G228p 1987</t>
  </si>
  <si>
    <t>0                      WA 0320000G  228p        1987</t>
  </si>
  <si>
    <t>The parental alienation syndrome and the differentiation between fabricated and genuine child sex abuse / Richard A. Gardner.</t>
  </si>
  <si>
    <t>Gardner, Richard A.</t>
  </si>
  <si>
    <t>Cresskill, N.J. : Creative Therapeutics, c1987.</t>
  </si>
  <si>
    <t>1997-10-13</t>
  </si>
  <si>
    <t>1988-02-05</t>
  </si>
  <si>
    <t>499521711:eng</t>
  </si>
  <si>
    <t>16831935</t>
  </si>
  <si>
    <t>991001539419702656</t>
  </si>
  <si>
    <t>2263618450002656</t>
  </si>
  <si>
    <t>9780933812178</t>
  </si>
  <si>
    <t>30001000624520</t>
  </si>
  <si>
    <t>893561068</t>
  </si>
  <si>
    <t>WA 320 G313h 1979</t>
  </si>
  <si>
    <t>0                      WA 0320000G  313h        1979</t>
  </si>
  <si>
    <t>Hidden victims : the sexual abuse of children / Robert L. Geiser.</t>
  </si>
  <si>
    <t>Geiser, Robert L.</t>
  </si>
  <si>
    <t>Boston : Beacon Press, c1979.</t>
  </si>
  <si>
    <t>1994-01-07</t>
  </si>
  <si>
    <t>889644599:eng</t>
  </si>
  <si>
    <t>5147388</t>
  </si>
  <si>
    <t>991000726049702656</t>
  </si>
  <si>
    <t>2256593340002656</t>
  </si>
  <si>
    <t>9780807029541</t>
  </si>
  <si>
    <t>30001000706913</t>
  </si>
  <si>
    <t>893160939</t>
  </si>
  <si>
    <t>WA320 G946 2000</t>
  </si>
  <si>
    <t>0                      WA 0320000G  946         2000</t>
  </si>
  <si>
    <t>Guidelines for the care of migrant farmworkers' children.</t>
  </si>
  <si>
    <t>Elk Grove Village, IL : American Academy of Pediatrics, c2000.</t>
  </si>
  <si>
    <t>5578097603:eng</t>
  </si>
  <si>
    <t>45274750</t>
  </si>
  <si>
    <t>991000371039702656</t>
  </si>
  <si>
    <t>2262839020002656</t>
  </si>
  <si>
    <t>9781581100440</t>
  </si>
  <si>
    <t>30001004920312</t>
  </si>
  <si>
    <t>893452073</t>
  </si>
  <si>
    <t>WA 320 H2365 1988</t>
  </si>
  <si>
    <t>0                      WA 0320000H  2365        1988</t>
  </si>
  <si>
    <t>Handbook on sexual abuse of children : assessment and treatment issues / Lenore E. Auerbach Walker, editor.</t>
  </si>
  <si>
    <t>New York : Springer, c1988.</t>
  </si>
  <si>
    <t>1988-10-08</t>
  </si>
  <si>
    <t>889626325:eng</t>
  </si>
  <si>
    <t>17300245</t>
  </si>
  <si>
    <t>991001424899702656</t>
  </si>
  <si>
    <t>2267912650002656</t>
  </si>
  <si>
    <t>9780826153005</t>
  </si>
  <si>
    <t>30001001183880</t>
  </si>
  <si>
    <t>893460577</t>
  </si>
  <si>
    <t>WA 320 I61p 1990</t>
  </si>
  <si>
    <t>0                      WA 0320000I  61p         1990</t>
  </si>
  <si>
    <t>Protecting the world's children : a call for action : proceedings / the Fourth International Child Survival Conference, Bangkok, Thailand, March 1-3, 1990.</t>
  </si>
  <si>
    <t>International Child Survival Conference (4th : 1990 : Bangkok, Thailand)</t>
  </si>
  <si>
    <t>[Atlanta, GA] : Task Force for Child Survival, [1990]</t>
  </si>
  <si>
    <t>1990-10-01</t>
  </si>
  <si>
    <t>1862819239:eng</t>
  </si>
  <si>
    <t>22651558</t>
  </si>
  <si>
    <t>991001549759702656</t>
  </si>
  <si>
    <t>2255929390002656</t>
  </si>
  <si>
    <t>30001002060822</t>
  </si>
  <si>
    <t>893377334</t>
  </si>
  <si>
    <t>WA 320 K46 1990</t>
  </si>
  <si>
    <t>0                      WA 0320000K  46          1990</t>
  </si>
  <si>
    <t>Kids' clout : Americans' attitudes on children's issues / a publication of the "I Care for Kids--And I Vote" nonpartisan voter education project of NACHRI.</t>
  </si>
  <si>
    <t>Alexandria, VA : NACHRI, c1990.</t>
  </si>
  <si>
    <t>1991-12-18</t>
  </si>
  <si>
    <t>1991-11-26</t>
  </si>
  <si>
    <t>26659112:eng</t>
  </si>
  <si>
    <t>25108014</t>
  </si>
  <si>
    <t>991000949669702656</t>
  </si>
  <si>
    <t>2255903940002656</t>
  </si>
  <si>
    <t>30001002194712</t>
  </si>
  <si>
    <t>893831774</t>
  </si>
  <si>
    <t>WA 320 K64a 1991</t>
  </si>
  <si>
    <t>0                      WA 0320000K  64a         1991</t>
  </si>
  <si>
    <t>Alive and well? : a research and policy review of health programs for poor young children / Lorraine V. Klerman ; with the assistance of Maura B. Parker.</t>
  </si>
  <si>
    <t>Klerman, Lorraine V.</t>
  </si>
  <si>
    <t>New York, N.Y. : National Center for Children in Poverty, c1991.</t>
  </si>
  <si>
    <t>1997-02-25</t>
  </si>
  <si>
    <t>1991-04-17</t>
  </si>
  <si>
    <t>24509174:eng</t>
  </si>
  <si>
    <t>22733700</t>
  </si>
  <si>
    <t>991000828089702656</t>
  </si>
  <si>
    <t>2267248630002656</t>
  </si>
  <si>
    <t>9780926582026</t>
  </si>
  <si>
    <t>30001002089896</t>
  </si>
  <si>
    <t>893287037</t>
  </si>
  <si>
    <t>WA 320 L349 1988</t>
  </si>
  <si>
    <t>0                      WA 0320000L  349         1988</t>
  </si>
  <si>
    <t>Lasting effects of child sexual abuse / edited by Gail Elizabeth Wyatt, Gloria Johnson Powell.</t>
  </si>
  <si>
    <t>Newbury Park : Sage Publications, c1988.</t>
  </si>
  <si>
    <t>Sage focus editions ; 100</t>
  </si>
  <si>
    <t>353920099:eng</t>
  </si>
  <si>
    <t>17548506</t>
  </si>
  <si>
    <t>991001249439702656</t>
  </si>
  <si>
    <t>2259166420002656</t>
  </si>
  <si>
    <t>9780803932579</t>
  </si>
  <si>
    <t>30001001678566</t>
  </si>
  <si>
    <t>893161799</t>
  </si>
  <si>
    <t>WA 320 L378c 2003</t>
  </si>
  <si>
    <t>0                      WA 0320000L  378c        2003</t>
  </si>
  <si>
    <t>The covered smile : a true story / by Sonja Lauren.</t>
  </si>
  <si>
    <t>Lauren, Sonja, 1963-</t>
  </si>
  <si>
    <t>Richmond, Va. : Brandylane Pub., 2003.</t>
  </si>
  <si>
    <t>2003-05-27</t>
  </si>
  <si>
    <t>2003-05-15</t>
  </si>
  <si>
    <t>476881288:eng</t>
  </si>
  <si>
    <t>50912524</t>
  </si>
  <si>
    <t>991000347209702656</t>
  </si>
  <si>
    <t>2272734500002656</t>
  </si>
  <si>
    <t>9781883911522</t>
  </si>
  <si>
    <t>30001004640514</t>
  </si>
  <si>
    <t>893123006</t>
  </si>
  <si>
    <t>WA 320 M143s 1986</t>
  </si>
  <si>
    <t>0                      WA 0320000M  143s        1986</t>
  </si>
  <si>
    <t>Sexual abuse of young children : evaluation and treatment / Kee MacFarlane, Jill Waterman.</t>
  </si>
  <si>
    <t>MacFarlane, Kee.</t>
  </si>
  <si>
    <t>New York : Guilford Press, c1986.</t>
  </si>
  <si>
    <t>5608350:eng</t>
  </si>
  <si>
    <t>12972899</t>
  </si>
  <si>
    <t>991000726489702656</t>
  </si>
  <si>
    <t>2269514070002656</t>
  </si>
  <si>
    <t>9780898626759</t>
  </si>
  <si>
    <t>30001000706996</t>
  </si>
  <si>
    <t>893454778</t>
  </si>
  <si>
    <t>WA 320 M744m 1989</t>
  </si>
  <si>
    <t>0                      WA 0320000M  744m        1989</t>
  </si>
  <si>
    <t>Monitoring children's health : key indicators / C. Arden Miller, Amy Fine, Sharon Adams-Taylor.</t>
  </si>
  <si>
    <t>Miller, C. Arden.</t>
  </si>
  <si>
    <t>Washington, DC : American Public Health Association, c1989.</t>
  </si>
  <si>
    <t>2nd edition.</t>
  </si>
  <si>
    <t>1998-01-20</t>
  </si>
  <si>
    <t>429936270:eng</t>
  </si>
  <si>
    <t>26769079</t>
  </si>
  <si>
    <t>991001034049702656</t>
  </si>
  <si>
    <t>2257493070002656</t>
  </si>
  <si>
    <t>9780875531625</t>
  </si>
  <si>
    <t>30001002244368</t>
  </si>
  <si>
    <t>893826397</t>
  </si>
  <si>
    <t>WA 320 P9737 1986</t>
  </si>
  <si>
    <t>0                      WA 0320000P  9737        1986</t>
  </si>
  <si>
    <t>Psychiatric sequelae of child abuse : reconnaissance of child abuse and neglect evaluation, prospects, recommendations / [edited] by Jamia Jasper Jacobsen.</t>
  </si>
  <si>
    <t>Springfield, Ill., U.S.A. : Thomas, c1986.</t>
  </si>
  <si>
    <t>5659809:eng</t>
  </si>
  <si>
    <t>13122614</t>
  </si>
  <si>
    <t>991000726559702656</t>
  </si>
  <si>
    <t>2255348120002656</t>
  </si>
  <si>
    <t>9780398052331</t>
  </si>
  <si>
    <t>30001000707002</t>
  </si>
  <si>
    <t>893362908</t>
  </si>
  <si>
    <t>WA 320 R434 1997</t>
  </si>
  <si>
    <t>0                      WA 0320000R  434         1997</t>
  </si>
  <si>
    <t>Resource guide on children's environmental health.</t>
  </si>
  <si>
    <t>Emeryville, CA : Children's Environmental Health Network, 1997.</t>
  </si>
  <si>
    <t>1998-11-12</t>
  </si>
  <si>
    <t>56224608:eng</t>
  </si>
  <si>
    <t>37874010</t>
  </si>
  <si>
    <t>991000689329702656</t>
  </si>
  <si>
    <t>2268238820002656</t>
  </si>
  <si>
    <t>30001004035905</t>
  </si>
  <si>
    <t>893540234</t>
  </si>
  <si>
    <t>WA 320 R5697c 2003</t>
  </si>
  <si>
    <t>0                      WA 0320000R  5697c       2003</t>
  </si>
  <si>
    <t>Child maltreatment risk assessments : an evaluation guide / Sue Righthand, Bruce Kerr, Kerry Drach.</t>
  </si>
  <si>
    <t>Righthand, Sue.</t>
  </si>
  <si>
    <t>New York : Haworth Maltreatment and Trauma Press, c2003.</t>
  </si>
  <si>
    <t>837335159:eng</t>
  </si>
  <si>
    <t>50244094</t>
  </si>
  <si>
    <t>991000394569702656</t>
  </si>
  <si>
    <t>2267885470002656</t>
  </si>
  <si>
    <t>9780789012159</t>
  </si>
  <si>
    <t>30001004978484</t>
  </si>
  <si>
    <t>893827448</t>
  </si>
  <si>
    <t>WA 320 S319c 1988</t>
  </si>
  <si>
    <t>0                      WA 0320000S  319c        1988</t>
  </si>
  <si>
    <t>Child sexual abuse : a handbook for health care and legal professionals / by Diane H. Schetky and Arthur H. Green, with chapters by Martin A. Finkel, Judith V. Becker, Meg S. Kaplan.</t>
  </si>
  <si>
    <t>Schetky, Diane H., 1940-</t>
  </si>
  <si>
    <t>New York : Brunner/Mazel, c1988.</t>
  </si>
  <si>
    <t>1988-12-23</t>
  </si>
  <si>
    <t>911163320:eng</t>
  </si>
  <si>
    <t>17108332</t>
  </si>
  <si>
    <t>991001111929702656</t>
  </si>
  <si>
    <t>2269790250002656</t>
  </si>
  <si>
    <t>9780876304952</t>
  </si>
  <si>
    <t>30001001612284</t>
  </si>
  <si>
    <t>893736217</t>
  </si>
  <si>
    <t>WA 320 S797 1988</t>
  </si>
  <si>
    <t>0                      WA 0320000S  797         1988</t>
  </si>
  <si>
    <t>The State of the world's children 1988 / James P. Grant.</t>
  </si>
  <si>
    <t>Oxford ; New York : Published for UNICEF [by] Oxford University Press, c1988.</t>
  </si>
  <si>
    <t>1989-03-10</t>
  </si>
  <si>
    <t>1989-03-02</t>
  </si>
  <si>
    <t>3768643629:eng</t>
  </si>
  <si>
    <t>17802102</t>
  </si>
  <si>
    <t>991001240789702656</t>
  </si>
  <si>
    <t>2263396190002656</t>
  </si>
  <si>
    <t>9780192617231</t>
  </si>
  <si>
    <t>30001001675588</t>
  </si>
  <si>
    <t>893134367</t>
  </si>
  <si>
    <t>WA 320 S797 1990</t>
  </si>
  <si>
    <t>0                      WA 0320000S  797         1990</t>
  </si>
  <si>
    <t>The state of the world's children, 1990 / James P. Grant.</t>
  </si>
  <si>
    <t>Oxford, England : published for UNICEF [by] Oxford University Press, 1990.</t>
  </si>
  <si>
    <t>1992-09-22</t>
  </si>
  <si>
    <t>1990-01-12</t>
  </si>
  <si>
    <t>4916135264:eng</t>
  </si>
  <si>
    <t>21308351</t>
  </si>
  <si>
    <t>991001382659702656</t>
  </si>
  <si>
    <t>2257831260002656</t>
  </si>
  <si>
    <t>9780192619273</t>
  </si>
  <si>
    <t>30001001799099</t>
  </si>
  <si>
    <t>893268421</t>
  </si>
  <si>
    <t>WA 320 S797 1992</t>
  </si>
  <si>
    <t>0                      WA 0320000S  797         1992</t>
  </si>
  <si>
    <t>The state of the world's children 1992 / James P. Grant.</t>
  </si>
  <si>
    <t>Oxford ; New York : Oxford University Press for UNICEF, 1992.</t>
  </si>
  <si>
    <t>1994-08-11</t>
  </si>
  <si>
    <t>1992-03-25</t>
  </si>
  <si>
    <t>20506787:eng</t>
  </si>
  <si>
    <t>25637029</t>
  </si>
  <si>
    <t>991001034879702656</t>
  </si>
  <si>
    <t>2265642770002656</t>
  </si>
  <si>
    <t>9780192622280</t>
  </si>
  <si>
    <t>30001002244566</t>
  </si>
  <si>
    <t>893148817</t>
  </si>
  <si>
    <t>WA 320 S797 1994</t>
  </si>
  <si>
    <t>0                      WA 0320000S  797         1994</t>
  </si>
  <si>
    <t>The state of the world's children 1994 / James P. Grant.</t>
  </si>
  <si>
    <t>Grant, James P.</t>
  </si>
  <si>
    <t>Oxford ; New York : Oxford University Press for UNICEF, [1994]</t>
  </si>
  <si>
    <t>1994-08-23</t>
  </si>
  <si>
    <t>1994-08-18</t>
  </si>
  <si>
    <t>2865600736:eng</t>
  </si>
  <si>
    <t>29969219</t>
  </si>
  <si>
    <t>991001120159702656</t>
  </si>
  <si>
    <t>2255016960002656</t>
  </si>
  <si>
    <t>9780192624840</t>
  </si>
  <si>
    <t>30001002950311</t>
  </si>
  <si>
    <t>893455495</t>
  </si>
  <si>
    <t>WA380 F559u 2000</t>
  </si>
  <si>
    <t>0                      WA 0380000F  559u        2000</t>
  </si>
  <si>
    <t>Unhealthy places : the ecology of risk in the urban landscape / Kevin M. Fitzpatrick and Mark LaGory.</t>
  </si>
  <si>
    <t>Fitzpatrick, Kevin M.</t>
  </si>
  <si>
    <t>New York : Routledge, 2000.</t>
  </si>
  <si>
    <t>2010-11-07</t>
  </si>
  <si>
    <t>2002-03-25</t>
  </si>
  <si>
    <t>793912591:eng</t>
  </si>
  <si>
    <t>41981996</t>
  </si>
  <si>
    <t>991000307139702656</t>
  </si>
  <si>
    <t>2261767660002656</t>
  </si>
  <si>
    <t>9780415923712</t>
  </si>
  <si>
    <t>30001004237139</t>
  </si>
  <si>
    <t>893447174</t>
  </si>
  <si>
    <t>WA 380 U58 1995</t>
  </si>
  <si>
    <t>0                      WA 0380000U  58          1995</t>
  </si>
  <si>
    <t>The university in the urban community : responsibilities for public health / John R. Hogness, Christopher J. McLaughlin, Marian Osterweis, editors.</t>
  </si>
  <si>
    <t>Sun Valley, Idaho : Sun Valley Forum on National Health ; Washington, DC : Association of Academic Health Centers, c1995.</t>
  </si>
  <si>
    <t>idu</t>
  </si>
  <si>
    <t>1995-08-30</t>
  </si>
  <si>
    <t>34031270:eng</t>
  </si>
  <si>
    <t>31970546</t>
  </si>
  <si>
    <t>991001399029702656</t>
  </si>
  <si>
    <t>2270183670002656</t>
  </si>
  <si>
    <t>9781879694095</t>
  </si>
  <si>
    <t>30001003147206</t>
  </si>
  <si>
    <t>893727536</t>
  </si>
  <si>
    <t>WA 390 C536 1972</t>
  </si>
  <si>
    <t>0                      WA 0390000C  536         1972</t>
  </si>
  <si>
    <t>Child care in rural America / Advisory editors: David J. Rothman, Sheila M. Rothman.</t>
  </si>
  <si>
    <t>-- New York : Arno Press, 1972.</t>
  </si>
  <si>
    <t>1972</t>
  </si>
  <si>
    <t>|||</t>
  </si>
  <si>
    <t>Family in America</t>
  </si>
  <si>
    <t>1151002477:eng</t>
  </si>
  <si>
    <t>369811</t>
  </si>
  <si>
    <t>991000724849702656</t>
  </si>
  <si>
    <t>2262105450002656</t>
  </si>
  <si>
    <t>9780405038846</t>
  </si>
  <si>
    <t>30001000706608</t>
  </si>
  <si>
    <t>893726607</t>
  </si>
  <si>
    <t>WA 390 E96 1994</t>
  </si>
  <si>
    <t>0                      WA 0390000E  96          1994</t>
  </si>
  <si>
    <t>Exploring rural medicine : current issues and concepts / Barbara P. Yawn, Angeline Bushy, Roy A. Yawn, editors.</t>
  </si>
  <si>
    <t>2005-06-24</t>
  </si>
  <si>
    <t>30841596:eng</t>
  </si>
  <si>
    <t>28634390</t>
  </si>
  <si>
    <t>991001397159702656</t>
  </si>
  <si>
    <t>2257285210002656</t>
  </si>
  <si>
    <t>9780803948518</t>
  </si>
  <si>
    <t>30001003146398</t>
  </si>
  <si>
    <t>893279037</t>
  </si>
  <si>
    <t>WA 390 M291r 1948</t>
  </si>
  <si>
    <t>0                      WA 0390000M  291r        1948</t>
  </si>
  <si>
    <t>Rural health and medical care / by Frederick D. Mott and Milton I. Roemer.</t>
  </si>
  <si>
    <t>Mott, Frederick D. (Frederick Dodge), 1904-</t>
  </si>
  <si>
    <t>New York : McGraw-Hill Book Co., c1948.</t>
  </si>
  <si>
    <t>1948</t>
  </si>
  <si>
    <t>McGraw-Hill series in health science</t>
  </si>
  <si>
    <t>2000-04-25</t>
  </si>
  <si>
    <t>2407305:eng</t>
  </si>
  <si>
    <t>1610511</t>
  </si>
  <si>
    <t>991000724949702656</t>
  </si>
  <si>
    <t>2268706480002656</t>
  </si>
  <si>
    <t>30001000706640</t>
  </si>
  <si>
    <t>893357442</t>
  </si>
  <si>
    <t>WA 390 M992m 1983</t>
  </si>
  <si>
    <t>0                      WA 0390000M  992m        1983</t>
  </si>
  <si>
    <t>Medical practice in rural communities / Cornelia F. Mutel, Kelley J. Donham, with a foreward by Milton I. Roemer.</t>
  </si>
  <si>
    <t>Mutel, Cornelia Fleischer.</t>
  </si>
  <si>
    <t>New York : Springer-Verlag, c1983.</t>
  </si>
  <si>
    <t>1988-02-29</t>
  </si>
  <si>
    <t>1780195270:eng</t>
  </si>
  <si>
    <t>9785228</t>
  </si>
  <si>
    <t>991000724989702656</t>
  </si>
  <si>
    <t>2262517530002656</t>
  </si>
  <si>
    <t>9780387912240</t>
  </si>
  <si>
    <t>30001000706657</t>
  </si>
  <si>
    <t>893368386</t>
  </si>
  <si>
    <t>WA 390 R116c 2004</t>
  </si>
  <si>
    <t>0                      WA 0390000R  116c        2004</t>
  </si>
  <si>
    <t>Caring for the country : family doctors in small rural towns / Howard K. Rabinowitz.</t>
  </si>
  <si>
    <t>Rabinowitz, Howard K.</t>
  </si>
  <si>
    <t>New York : Springer, c2004.</t>
  </si>
  <si>
    <t>2008-08-11</t>
  </si>
  <si>
    <t>899391431:eng</t>
  </si>
  <si>
    <t>54073927</t>
  </si>
  <si>
    <t>991000906879702656</t>
  </si>
  <si>
    <t>2261075180002656</t>
  </si>
  <si>
    <t>9780387209784</t>
  </si>
  <si>
    <t>30001005294782</t>
  </si>
  <si>
    <t>893740570</t>
  </si>
  <si>
    <t>WA 390 W195r 1981</t>
  </si>
  <si>
    <t>0                      WA 0390000W  195r        1981</t>
  </si>
  <si>
    <t>Rural medicine : obstacles and solutions for self-sufficiency / Stanley S. Wallack, Sandra E. Kretz.</t>
  </si>
  <si>
    <t>Wallack, Stanley.</t>
  </si>
  <si>
    <t>Lexington, Mass. : Lexington Books, c1981.</t>
  </si>
  <si>
    <t>836663556:eng</t>
  </si>
  <si>
    <t>7459329</t>
  </si>
  <si>
    <t>991000725099702656</t>
  </si>
  <si>
    <t>2254741340002656</t>
  </si>
  <si>
    <t>9780669036916</t>
  </si>
  <si>
    <t>30001000706707</t>
  </si>
  <si>
    <t>893831123</t>
  </si>
  <si>
    <t>WA 395 A298h 1995</t>
  </si>
  <si>
    <t>0                      WA 0395000A  298h        1995</t>
  </si>
  <si>
    <t>Health and culture : beyond the western paradigm / Collins O. Airhihenbuwa.</t>
  </si>
  <si>
    <t>Airhihenbuwa, Collins O.</t>
  </si>
  <si>
    <t>Thousand Oaks, Calif. : Sage Publishers, c1995.</t>
  </si>
  <si>
    <t>1998-12-11</t>
  </si>
  <si>
    <t>1995-06-05</t>
  </si>
  <si>
    <t>349909330:eng</t>
  </si>
  <si>
    <t>31900679</t>
  </si>
  <si>
    <t>991001400739702656</t>
  </si>
  <si>
    <t>2264591180002656</t>
  </si>
  <si>
    <t>9780803971578</t>
  </si>
  <si>
    <t>30001003147958</t>
  </si>
  <si>
    <t>893731981</t>
  </si>
  <si>
    <t>WA 395 I35 1985</t>
  </si>
  <si>
    <t>0                      WA 0395000I  35          1985</t>
  </si>
  <si>
    <t>In the shadow of the city : community health and the urban poor / edited by Trudy Harpham, Tim Lusty, and Patrick Vaughan.</t>
  </si>
  <si>
    <t>Oxford ; New York : Oxford University Press, c1988.</t>
  </si>
  <si>
    <t>Oxford medical publications</t>
  </si>
  <si>
    <t>2004-03-07</t>
  </si>
  <si>
    <t>836729930:eng</t>
  </si>
  <si>
    <t>16868655</t>
  </si>
  <si>
    <t>991001425109702656</t>
  </si>
  <si>
    <t>2269805850002656</t>
  </si>
  <si>
    <t>9780192615916</t>
  </si>
  <si>
    <t>30001001183948</t>
  </si>
  <si>
    <t>893284795</t>
  </si>
  <si>
    <t>WA395 N976 2001</t>
  </si>
  <si>
    <t>0                      WA 0395000N  976         2001</t>
  </si>
  <si>
    <t>Nutrition and health in Developing countries / edited by Richard D. Semba and Martin W. Bloem ; foreword by Nevin S. Scrimshaw.</t>
  </si>
  <si>
    <t>Totowa, NJ : Humana Press, 2001.</t>
  </si>
  <si>
    <t>Nutrition and health</t>
  </si>
  <si>
    <t>905947117:eng</t>
  </si>
  <si>
    <t>46343090</t>
  </si>
  <si>
    <t>991000445769702656</t>
  </si>
  <si>
    <t>2271029050002656</t>
  </si>
  <si>
    <t>9780896038066</t>
  </si>
  <si>
    <t>30001004913614</t>
  </si>
  <si>
    <t>893542341</t>
  </si>
  <si>
    <t>WA 395 P895 1983</t>
  </si>
  <si>
    <t>0                      WA 0395000P  895         1983</t>
  </si>
  <si>
    <t>Practising health for all / edited by David Morley, Jon E. Rohde, Glen Williams.</t>
  </si>
  <si>
    <t>Oxford ; New York : Oxford University Press, c1983.</t>
  </si>
  <si>
    <t>509962983:eng</t>
  </si>
  <si>
    <t>9644488</t>
  </si>
  <si>
    <t>991000725259702656</t>
  </si>
  <si>
    <t>2267206390002656</t>
  </si>
  <si>
    <t>9780192614452</t>
  </si>
  <si>
    <t>30001000706749</t>
  </si>
  <si>
    <t>893368387</t>
  </si>
  <si>
    <t>WA395 R2815 2005</t>
  </si>
  <si>
    <t>0                      WA 0395000R  2815        2005</t>
  </si>
  <si>
    <t>Reaching the poor with health, nutrition, and population services : what works, what doesn't, and why / edited by Davidson R. Gwatkin, Adam Wagstaff, Abdo S. Yazbeck.</t>
  </si>
  <si>
    <t>Washington, DC : The World Bank, 2005.</t>
  </si>
  <si>
    <t>1039118874:eng</t>
  </si>
  <si>
    <t>60856232</t>
  </si>
  <si>
    <t>991000604639702656</t>
  </si>
  <si>
    <t>2269199080002656</t>
  </si>
  <si>
    <t>9780821359617</t>
  </si>
  <si>
    <t>30001005127826</t>
  </si>
  <si>
    <t>893277689</t>
  </si>
  <si>
    <t>WA 395 T961p 1984</t>
  </si>
  <si>
    <t>0                      WA 0395000T  961p        1984</t>
  </si>
  <si>
    <t>The political ecology of disease in Tanzania / Meredeth Turshen.</t>
  </si>
  <si>
    <t>Turshen, Meredeth, 1938-</t>
  </si>
  <si>
    <t>New Brunswick, N.J. : Rutgers University Press, c1984.</t>
  </si>
  <si>
    <t>1988-08-31</t>
  </si>
  <si>
    <t>43263091:eng</t>
  </si>
  <si>
    <t>9828836</t>
  </si>
  <si>
    <t>991001418919702656</t>
  </si>
  <si>
    <t>2269813960002656</t>
  </si>
  <si>
    <t>9780813510309</t>
  </si>
  <si>
    <t>30001001181637</t>
  </si>
  <si>
    <t>893826734</t>
  </si>
  <si>
    <t>WA400 A513o 2004</t>
  </si>
  <si>
    <t>0                      WA 0400000A  513o        2004</t>
  </si>
  <si>
    <t>Occupational medicine practice guidelines : evaluation and management of common health problems and functional recovery of workers / American College of Occupational and Environmental Medicine ; edited by Lee S. Glass ; contributing editors, Bernard R. Blais ... [et al.].</t>
  </si>
  <si>
    <t>American College of Occupational and Environmental Medicine.</t>
  </si>
  <si>
    <t>Beverly Farms, Mass. : OEM Press, c2004.</t>
  </si>
  <si>
    <t>2005-05-31</t>
  </si>
  <si>
    <t>2005-01-27</t>
  </si>
  <si>
    <t>3770347279:eng</t>
  </si>
  <si>
    <t>53477929</t>
  </si>
  <si>
    <t>991000425009702656</t>
  </si>
  <si>
    <t>2270327490002656</t>
  </si>
  <si>
    <t>9781883595425</t>
  </si>
  <si>
    <t>30001004927051</t>
  </si>
  <si>
    <t>893136813</t>
  </si>
  <si>
    <t>WA 400 C514r 1989</t>
  </si>
  <si>
    <t>0                      WA 0400000C  514r        1989</t>
  </si>
  <si>
    <t>Research methods in occupational epidemiology / Harvey Checkoway, Neil Pearce, Douglas J. Crawford-Brown.</t>
  </si>
  <si>
    <t>Checkoway, Harvey.</t>
  </si>
  <si>
    <t>Monographs in epidemiology and biostatistics ; v. 13</t>
  </si>
  <si>
    <t>1991-04-27</t>
  </si>
  <si>
    <t>661282:eng</t>
  </si>
  <si>
    <t>19456909</t>
  </si>
  <si>
    <t>991000814559702656</t>
  </si>
  <si>
    <t>2264025600002656</t>
  </si>
  <si>
    <t>9780195052244</t>
  </si>
  <si>
    <t>30001002085720</t>
  </si>
  <si>
    <t>893464762</t>
  </si>
  <si>
    <t>WA 400 E61 1998</t>
  </si>
  <si>
    <t>0                      WA 0400000E  61          1998</t>
  </si>
  <si>
    <t>Environmental &amp; occupational medicine / edited by William N. Rom.</t>
  </si>
  <si>
    <t>Philadelphia : Lippincott-Raven Publishers, c1998.</t>
  </si>
  <si>
    <t>1999-12-17</t>
  </si>
  <si>
    <t>4927314390:eng</t>
  </si>
  <si>
    <t>37771034</t>
  </si>
  <si>
    <t>991001410599702656</t>
  </si>
  <si>
    <t>2256546080002656</t>
  </si>
  <si>
    <t>9780316755788</t>
  </si>
  <si>
    <t>30001003831270</t>
  </si>
  <si>
    <t>893121467</t>
  </si>
  <si>
    <t>WA 400 I43 1995</t>
  </si>
  <si>
    <t>0                      WA 0400000I  43          1995</t>
  </si>
  <si>
    <t>Industrial therapy / edited by Glenda L. Key.</t>
  </si>
  <si>
    <t>St. Louis : Mosby, [c1995]</t>
  </si>
  <si>
    <t>2002-03-21</t>
  </si>
  <si>
    <t>1996-10-22</t>
  </si>
  <si>
    <t>20190324:eng</t>
  </si>
  <si>
    <t>31754822</t>
  </si>
  <si>
    <t>991000848649702656</t>
  </si>
  <si>
    <t>2271011810002656</t>
  </si>
  <si>
    <t>9780815150466</t>
  </si>
  <si>
    <t>30001003472968</t>
  </si>
  <si>
    <t>893368828</t>
  </si>
  <si>
    <t>WA 400 O14455 2005</t>
  </si>
  <si>
    <t>0                      WA 0400000O  14455       2005</t>
  </si>
  <si>
    <t>Occupational health and safety : international influences and the "new" epidemics / edited by Chris L. Peterson and Claire Mayhew.</t>
  </si>
  <si>
    <t>Amityville, N.Y. : Baywood Pub., c2005.</t>
  </si>
  <si>
    <t>Policy, politics, health, and medicine series</t>
  </si>
  <si>
    <t>2007-01-29</t>
  </si>
  <si>
    <t>2007-01-17</t>
  </si>
  <si>
    <t>478721791:eng</t>
  </si>
  <si>
    <t>57452549</t>
  </si>
  <si>
    <t>991000582249702656</t>
  </si>
  <si>
    <t>2262926380002656</t>
  </si>
  <si>
    <t>9780895033031</t>
  </si>
  <si>
    <t>30001005170271</t>
  </si>
  <si>
    <t>893641409</t>
  </si>
  <si>
    <t>WA400 O146 2003</t>
  </si>
  <si>
    <t>0                      WA 0400000O  146         2003</t>
  </si>
  <si>
    <t>Occupational, industrial, and environmental toxicology / editor-in-chief, Michael I. Greenberg ; editors, Richard J. Hamilton, Scott D. Phillips, Gayla J. McCluskey.</t>
  </si>
  <si>
    <t>[St. Louis, Mo.] : Mosby, c2003.</t>
  </si>
  <si>
    <t>2008-05-20</t>
  </si>
  <si>
    <t>2005-02-11</t>
  </si>
  <si>
    <t>350256300:eng</t>
  </si>
  <si>
    <t>50803959</t>
  </si>
  <si>
    <t>991000427559702656</t>
  </si>
  <si>
    <t>2268987810002656</t>
  </si>
  <si>
    <t>9780323013406</t>
  </si>
  <si>
    <t>30001004927432</t>
  </si>
  <si>
    <t>893542309</t>
  </si>
  <si>
    <t>WA 400 O15 1983</t>
  </si>
  <si>
    <t>0                      WA 0400000O  15          1983</t>
  </si>
  <si>
    <t>Occupational health : recognizing and preventing work-related disease / edited by Barry S. Levy, David H. Wegman ; foreword by Anthony Robbins.</t>
  </si>
  <si>
    <t>Boston : Little, Brown, c1983.</t>
  </si>
  <si>
    <t>1993-10-02</t>
  </si>
  <si>
    <t>836888300:eng</t>
  </si>
  <si>
    <t>9270715</t>
  </si>
  <si>
    <t>991000727009702656</t>
  </si>
  <si>
    <t>2264019100002656</t>
  </si>
  <si>
    <t>9780316522342</t>
  </si>
  <si>
    <t>30001000707127</t>
  </si>
  <si>
    <t>893545716</t>
  </si>
  <si>
    <t>WA 400 O15 1994</t>
  </si>
  <si>
    <t>0                      WA 0400000O  15          1994</t>
  </si>
  <si>
    <t>Occupational medicine / editor-in-chief, Carl Zenz ; editors, O. Bruce Dickerson, Edward P. Horvath, Jr.</t>
  </si>
  <si>
    <t>St. Louis : Mosby, c1994.</t>
  </si>
  <si>
    <t>1999-12-03</t>
  </si>
  <si>
    <t>1994-01-25</t>
  </si>
  <si>
    <t>9322725831:eng</t>
  </si>
  <si>
    <t>29314126</t>
  </si>
  <si>
    <t>991000649539702656</t>
  </si>
  <si>
    <t>2259944960002656</t>
  </si>
  <si>
    <t>30001002690891</t>
  </si>
  <si>
    <t>893464410</t>
  </si>
  <si>
    <t>WA 400 O1574 1990</t>
  </si>
  <si>
    <t>0                      WA 0400000O  1574        1990</t>
  </si>
  <si>
    <t>Occupational medicine / edited by Joseph LaDou.</t>
  </si>
  <si>
    <t>Norwalk, Conn. : Appleton &amp; Lange, c1990.</t>
  </si>
  <si>
    <t>1993-01-18</t>
  </si>
  <si>
    <t>3901353242:eng</t>
  </si>
  <si>
    <t>21402568</t>
  </si>
  <si>
    <t>991001433909702656</t>
  </si>
  <si>
    <t>2269304520002656</t>
  </si>
  <si>
    <t>9780838572078</t>
  </si>
  <si>
    <t>30001002530410</t>
  </si>
  <si>
    <t>893832177</t>
  </si>
  <si>
    <t>WA 400 P278r 1994</t>
  </si>
  <si>
    <t>0                      WA 0400000P  278r        1994</t>
  </si>
  <si>
    <t>Repetitive strain injury : a computer user's guide / Emil Pascarelli, Deborah Quilter ; foreword by Fred Hochberg.</t>
  </si>
  <si>
    <t>Pascarelli, Emil F., 1930-</t>
  </si>
  <si>
    <t>New York : J. Wiley, c1994.</t>
  </si>
  <si>
    <t>2008-02-08</t>
  </si>
  <si>
    <t>1994-03-30</t>
  </si>
  <si>
    <t>1996-05-30</t>
  </si>
  <si>
    <t>30942750:eng</t>
  </si>
  <si>
    <t>28708764</t>
  </si>
  <si>
    <t>991001659909702656</t>
  </si>
  <si>
    <t>2256834420002656</t>
  </si>
  <si>
    <t>9780471595328</t>
  </si>
  <si>
    <t>30001002974238</t>
  </si>
  <si>
    <t>893284928</t>
  </si>
  <si>
    <t>WA 400 P322i 1981 v.2A</t>
  </si>
  <si>
    <t>0                      WA 0400000P  322i        1981                                        v.2A</t>
  </si>
  <si>
    <t>Patty's Industrial hygiene and toxicology / George D. Clayton, Florence E. Clayton, editors ; contributors, M. C. Battigelli ... [et al.].</t>
  </si>
  <si>
    <t>V.2A</t>
  </si>
  <si>
    <t>3d rev. ed.</t>
  </si>
  <si>
    <t>1997-04-24</t>
  </si>
  <si>
    <t>1988-03-23</t>
  </si>
  <si>
    <t>4494928901:eng</t>
  </si>
  <si>
    <t>3433278</t>
  </si>
  <si>
    <t>991000727219702656</t>
  </si>
  <si>
    <t>2267725780002656</t>
  </si>
  <si>
    <t>9780471160465</t>
  </si>
  <si>
    <t>30001000707184</t>
  </si>
  <si>
    <t>893545717</t>
  </si>
  <si>
    <t>WA400 P467 2003</t>
  </si>
  <si>
    <t>0                      WA 0400000P  467         2003</t>
  </si>
  <si>
    <t>Perspectives in human occupation : participation in life / editors, Paula Kramer, Jim Hinojosa, Charlotte Brasic Royeen.</t>
  </si>
  <si>
    <t>Baltimore : Lippincott Williams &amp; Wilkins, c2003.</t>
  </si>
  <si>
    <t>2004-11-19</t>
  </si>
  <si>
    <t>2003-04-24</t>
  </si>
  <si>
    <t>839089983:eng</t>
  </si>
  <si>
    <t>50803134</t>
  </si>
  <si>
    <t>991000345619702656</t>
  </si>
  <si>
    <t>2270824890002656</t>
  </si>
  <si>
    <t>9780781731614</t>
  </si>
  <si>
    <t>30001004504223</t>
  </si>
  <si>
    <t>893822081</t>
  </si>
  <si>
    <t>WA400 P8948 2004</t>
  </si>
  <si>
    <t>0                      WA 0400000P  8948        2004</t>
  </si>
  <si>
    <t>Practical ethics in occupational health / edited by Peter Westerholm, Tore Nilstun, John Øvretveit ; [foreword by Ewan B. Macdonald].</t>
  </si>
  <si>
    <t>Oxford ; San Francisco : Radclife Medical Press, c2004.</t>
  </si>
  <si>
    <t>364538595:eng</t>
  </si>
  <si>
    <t>55989013</t>
  </si>
  <si>
    <t>991000405509702656</t>
  </si>
  <si>
    <t>2268273700002656</t>
  </si>
  <si>
    <t>9781857756173</t>
  </si>
  <si>
    <t>30001004924298</t>
  </si>
  <si>
    <t>893827454</t>
  </si>
  <si>
    <t>WA 400 P957 1989</t>
  </si>
  <si>
    <t>0                      WA 0400000P  957         1989</t>
  </si>
  <si>
    <t>Principles of health and safety in agriculture / editors, James A. Dosman and Donald W. Cockcroft.</t>
  </si>
  <si>
    <t>Boca Raton, Fla. : CRC Press, c1989.</t>
  </si>
  <si>
    <t>1998-06-04</t>
  </si>
  <si>
    <t>355350489:eng</t>
  </si>
  <si>
    <t>19777258</t>
  </si>
  <si>
    <t>991001299089702656</t>
  </si>
  <si>
    <t>2266249930002656</t>
  </si>
  <si>
    <t>9780849301605</t>
  </si>
  <si>
    <t>30001002411173</t>
  </si>
  <si>
    <t>893451061</t>
  </si>
  <si>
    <t>WA 400 P974 1988</t>
  </si>
  <si>
    <t>0                      WA 0400000P  974         1988</t>
  </si>
  <si>
    <t>Psychiatric injury in the workplace / guest editors, Robert C. Larsen, Jean S. Felton.</t>
  </si>
  <si>
    <t>Philadelphia : Hanley &amp; Belfus, c1988.</t>
  </si>
  <si>
    <t>Occupational medicine, 0885-114X ; v. 3, no. 4 (Oct.-Dec. 1988)</t>
  </si>
  <si>
    <t>1993-01-30</t>
  </si>
  <si>
    <t>1989-02-17</t>
  </si>
  <si>
    <t>475767688:eng</t>
  </si>
  <si>
    <t>18667891</t>
  </si>
  <si>
    <t>991001123869702656</t>
  </si>
  <si>
    <t>2260555440002656</t>
  </si>
  <si>
    <t>9780932883667</t>
  </si>
  <si>
    <t>30001001614975</t>
  </si>
  <si>
    <t>893278740</t>
  </si>
  <si>
    <t>WA 400 R425 1985a</t>
  </si>
  <si>
    <t>0                      WA 0400000R  425         1985a</t>
  </si>
  <si>
    <t>Reproductive health hazards in the workplace / Office of Technology Assessment task force ; Louise A. Williams ... [et al.]</t>
  </si>
  <si>
    <t>Philadelphia, Pa. : Science Information Resource Center, c1988.</t>
  </si>
  <si>
    <t>Authorized hardbound ed.</t>
  </si>
  <si>
    <t>2010-11-28</t>
  </si>
  <si>
    <t>356159934:eng</t>
  </si>
  <si>
    <t>16755863</t>
  </si>
  <si>
    <t>991001188709702656</t>
  </si>
  <si>
    <t>2262230390002656</t>
  </si>
  <si>
    <t>9780397530038</t>
  </si>
  <si>
    <t>30001000978793</t>
  </si>
  <si>
    <t>893287290</t>
  </si>
  <si>
    <t>WA 400 W182t 1993</t>
  </si>
  <si>
    <t>0                      WA 0400000W  182t        1993</t>
  </si>
  <si>
    <t>Teaching about job hazards : a guide for workers and their health providers / written by Nina Wallerstein and Harriet L. Rubenstein ; contributors, Robin Baker ... [et al.]</t>
  </si>
  <si>
    <t>Wallerstein, Nina, 1953-</t>
  </si>
  <si>
    <t>Washington, D.C. : American Public Health Association, c1993.</t>
  </si>
  <si>
    <t>1018465096:eng</t>
  </si>
  <si>
    <t>28003313</t>
  </si>
  <si>
    <t>991001486479702656</t>
  </si>
  <si>
    <t>2256603790002656</t>
  </si>
  <si>
    <t>9780875532097</t>
  </si>
  <si>
    <t>30001002579185</t>
  </si>
  <si>
    <t>893374622</t>
  </si>
  <si>
    <t>WA400 W725a 2004</t>
  </si>
  <si>
    <t>0                      WA 0400000W  725a        2004</t>
  </si>
  <si>
    <t>Atlas of occupational health and disease / Nerys R. Williams, John Harrison.</t>
  </si>
  <si>
    <t>Williams, Nerys R.</t>
  </si>
  <si>
    <t>London : Arnold ; New York, NY : Distributed in the US by Oxford University Press, 2004.</t>
  </si>
  <si>
    <t>2005-12-08</t>
  </si>
  <si>
    <t>2005-12-07</t>
  </si>
  <si>
    <t>682506:eng</t>
  </si>
  <si>
    <t>55892746</t>
  </si>
  <si>
    <t>991000453149702656</t>
  </si>
  <si>
    <t>2261194010002656</t>
  </si>
  <si>
    <t>9780340740699</t>
  </si>
  <si>
    <t>30001004910941</t>
  </si>
  <si>
    <t>893633910</t>
  </si>
  <si>
    <t>WA 412 H4339 1986</t>
  </si>
  <si>
    <t>0                      WA 0412000H  4339        1986</t>
  </si>
  <si>
    <t>Health in industry : a behavioral medicine perspective / Michael F. Cataldo, Thomas J. Coates, editors.</t>
  </si>
  <si>
    <t>New York : Wiley, c1986.</t>
  </si>
  <si>
    <t>Wiley series on health psychology/behavioral medicine</t>
  </si>
  <si>
    <t>2002-02-26</t>
  </si>
  <si>
    <t>836726653:eng</t>
  </si>
  <si>
    <t>12422136</t>
  </si>
  <si>
    <t>991000729689702656</t>
  </si>
  <si>
    <t>2261352500002656</t>
  </si>
  <si>
    <t>9780471809210</t>
  </si>
  <si>
    <t>30001000707796</t>
  </si>
  <si>
    <t>893551390</t>
  </si>
  <si>
    <t>WA 412 K62h 1987</t>
  </si>
  <si>
    <t>0                      WA 0412000K  62h         1987</t>
  </si>
  <si>
    <t>The healthy workplace : a blueprint for corporate action / William M. Kizer.</t>
  </si>
  <si>
    <t>Kizer, William M.</t>
  </si>
  <si>
    <t>New York : Wiley, c1987.</t>
  </si>
  <si>
    <t>2006-02-12</t>
  </si>
  <si>
    <t>836664617:eng</t>
  </si>
  <si>
    <t>14098310</t>
  </si>
  <si>
    <t>991001266849702656</t>
  </si>
  <si>
    <t>2266931200002656</t>
  </si>
  <si>
    <t>9780471845317</t>
  </si>
  <si>
    <t>30001000353609</t>
  </si>
  <si>
    <t>893643376</t>
  </si>
  <si>
    <t>WA 412 P578 1994</t>
  </si>
  <si>
    <t>0                      WA 0412000P  578         1994</t>
  </si>
  <si>
    <t>Physiotherapy in occupational health : management, prevention, and health promotion in the work place / edited by Barbara Richardson and Alfreda Eastlake ; with a foreword by J.D.G. Troup.</t>
  </si>
  <si>
    <t>Oxford ; Boston : Butterworth-Heinemann, c1994.</t>
  </si>
  <si>
    <t>1998-09-15</t>
  </si>
  <si>
    <t>1995-01-18</t>
  </si>
  <si>
    <t>836840519:eng</t>
  </si>
  <si>
    <t>30157559</t>
  </si>
  <si>
    <t>991001393309702656</t>
  </si>
  <si>
    <t>2264357680002656</t>
  </si>
  <si>
    <t>9780750609654</t>
  </si>
  <si>
    <t>30001003145291</t>
  </si>
  <si>
    <t>893134516</t>
  </si>
  <si>
    <t>WA 412 S587b 1991</t>
  </si>
  <si>
    <t>0                      WA 0412000S  587b        1991</t>
  </si>
  <si>
    <t>Basic occupational medicine : a guide to developing delivery systems / author, Robert R. Silver.</t>
  </si>
  <si>
    <t>Silver, Robert R.</t>
  </si>
  <si>
    <t>Boca Raton : CRC Press, c1991.</t>
  </si>
  <si>
    <t>1993-05-17</t>
  </si>
  <si>
    <t>1991-09-17</t>
  </si>
  <si>
    <t>1780178697:eng</t>
  </si>
  <si>
    <t>22733451</t>
  </si>
  <si>
    <t>991001015269702656</t>
  </si>
  <si>
    <t>2267391410002656</t>
  </si>
  <si>
    <t>9780849342905</t>
  </si>
  <si>
    <t>30001002240572</t>
  </si>
  <si>
    <t>893284318</t>
  </si>
  <si>
    <t>WA 412 W926 1988</t>
  </si>
  <si>
    <t>0                      WA 0412000W  926         1988</t>
  </si>
  <si>
    <t>Worker fitness and risk evaluations / Jay S. Himmelstein and Glenn S. Pransky, guest editors.</t>
  </si>
  <si>
    <t>V. 3 NO. 2</t>
  </si>
  <si>
    <t>Occupational medicine: state of the art reviews, 0885-114X ; v. 3, no. 2 (April-June 1988).</t>
  </si>
  <si>
    <t>16579234:eng</t>
  </si>
  <si>
    <t>17868574</t>
  </si>
  <si>
    <t>991001118939702656</t>
  </si>
  <si>
    <t>2268235550002656</t>
  </si>
  <si>
    <t>9780932883544</t>
  </si>
  <si>
    <t>30001001614033</t>
  </si>
  <si>
    <t>893121180</t>
  </si>
  <si>
    <t>WA 440 D684s 1989</t>
  </si>
  <si>
    <t>0                      WA 0440000D  684s        1989</t>
  </si>
  <si>
    <t>Sitting on the job : how to survive the stresses of sitting down to work : a practical handbook / Scott W. Donkin ; Joseph J. Sweere, contributing editor ; Jan Kelley Weinberg, illustration and design.</t>
  </si>
  <si>
    <t>Donkin, Scott W.</t>
  </si>
  <si>
    <t>Boston : Houghton Mifflin, c1989.</t>
  </si>
  <si>
    <t>2003-04-04</t>
  </si>
  <si>
    <t>1989-02-23</t>
  </si>
  <si>
    <t>17913420:eng</t>
  </si>
  <si>
    <t>18682628</t>
  </si>
  <si>
    <t>991001239309702656</t>
  </si>
  <si>
    <t>2264542220002656</t>
  </si>
  <si>
    <t>9780395500897</t>
  </si>
  <si>
    <t>30001001675240</t>
  </si>
  <si>
    <t>893460381</t>
  </si>
  <si>
    <t>WA 440 G761w 1992</t>
  </si>
  <si>
    <t>0                      WA 0440000G  761w        1992</t>
  </si>
  <si>
    <t>Workplace wellness : the key to higher productivity and lower health costs / Carol Bayley [sic] Grant, Robert E. Brisbin.</t>
  </si>
  <si>
    <t>Grant, Carol Bayly.</t>
  </si>
  <si>
    <t>New York : Van Nostrand Reinhold, c1992.</t>
  </si>
  <si>
    <t>2008-06-20</t>
  </si>
  <si>
    <t>1992-10-07</t>
  </si>
  <si>
    <t>836875927:eng</t>
  </si>
  <si>
    <t>25372115</t>
  </si>
  <si>
    <t>991001344689702656</t>
  </si>
  <si>
    <t>2269305940002656</t>
  </si>
  <si>
    <t>9780442006990</t>
  </si>
  <si>
    <t>30001002456814</t>
  </si>
  <si>
    <t>893451096</t>
  </si>
  <si>
    <t>WA 440 H4347 1988</t>
  </si>
  <si>
    <t>0                      WA 0440000H  4347        1988</t>
  </si>
  <si>
    <t>The Health and safety of workers : case studies in the politics of professional responsibility / edited by Ronald Bayer.</t>
  </si>
  <si>
    <t>New York : Oxford University Press, c1988.</t>
  </si>
  <si>
    <t>1989-07-11</t>
  </si>
  <si>
    <t>836725451:eng</t>
  </si>
  <si>
    <t>16801285</t>
  </si>
  <si>
    <t>991001253219702656</t>
  </si>
  <si>
    <t>2262086810002656</t>
  </si>
  <si>
    <t>9780195053654</t>
  </si>
  <si>
    <t>30001001679531</t>
  </si>
  <si>
    <t>893374397</t>
  </si>
  <si>
    <t>WA440 O145 2001</t>
  </si>
  <si>
    <t>0                      WA 0440000O  145         2001</t>
  </si>
  <si>
    <t>Occupational ergonomics : work related musculoskeletal disorders of the upper limb and back / [edited by] Francesco Violante, Åsa Kilbom, and Thomas Armstrong.</t>
  </si>
  <si>
    <t>London ; New York : Taylor &amp; Francis, 2001.</t>
  </si>
  <si>
    <t>2002-07-01</t>
  </si>
  <si>
    <t>793912512:eng</t>
  </si>
  <si>
    <t>166887293</t>
  </si>
  <si>
    <t>991000320549702656</t>
  </si>
  <si>
    <t>2271208630002656</t>
  </si>
  <si>
    <t>9780748409334</t>
  </si>
  <si>
    <t>30001004238137</t>
  </si>
  <si>
    <t>893354200</t>
  </si>
  <si>
    <t>WA 440 O1475 1989</t>
  </si>
  <si>
    <t>0                      WA 0440000O  1475        1989</t>
  </si>
  <si>
    <t>Occupational hazards in the health professions / editors, Dag K. Brune, Christer Edling.</t>
  </si>
  <si>
    <t>1990-07-25</t>
  </si>
  <si>
    <t>365978289:eng</t>
  </si>
  <si>
    <t>18290039</t>
  </si>
  <si>
    <t>991001449709702656</t>
  </si>
  <si>
    <t>2272538270002656</t>
  </si>
  <si>
    <t>9780849369315</t>
  </si>
  <si>
    <t>30001001882556</t>
  </si>
  <si>
    <t>893162017</t>
  </si>
  <si>
    <t>WA440 O149 2006</t>
  </si>
  <si>
    <t>0                      WA 0440000O  149         2006</t>
  </si>
  <si>
    <t>Occupational and environmental health : recognizing and preventing disease and injury / [edited by] Barry S. Levy ... [et al.].</t>
  </si>
  <si>
    <t>Philadelphia : Lippincott Williams &amp; Wilkins, c2006.</t>
  </si>
  <si>
    <t>5th ed.</t>
  </si>
  <si>
    <t>2009-08-14</t>
  </si>
  <si>
    <t>8960947711:eng</t>
  </si>
  <si>
    <t>61262344</t>
  </si>
  <si>
    <t>991000561099702656</t>
  </si>
  <si>
    <t>2268821470002656</t>
  </si>
  <si>
    <t>9780781755511</t>
  </si>
  <si>
    <t>30001005176161</t>
  </si>
  <si>
    <t>893742650</t>
  </si>
  <si>
    <t>WA 465 B258r 1982</t>
  </si>
  <si>
    <t>0                      WA 0465000B  258r        1982</t>
  </si>
  <si>
    <t>Reproductive hazards of industrial chemicals : an evaluation of animal and human data / Susan M. Barlow and Frank M. Sullivan.</t>
  </si>
  <si>
    <t>Barlow, Susan M.</t>
  </si>
  <si>
    <t>London ; New York : Academic Press, 1982.</t>
  </si>
  <si>
    <t>1992-12-11</t>
  </si>
  <si>
    <t>836669712:eng</t>
  </si>
  <si>
    <t>9002760</t>
  </si>
  <si>
    <t>991000729779702656</t>
  </si>
  <si>
    <t>2256427820002656</t>
  </si>
  <si>
    <t>9780120789603</t>
  </si>
  <si>
    <t>30001000707820</t>
  </si>
  <si>
    <t>893735446</t>
  </si>
  <si>
    <t>WA 465 H217h 1983</t>
  </si>
  <si>
    <t>0                      WA 0465000H  217h        1983</t>
  </si>
  <si>
    <t>Hamilton and Hardy's Industrial toxicology.</t>
  </si>
  <si>
    <t>Hamilton, Alice, 1869-1970.</t>
  </si>
  <si>
    <t>4th ed. / revised by Asher J. Finkel.</t>
  </si>
  <si>
    <t>1993-01-20</t>
  </si>
  <si>
    <t>3855438801:eng</t>
  </si>
  <si>
    <t>8475977</t>
  </si>
  <si>
    <t>991000729969702656</t>
  </si>
  <si>
    <t>2271499630002656</t>
  </si>
  <si>
    <t>9780723670278</t>
  </si>
  <si>
    <t>30001000707853</t>
  </si>
  <si>
    <t>893167639</t>
  </si>
  <si>
    <t>WA 465 I437 1985</t>
  </si>
  <si>
    <t>0                      WA 0465000I  437         1985</t>
  </si>
  <si>
    <t>Industrial toxicology, safety and health applications in the workplace / editors, James L. Burson, Phillip L. Williams.</t>
  </si>
  <si>
    <t>Belmont, Ca. : Lifetime Learning Publications, c1985.</t>
  </si>
  <si>
    <t>1994-08-30</t>
  </si>
  <si>
    <t>836712451:eng</t>
  </si>
  <si>
    <t>10606041</t>
  </si>
  <si>
    <t>991000729929702656</t>
  </si>
  <si>
    <t>2259058100002656</t>
  </si>
  <si>
    <t>9780534027070</t>
  </si>
  <si>
    <t>30001000707861</t>
  </si>
  <si>
    <t>893731005</t>
  </si>
  <si>
    <t>WA 475 N273f 1998</t>
  </si>
  <si>
    <t>0                      WA 0475000N  273f        1998</t>
  </si>
  <si>
    <t>Facing and fighting fatigue : a practical approach / Benjamin H. Natelson.</t>
  </si>
  <si>
    <t>Natelson, Benjamin H.</t>
  </si>
  <si>
    <t>New Haven : Yale University Press, c1998.</t>
  </si>
  <si>
    <t>2000-03-06</t>
  </si>
  <si>
    <t>2000-03-03</t>
  </si>
  <si>
    <t>799974085:eng</t>
  </si>
  <si>
    <t>37341468</t>
  </si>
  <si>
    <t>991001441369702656</t>
  </si>
  <si>
    <t>2262627940002656</t>
  </si>
  <si>
    <t>9780300068481</t>
  </si>
  <si>
    <t>30001003882380</t>
  </si>
  <si>
    <t>893546719</t>
  </si>
  <si>
    <t>WA 475 P537 1991</t>
  </si>
  <si>
    <t>0                      WA 0475000P  537         1991</t>
  </si>
  <si>
    <t>Ergonomics, work, and health / Stephen Pheasant.</t>
  </si>
  <si>
    <t>Pheasant, Stephen.</t>
  </si>
  <si>
    <t>Gaithersburg, Md. : Aspen Publishers, c1991.</t>
  </si>
  <si>
    <t>2005-04-02</t>
  </si>
  <si>
    <t>1992-11-20</t>
  </si>
  <si>
    <t>24615716:eng</t>
  </si>
  <si>
    <t>23383915</t>
  </si>
  <si>
    <t>991001345059702656</t>
  </si>
  <si>
    <t>2268187410002656</t>
  </si>
  <si>
    <t>9780871893208</t>
  </si>
  <si>
    <t>30001002456913</t>
  </si>
  <si>
    <t>893541272</t>
  </si>
  <si>
    <t>WA 485 C737 1995</t>
  </si>
  <si>
    <t>0                      WA 0485000C  737         1995</t>
  </si>
  <si>
    <t>The comprehensive guide to work injury management / edited by Susan J. Isernhagen.</t>
  </si>
  <si>
    <t>Gaithersburg, Md. : Aspen Publishers, c1995.</t>
  </si>
  <si>
    <t>2004-10-14</t>
  </si>
  <si>
    <t>55822299:eng</t>
  </si>
  <si>
    <t>30508806</t>
  </si>
  <si>
    <t>991000849139702656</t>
  </si>
  <si>
    <t>2272569700002656</t>
  </si>
  <si>
    <t>9780834205581</t>
  </si>
  <si>
    <t>30001003473073</t>
  </si>
  <si>
    <t>893120582</t>
  </si>
  <si>
    <t>WA 485 M165e 1990</t>
  </si>
  <si>
    <t>0                      WA 0485000M  165e        1990</t>
  </si>
  <si>
    <t>The ergonomics manual : guidebook for managers, supervisors, and ergonomic team members / [written by Dan MacLeod, Philip Jacobs, Nancy Larson ; assistance, Michelle Jacobs ; contributing editors, Richard A. Pollock, H. Duane Saunders ; illustrations, Mary Albury-Noyes].</t>
  </si>
  <si>
    <t>MacLeod, Dan.</t>
  </si>
  <si>
    <t>Minneapolis, Minn. : ErgoTech : Comprehensive Loss Management, c1990.</t>
  </si>
  <si>
    <t>mnu</t>
  </si>
  <si>
    <t>2007-10-11</t>
  </si>
  <si>
    <t>1993-06-18</t>
  </si>
  <si>
    <t>4193858438:eng</t>
  </si>
  <si>
    <t>26910047</t>
  </si>
  <si>
    <t>991001509439702656</t>
  </si>
  <si>
    <t>2258690840002656</t>
  </si>
  <si>
    <t>9780961646196</t>
  </si>
  <si>
    <t>30001002600502</t>
  </si>
  <si>
    <t>893455863</t>
  </si>
  <si>
    <t>WA485 P9443 2003</t>
  </si>
  <si>
    <t>0                      WA 0485000P  9443        2003</t>
  </si>
  <si>
    <t>Preventing and managing disabling injury at work / edited by Terrence Sullivan and John Frank.</t>
  </si>
  <si>
    <t>London ; New York : Taylor &amp; Francis, 2003.</t>
  </si>
  <si>
    <t>2016</t>
  </si>
  <si>
    <t>2004-02-10</t>
  </si>
  <si>
    <t>2004-02-06</t>
  </si>
  <si>
    <t>353521130:eng</t>
  </si>
  <si>
    <t>50479303</t>
  </si>
  <si>
    <t>991000365929702656</t>
  </si>
  <si>
    <t>2258110890002656</t>
  </si>
  <si>
    <t>9780415274913</t>
  </si>
  <si>
    <t>30001004508943</t>
  </si>
  <si>
    <t>893737268</t>
  </si>
  <si>
    <t>WA 485 W926 1988</t>
  </si>
  <si>
    <t>0                      WA 0485000W  926         1988</t>
  </si>
  <si>
    <t>Work injury : management and prevention / edited by Susan J. Isernhagen.</t>
  </si>
  <si>
    <t>Rockville, Md. : Aspen Publishers, c1988.</t>
  </si>
  <si>
    <t>1997-03-25</t>
  </si>
  <si>
    <t>16905789:eng</t>
  </si>
  <si>
    <t>18134221</t>
  </si>
  <si>
    <t>991001118979702656</t>
  </si>
  <si>
    <t>2265146910002656</t>
  </si>
  <si>
    <t>9780871897886</t>
  </si>
  <si>
    <t>30001001614058</t>
  </si>
  <si>
    <t>893161692</t>
  </si>
  <si>
    <t>WA 495 O155 1986</t>
  </si>
  <si>
    <t>0                      WA 0495000O  155         1986</t>
  </si>
  <si>
    <t>Occupational stress : health and performance at work / edited by Stewart Wolf, Albert J. Finestone.</t>
  </si>
  <si>
    <t>Littleton, Mass. : PSG Pub. Co., c1986.</t>
  </si>
  <si>
    <t>1988-02-22</t>
  </si>
  <si>
    <t>894520568:eng</t>
  </si>
  <si>
    <t>13010066</t>
  </si>
  <si>
    <t>991000730189702656</t>
  </si>
  <si>
    <t>2265436430002656</t>
  </si>
  <si>
    <t>9780884164845</t>
  </si>
  <si>
    <t>30001000707929</t>
  </si>
  <si>
    <t>893357446</t>
  </si>
  <si>
    <t>WA 525 A172 2004</t>
  </si>
  <si>
    <t>0                      WA 0525000A  172         2004</t>
  </si>
  <si>
    <t>Accountability : patient safety and policy reform / Virginia A. Sharpe, editor.</t>
  </si>
  <si>
    <t>Washington, D.C. : Georgetown University Press, c2004.</t>
  </si>
  <si>
    <t>Hastings Center studies in ethics</t>
  </si>
  <si>
    <t>2005-09-12</t>
  </si>
  <si>
    <t>1076489997:eng</t>
  </si>
  <si>
    <t>54778429</t>
  </si>
  <si>
    <t>991000642239702656</t>
  </si>
  <si>
    <t>2259003910002656</t>
  </si>
  <si>
    <t>9781589010239</t>
  </si>
  <si>
    <t>30001004926830</t>
  </si>
  <si>
    <t>893556702</t>
  </si>
  <si>
    <t>WA 525 A846 1983</t>
  </si>
  <si>
    <t>0                      WA 0525000A  846         1983</t>
  </si>
  <si>
    <t>Assessing health and human service needs : concepts, methods, and applications / edited by Roger A. Bell ... [et al.].</t>
  </si>
  <si>
    <t>New York, N.Y. : Human Sciences Press, c1983.</t>
  </si>
  <si>
    <t>The community psychology series, ISSN 0731-0471 ; v. 8</t>
  </si>
  <si>
    <t>1992-03-16</t>
  </si>
  <si>
    <t>908893978:eng</t>
  </si>
  <si>
    <t>8051405</t>
  </si>
  <si>
    <t>991000730509702656</t>
  </si>
  <si>
    <t>2259519250002656</t>
  </si>
  <si>
    <t>9780898850574</t>
  </si>
  <si>
    <t>30001000707960</t>
  </si>
  <si>
    <t>893368389</t>
  </si>
  <si>
    <t>WA 525 B878h 1988</t>
  </si>
  <si>
    <t>0                      WA 0525000B  878h        1988</t>
  </si>
  <si>
    <t>Health policy in the United States : issues and options / by Lawrence D. Brown.</t>
  </si>
  <si>
    <t>Brown, Lawrence D. (Lawrence David), 1947-</t>
  </si>
  <si>
    <t>New York, N.Y. : Ford Foundation, c1988.</t>
  </si>
  <si>
    <t>Occasional paper (Ford Foundation. Project on Social Welfare and the American Future) ; no. 4</t>
  </si>
  <si>
    <t>1998-01-16</t>
  </si>
  <si>
    <t>1992-03-13</t>
  </si>
  <si>
    <t>253150874:eng</t>
  </si>
  <si>
    <t>18522786</t>
  </si>
  <si>
    <t>991001298449702656</t>
  </si>
  <si>
    <t>2267723580002656</t>
  </si>
  <si>
    <t>9780916584344</t>
  </si>
  <si>
    <t>30001002410720</t>
  </si>
  <si>
    <t>893557807</t>
  </si>
  <si>
    <t>WA 525 D286n 1986</t>
  </si>
  <si>
    <t>0                      WA 0525000D  286n        1986</t>
  </si>
  <si>
    <t>Nurses' role in health care planning / Sandra DeBella, Leonide Martin, Sandra Siddall ; contributors, Jean A. Harlow, Patricia Jakobi, Marylou McAthie.</t>
  </si>
  <si>
    <t>DeBella, Sandra.</t>
  </si>
  <si>
    <t>1989-11-06</t>
  </si>
  <si>
    <t>6867002:eng</t>
  </si>
  <si>
    <t>13903222</t>
  </si>
  <si>
    <t>991001315549702656</t>
  </si>
  <si>
    <t>2270093950002656</t>
  </si>
  <si>
    <t>9780838569948</t>
  </si>
  <si>
    <t>30001001752684</t>
  </si>
  <si>
    <t>893816293</t>
  </si>
  <si>
    <t>WA 525 D491i 1997</t>
  </si>
  <si>
    <t>0                      WA 0525000D  491i        1997</t>
  </si>
  <si>
    <t>Improving outcomes in public health practice : strategy and methods / G.E. Alan Dever.</t>
  </si>
  <si>
    <t>Dever, G. E. Alan.</t>
  </si>
  <si>
    <t>Gaithersburg, Md. : Aspen Publishers, 1997.</t>
  </si>
  <si>
    <t>1999-02-10</t>
  </si>
  <si>
    <t>1997-06-25</t>
  </si>
  <si>
    <t>41115370:eng</t>
  </si>
  <si>
    <t>35925630</t>
  </si>
  <si>
    <t>991001255719702656</t>
  </si>
  <si>
    <t>2263684610002656</t>
  </si>
  <si>
    <t>9780834206373</t>
  </si>
  <si>
    <t>30001003684745</t>
  </si>
  <si>
    <t>893467874</t>
  </si>
  <si>
    <t>WA 525 G848h 1997</t>
  </si>
  <si>
    <t>0                      WA 0525000G  848h        1997</t>
  </si>
  <si>
    <t>The healthcare practitioner's handbook of management / Larry D. Grieshaber.</t>
  </si>
  <si>
    <t>Grieshaber, Larry D.</t>
  </si>
  <si>
    <t>Boca Raton, Fla. : St. Lucie Press, c1997.</t>
  </si>
  <si>
    <t>2000-01-18</t>
  </si>
  <si>
    <t>1999-01-19</t>
  </si>
  <si>
    <t>686751:eng</t>
  </si>
  <si>
    <t>37476849</t>
  </si>
  <si>
    <t>991001530269702656</t>
  </si>
  <si>
    <t>22136059520002656</t>
  </si>
  <si>
    <t>9781574440966</t>
  </si>
  <si>
    <t>30001003961325</t>
  </si>
  <si>
    <t>893561064</t>
  </si>
  <si>
    <t>WA 525 H241p 1984</t>
  </si>
  <si>
    <t>0                      WA 0525000H  241p        1984</t>
  </si>
  <si>
    <t>Public health : administration and practice / John J. Hanlon, George E. Pickett.</t>
  </si>
  <si>
    <t>Hanlon, John J. (John Joseph), 1912-1988.</t>
  </si>
  <si>
    <t>St. Louis : Mosby, c1984.</t>
  </si>
  <si>
    <t>8th ed.</t>
  </si>
  <si>
    <t>425714762:eng</t>
  </si>
  <si>
    <t>9111139</t>
  </si>
  <si>
    <t>991000754199702656</t>
  </si>
  <si>
    <t>2266601510002656</t>
  </si>
  <si>
    <t>9780801620614</t>
  </si>
  <si>
    <t>30001000052045</t>
  </si>
  <si>
    <t>893167676</t>
  </si>
  <si>
    <t>WA525 H4343 2002</t>
  </si>
  <si>
    <t>0                      WA 0525000H  4343        2002</t>
  </si>
  <si>
    <t>The health behavioral change imperative : theory, education, and practice in diverse populations / edited and coauthored by Jay Carrington Chunn.</t>
  </si>
  <si>
    <t>2004-07-08</t>
  </si>
  <si>
    <t>839449361:eng</t>
  </si>
  <si>
    <t>49584036</t>
  </si>
  <si>
    <t>991000370459702656</t>
  </si>
  <si>
    <t>2263789990002656</t>
  </si>
  <si>
    <t>9780306472732</t>
  </si>
  <si>
    <t>30001004509172</t>
  </si>
  <si>
    <t>893264185</t>
  </si>
  <si>
    <t>WA525 H43582 2002</t>
  </si>
  <si>
    <t>0                      WA 0525000H  43582       2002</t>
  </si>
  <si>
    <t>Health promotion : disciplines, diversity, and development / edited by Robin Bunton and Gordon Macdonald.</t>
  </si>
  <si>
    <t>London ; New York : Routledge, 2002.</t>
  </si>
  <si>
    <t>2007-01-30</t>
  </si>
  <si>
    <t>801945894:eng</t>
  </si>
  <si>
    <t>50403935</t>
  </si>
  <si>
    <t>991000386209702656</t>
  </si>
  <si>
    <t>2256081070002656</t>
  </si>
  <si>
    <t>9780415235693</t>
  </si>
  <si>
    <t>30001004922466</t>
  </si>
  <si>
    <t>893547790</t>
  </si>
  <si>
    <t>WA 525 H4365 1989</t>
  </si>
  <si>
    <t>0                      WA 0525000H  4365        1989</t>
  </si>
  <si>
    <t>Health promotion indicators and actions / Snehendu B. Kar, editor.</t>
  </si>
  <si>
    <t>New York : Springer Pub. Co., c1989.</t>
  </si>
  <si>
    <t>1995-06-07</t>
  </si>
  <si>
    <t>967652:eng</t>
  </si>
  <si>
    <t>19590063</t>
  </si>
  <si>
    <t>991001401069702656</t>
  </si>
  <si>
    <t>2267544670002656</t>
  </si>
  <si>
    <t>9780826165404</t>
  </si>
  <si>
    <t>30001003148147</t>
  </si>
  <si>
    <t>893546669</t>
  </si>
  <si>
    <t>WA 525 H4375 2002</t>
  </si>
  <si>
    <t>0                      WA 0525000H  4375        2002</t>
  </si>
  <si>
    <t>Health targets in Europe : policy, progress and promise / edited by Marshall Marinker.</t>
  </si>
  <si>
    <t>London : BMJ Books, 2002.</t>
  </si>
  <si>
    <t>800160149:eng</t>
  </si>
  <si>
    <t>48572144</t>
  </si>
  <si>
    <t>991000358669702656</t>
  </si>
  <si>
    <t>2259455440002656</t>
  </si>
  <si>
    <t>9780727916426</t>
  </si>
  <si>
    <t>30001004217974</t>
  </si>
  <si>
    <t>893553450</t>
  </si>
  <si>
    <t>WA 525 I14e 1985</t>
  </si>
  <si>
    <t>0                      WA 0525000I  14e         1985</t>
  </si>
  <si>
    <t>Epidemiology and health policy / Michel A. Ibrahim.</t>
  </si>
  <si>
    <t>Ibrahim, Michel A., 1934-</t>
  </si>
  <si>
    <t>Rockville, Md. : Aspen Systems Corp., c1985.</t>
  </si>
  <si>
    <t>4306595:eng</t>
  </si>
  <si>
    <t>11755756</t>
  </si>
  <si>
    <t>991000727469702656</t>
  </si>
  <si>
    <t>2256624030002656</t>
  </si>
  <si>
    <t>9780871891006</t>
  </si>
  <si>
    <t>30001000707309</t>
  </si>
  <si>
    <t>893735444</t>
  </si>
  <si>
    <t>WA 525 L852h 1998</t>
  </si>
  <si>
    <t>0                      WA 0525000L  852h        1998</t>
  </si>
  <si>
    <t>Health policymaking in the United States / Beaufort B. Longest, Jr.</t>
  </si>
  <si>
    <t>6</t>
  </si>
  <si>
    <t>Longest, Beaufort B., Jr.</t>
  </si>
  <si>
    <t>Chicago : Health Administration Press, c1998.</t>
  </si>
  <si>
    <t>2008-02-15</t>
  </si>
  <si>
    <t>2001-10-23</t>
  </si>
  <si>
    <t>679739:eng</t>
  </si>
  <si>
    <t>37573481</t>
  </si>
  <si>
    <t>991001412979702656</t>
  </si>
  <si>
    <t>2255417290002656</t>
  </si>
  <si>
    <t>9781567930726</t>
  </si>
  <si>
    <t>30001004235455</t>
  </si>
  <si>
    <t>893557949</t>
  </si>
  <si>
    <t>WA 525 P597a 1993</t>
  </si>
  <si>
    <t>0                      WA 0525000P  597a        1993</t>
  </si>
  <si>
    <t>Assessing health need using the life cycle framework / Chrissie Pickin and Selwyn St. Leger.</t>
  </si>
  <si>
    <t>Pickin, Chrissie, 1959-</t>
  </si>
  <si>
    <t>Buckingham ; Philadelphia : Open University Press, c1993.</t>
  </si>
  <si>
    <t>1999-03-30</t>
  </si>
  <si>
    <t>28595346:eng</t>
  </si>
  <si>
    <t>25869975</t>
  </si>
  <si>
    <t>991001432139702656</t>
  </si>
  <si>
    <t>2263391620002656</t>
  </si>
  <si>
    <t>9780335157426</t>
  </si>
  <si>
    <t>30001002529750</t>
  </si>
  <si>
    <t>893638306</t>
  </si>
  <si>
    <t>WA 525 S896 1988</t>
  </si>
  <si>
    <t>0                      WA 0525000S  896         1988</t>
  </si>
  <si>
    <t>Strategic management in the health care sector : toward the year 2000 / [edited by] Farhad Simyar, Joseph Lloyd-Jones.</t>
  </si>
  <si>
    <t>Englewood Cliffs, N.J. : Prentice Hall, c1988.</t>
  </si>
  <si>
    <t>1999-01-20</t>
  </si>
  <si>
    <t>1989-01-20</t>
  </si>
  <si>
    <t>836743891:eng</t>
  </si>
  <si>
    <t>17261849</t>
  </si>
  <si>
    <t>991001112139702656</t>
  </si>
  <si>
    <t>2268278060002656</t>
  </si>
  <si>
    <t>9780138516192</t>
  </si>
  <si>
    <t>30001001612334</t>
  </si>
  <si>
    <t>893541030</t>
  </si>
  <si>
    <t>WA 525 V461h 1982</t>
  </si>
  <si>
    <t>0                      WA 0525000V  461h        1982</t>
  </si>
  <si>
    <t>The human side of health administration : a guide for hospital, nursing, and public health administrators / Robert L. Veninga.</t>
  </si>
  <si>
    <t>Veninga, Robert L.</t>
  </si>
  <si>
    <t>Englewood Cliffs, N.J. : Prentice-Hall, c1982.</t>
  </si>
  <si>
    <t>197441978:eng</t>
  </si>
  <si>
    <t>7976352</t>
  </si>
  <si>
    <t>991000727949702656</t>
  </si>
  <si>
    <t>2262170620002656</t>
  </si>
  <si>
    <t>9780134478135</t>
  </si>
  <si>
    <t>30001000707424</t>
  </si>
  <si>
    <t>893464588</t>
  </si>
  <si>
    <t>WA 525 Y73t 2002</t>
  </si>
  <si>
    <t>0                      WA 0525000Y  73t         2002</t>
  </si>
  <si>
    <t>Transforming health promotion practice : concepts, issues, and applications / Lynne E. Young, Virginia E. Hayes.</t>
  </si>
  <si>
    <t>Young, Lynne E.</t>
  </si>
  <si>
    <t>Philadelphia : F.A. Davis Co., c2002.</t>
  </si>
  <si>
    <t>2010-02-08</t>
  </si>
  <si>
    <t>2009-09-29</t>
  </si>
  <si>
    <t>800413996:eng</t>
  </si>
  <si>
    <t>47183438</t>
  </si>
  <si>
    <t>991001495399702656</t>
  </si>
  <si>
    <t>2269839510002656</t>
  </si>
  <si>
    <t>9780803608146</t>
  </si>
  <si>
    <t>30001004919843</t>
  </si>
  <si>
    <t>893732101</t>
  </si>
  <si>
    <t>WA 540 AA1 B37h 1988</t>
  </si>
  <si>
    <t>0                      WA 0540000AA 1                  B  37h         1988</t>
  </si>
  <si>
    <t>The health of the Republic : epidemics, medicine, and moralism as challenges to democracy / Dan E. Beauchamp.</t>
  </si>
  <si>
    <t>Beauchamp, Dan E.</t>
  </si>
  <si>
    <t>Philadelphia : Temple University Press, c1988.</t>
  </si>
  <si>
    <t>Health, society, and policy</t>
  </si>
  <si>
    <t>1991-11-07</t>
  </si>
  <si>
    <t>1989-07-03</t>
  </si>
  <si>
    <t>347408281:eng</t>
  </si>
  <si>
    <t>17298549</t>
  </si>
  <si>
    <t>991001252549702656</t>
  </si>
  <si>
    <t>2260365640002656</t>
  </si>
  <si>
    <t>9780877225584</t>
  </si>
  <si>
    <t>30001001679325</t>
  </si>
  <si>
    <t>893736360</t>
  </si>
  <si>
    <t>WA 540 AA1 B52 1991</t>
  </si>
  <si>
    <t>0                      WA 0540000AA 1                  B  52          1991</t>
  </si>
  <si>
    <t>Biomedical politics / Kathi E. Hanna, editor ; Division of Health Sciences Policy, Committee to Study Biomedical Decision Making, Institute of Medicine.</t>
  </si>
  <si>
    <t>Washington, D.C. : National Academy Press, c1991.</t>
  </si>
  <si>
    <t>2001-03-03</t>
  </si>
  <si>
    <t>1992-05-05</t>
  </si>
  <si>
    <t>355079371:eng</t>
  </si>
  <si>
    <t>23652093</t>
  </si>
  <si>
    <t>991001300579702656</t>
  </si>
  <si>
    <t>2265608660002656</t>
  </si>
  <si>
    <t>9780309044868</t>
  </si>
  <si>
    <t>30001002411603</t>
  </si>
  <si>
    <t>893268326</t>
  </si>
  <si>
    <t>WA 540 AA1 B65u 1998</t>
  </si>
  <si>
    <t>0                      WA 0540000AA 1                  B  65u         1998</t>
  </si>
  <si>
    <t>Understanding health policy : a clinical approach / Thomas S. Bodenheimer, Kevin Grumbach.</t>
  </si>
  <si>
    <t>Bodenheimer, Thomas.</t>
  </si>
  <si>
    <t>Norwalk, Conn. : Appleton &amp; Lange, c1998.</t>
  </si>
  <si>
    <t>2002-12-11</t>
  </si>
  <si>
    <t>1998-12-10</t>
  </si>
  <si>
    <t>652764:eng</t>
  </si>
  <si>
    <t>41300348</t>
  </si>
  <si>
    <t>991000692469702656</t>
  </si>
  <si>
    <t>2265425510002656</t>
  </si>
  <si>
    <t>9780838590751</t>
  </si>
  <si>
    <t>30001004036911</t>
  </si>
  <si>
    <t>893726574</t>
  </si>
  <si>
    <t>WA540 AA1 B65u 2002</t>
  </si>
  <si>
    <t>0                      WA 0540000AA 1                  B  65u         2002</t>
  </si>
  <si>
    <t>New York : Lange Medical Books/McGraw-Hill, Medical Pub. Division, c2002.</t>
  </si>
  <si>
    <t>2006-02-11</t>
  </si>
  <si>
    <t>2002-10-08</t>
  </si>
  <si>
    <t>48066184</t>
  </si>
  <si>
    <t>991000330359702656</t>
  </si>
  <si>
    <t>2267535440002656</t>
  </si>
  <si>
    <t>9780071124706</t>
  </si>
  <si>
    <t>30001004440790</t>
  </si>
  <si>
    <t>893537069</t>
  </si>
  <si>
    <t>WA 540 AA1 C385 1996</t>
  </si>
  <si>
    <t>0                      WA 0540000AA 1                  C  385         1996</t>
  </si>
  <si>
    <t>Changing the U.S. health care system : key issues in health services, policy, and management / Ronald M. Andersen, Thomas H. Rice, Gerald F. Kominski, editors ; foreword by Abdelmonem A. Afifi.</t>
  </si>
  <si>
    <t>San Francisco : Jossey-Bass Publishers, c1996.</t>
  </si>
  <si>
    <t>1997-07-06</t>
  </si>
  <si>
    <t>1997-01-22</t>
  </si>
  <si>
    <t>2001-02-14</t>
  </si>
  <si>
    <t>865594191:eng</t>
  </si>
  <si>
    <t>33972095</t>
  </si>
  <si>
    <t>991001552319702656</t>
  </si>
  <si>
    <t>2264970600002656</t>
  </si>
  <si>
    <t>9780787902247</t>
  </si>
  <si>
    <t>30001003474212</t>
  </si>
  <si>
    <t>893162146</t>
  </si>
  <si>
    <t>30001004355626</t>
  </si>
  <si>
    <t>893162145</t>
  </si>
  <si>
    <t>WA 540 AA1 D18b 1996</t>
  </si>
  <si>
    <t>0                      WA 0540000AA 1                  D  18b         1996</t>
  </si>
  <si>
    <t>Benchmarks of fairness for health care reform / Norman Daniels, Donald W. Light, Ronald L. Caplan.</t>
  </si>
  <si>
    <t>Daniels, Norman, 1942-</t>
  </si>
  <si>
    <t>New York : Oxford University Press, c1996.</t>
  </si>
  <si>
    <t>1997-12-09</t>
  </si>
  <si>
    <t>1997-11-19</t>
  </si>
  <si>
    <t>2000-03-16</t>
  </si>
  <si>
    <t>38925550:eng</t>
  </si>
  <si>
    <t>33818132</t>
  </si>
  <si>
    <t>991001669819702656</t>
  </si>
  <si>
    <t>2270361590002656</t>
  </si>
  <si>
    <t>9780195102376</t>
  </si>
  <si>
    <t>30001003629716</t>
  </si>
  <si>
    <t>893643726</t>
  </si>
  <si>
    <t>WA540 AA1 D611 2002</t>
  </si>
  <si>
    <t>0                      WA 0540000AA 1                  D  611         2002</t>
  </si>
  <si>
    <t>Disability and the black community / Sheila D. Miller, editor.</t>
  </si>
  <si>
    <t>56882700:eng</t>
  </si>
  <si>
    <t>51258806</t>
  </si>
  <si>
    <t>991000372689702656</t>
  </si>
  <si>
    <t>2268420810002656</t>
  </si>
  <si>
    <t>9780789020765</t>
  </si>
  <si>
    <t>30001004920049</t>
  </si>
  <si>
    <t>893109462</t>
  </si>
  <si>
    <t>WA 540 AA1 H116m 1997</t>
  </si>
  <si>
    <t>0                      WA 0540000AA 1                  H  116m        1997</t>
  </si>
  <si>
    <t>Making medical spending decisions : the law, ethics, and economics of rationing mechanisms / Mark A. Hall.</t>
  </si>
  <si>
    <t>Hall, Mark A., 1955-</t>
  </si>
  <si>
    <t>New York : Oxford University Press, c1997.</t>
  </si>
  <si>
    <t>1999-04-11</t>
  </si>
  <si>
    <t>1997-12-18</t>
  </si>
  <si>
    <t>890788320:eng</t>
  </si>
  <si>
    <t>34894442</t>
  </si>
  <si>
    <t>991001140299702656</t>
  </si>
  <si>
    <t>2269255990002656</t>
  </si>
  <si>
    <t>9780195092196</t>
  </si>
  <si>
    <t>30001003629658</t>
  </si>
  <si>
    <t>893831939</t>
  </si>
  <si>
    <t>WA540 AA1 H276 2002</t>
  </si>
  <si>
    <t>0                      WA 0540000AA 1                  H  276         2002</t>
  </si>
  <si>
    <t>Major health care policies : fifty state profiles, 2001 / a publication of the Health Policy Tracking Service ; National Conference of State Legislatures.</t>
  </si>
  <si>
    <t>Health Policy Tracking Service.</t>
  </si>
  <si>
    <t>Washington, D.C. : Health Policy Tracking Service, 2002.</t>
  </si>
  <si>
    <t>10th ed.</t>
  </si>
  <si>
    <t>2007-05-31</t>
  </si>
  <si>
    <t>2002-06-18</t>
  </si>
  <si>
    <t>1053229547:eng</t>
  </si>
  <si>
    <t>49747800</t>
  </si>
  <si>
    <t>991000316789702656</t>
  </si>
  <si>
    <t>22101747050002656</t>
  </si>
  <si>
    <t>9781580241915</t>
  </si>
  <si>
    <t>30001004239218</t>
  </si>
  <si>
    <t>893537019</t>
  </si>
  <si>
    <t>WA 540 AA1 H434 2001</t>
  </si>
  <si>
    <t>0                      WA 0540000AA 1                  H  434         2001</t>
  </si>
  <si>
    <t>Healthy people 2010 : understanding and improving health / U.S. Department of Health and Human Services.</t>
  </si>
  <si>
    <t>United States. Department of Health and Human Services.</t>
  </si>
  <si>
    <t>Boston : Jones and Bartlett Publishers, 2001.</t>
  </si>
  <si>
    <t>[Rev. ed.].</t>
  </si>
  <si>
    <t>2006-12-14</t>
  </si>
  <si>
    <t>2004-08-26</t>
  </si>
  <si>
    <t>1909494640:eng</t>
  </si>
  <si>
    <t>45630562</t>
  </si>
  <si>
    <t>991000378289702656</t>
  </si>
  <si>
    <t>2265730450002656</t>
  </si>
  <si>
    <t>9780763714321</t>
  </si>
  <si>
    <t>30001004219780</t>
  </si>
  <si>
    <t>893547780</t>
  </si>
  <si>
    <t>WA 540 AA1 H48 1984</t>
  </si>
  <si>
    <t>0                      WA 0540000AA 1                  H  48          1984</t>
  </si>
  <si>
    <t>Health politics and policy / [edited by] Theodor J. Litman, Leonard S. Robins.</t>
  </si>
  <si>
    <t>New York : Wiley, c1984.</t>
  </si>
  <si>
    <t>Wiley series in health services, ISSN 0195-3907</t>
  </si>
  <si>
    <t>1996-04-22</t>
  </si>
  <si>
    <t>1077408717:eng</t>
  </si>
  <si>
    <t>10277393</t>
  </si>
  <si>
    <t>991000728119702656</t>
  </si>
  <si>
    <t>2258483460002656</t>
  </si>
  <si>
    <t>9780471082538</t>
  </si>
  <si>
    <t>30001000707440</t>
  </si>
  <si>
    <t>893459764</t>
  </si>
  <si>
    <t>WA540 AA1 H48 1997</t>
  </si>
  <si>
    <t>0                      WA 0540000AA 1                  H  48          1997</t>
  </si>
  <si>
    <t>Albany : Delmar Publishers, c1997.</t>
  </si>
  <si>
    <t>Delmar series in health services administration</t>
  </si>
  <si>
    <t>2008-02-14</t>
  </si>
  <si>
    <t>35815197</t>
  </si>
  <si>
    <t>991000291869702656</t>
  </si>
  <si>
    <t>2257648950002656</t>
  </si>
  <si>
    <t>9780827367760</t>
  </si>
  <si>
    <t>30001004235463</t>
  </si>
  <si>
    <t>893136044</t>
  </si>
  <si>
    <t>WA 540 AA1 I57f 1992</t>
  </si>
  <si>
    <t>0                      WA 0540000AA 1                  I  57f         1992</t>
  </si>
  <si>
    <t>Food and Drug Administration advisory committees / Committee to Study the Use of Advisory Committees by the Food and Drug Administration ; Richard A. Rettig, Laurence E. Earley, Richard A. Merrill, editors.</t>
  </si>
  <si>
    <t>Institute of Medicine (U.S.). Committee to Study the Use of Advisory Committees by the Food and Drug Administration.</t>
  </si>
  <si>
    <t>Washington, D.C. : National Academy Press, c1992.</t>
  </si>
  <si>
    <t>1994-01-28</t>
  </si>
  <si>
    <t>1994-01-21</t>
  </si>
  <si>
    <t>330227:eng</t>
  </si>
  <si>
    <t>28854639</t>
  </si>
  <si>
    <t>991000667869702656</t>
  </si>
  <si>
    <t>2259877040002656</t>
  </si>
  <si>
    <t>9780309048378</t>
  </si>
  <si>
    <t>30001002695247</t>
  </si>
  <si>
    <t>893819952</t>
  </si>
  <si>
    <t>WA540 AA1 L954h 2004</t>
  </si>
  <si>
    <t>0                      WA 0540000AA 1                  L  954h        2004</t>
  </si>
  <si>
    <t>Healthcare strategy : in pursuit of competitive advantage / Roice D. Luke, Stephen L. Walston, Patrick Michael Plummer.</t>
  </si>
  <si>
    <t>Luke, Roice D.</t>
  </si>
  <si>
    <t>Chicago, IL : Health Administration Press, c2004.</t>
  </si>
  <si>
    <t>2004-11-01</t>
  </si>
  <si>
    <t>863040245:eng</t>
  </si>
  <si>
    <t>52623664</t>
  </si>
  <si>
    <t>991000406469702656</t>
  </si>
  <si>
    <t>2270827790002656</t>
  </si>
  <si>
    <t>9781567932157</t>
  </si>
  <si>
    <t>30001004924579</t>
  </si>
  <si>
    <t>893275037</t>
  </si>
  <si>
    <t>WA 540 AA1 M191h 2005</t>
  </si>
  <si>
    <t>0                      WA 0540000AA 1                  M  191h        2005</t>
  </si>
  <si>
    <t>Health politics : power, populism, and health / Mike Magee.</t>
  </si>
  <si>
    <t>Magee, Mike, M.D.</t>
  </si>
  <si>
    <t>Bronxville, NY : Spencer Books, c2005.</t>
  </si>
  <si>
    <t>2009-09-27</t>
  </si>
  <si>
    <t>2006-04-27</t>
  </si>
  <si>
    <t>308607767:eng</t>
  </si>
  <si>
    <t>62195746</t>
  </si>
  <si>
    <t>991001737279702656</t>
  </si>
  <si>
    <t>2258055810002656</t>
  </si>
  <si>
    <t>9781889793177</t>
  </si>
  <si>
    <t>30001005126844</t>
  </si>
  <si>
    <t>893456111</t>
  </si>
  <si>
    <t>WA540 AA1 M3783h 2008</t>
  </si>
  <si>
    <t>0                      WA 0540000AA 1                  M  3783h       2008</t>
  </si>
  <si>
    <t>Health policy analysis : an interdisciplinary approach / Curtis P. McLaughlin, Craig D. McLaughlin.</t>
  </si>
  <si>
    <t>McLaughlin, Curtis P.</t>
  </si>
  <si>
    <t>Sudbury, Mass. : Jones and Bartlett Publishers, c2008.</t>
  </si>
  <si>
    <t>2010-11-22</t>
  </si>
  <si>
    <t>2007-11-12</t>
  </si>
  <si>
    <t>368046587:eng</t>
  </si>
  <si>
    <t>85498715</t>
  </si>
  <si>
    <t>991000659309702656</t>
  </si>
  <si>
    <t>2266082760002656</t>
  </si>
  <si>
    <t>9780763744427</t>
  </si>
  <si>
    <t>30001005230505</t>
  </si>
  <si>
    <t>893160761</t>
  </si>
  <si>
    <t>WA 540 AA1 M5p 1981</t>
  </si>
  <si>
    <t>0                      WA 0540000AA 1                  M  5p          1981</t>
  </si>
  <si>
    <t>Promoting health through public policy / Nancy Milio.</t>
  </si>
  <si>
    <t>Milio, Nancy.</t>
  </si>
  <si>
    <t>Philadelphia : Davis, c1981.</t>
  </si>
  <si>
    <t>1988-02-04</t>
  </si>
  <si>
    <t>455870:eng</t>
  </si>
  <si>
    <t>6889511</t>
  </si>
  <si>
    <t>991000728229702656</t>
  </si>
  <si>
    <t>2269329410002656</t>
  </si>
  <si>
    <t>9780803661776</t>
  </si>
  <si>
    <t>30001000707457</t>
  </si>
  <si>
    <t>893831128</t>
  </si>
  <si>
    <t>WA540 AA1 P295h 1999</t>
  </si>
  <si>
    <t>0                      WA 0540000AA 1                  P  295h        1999</t>
  </si>
  <si>
    <t>Health care politics and policy in America / Kant Patel, Mark E. Rushefsky.</t>
  </si>
  <si>
    <t>Patel, Kant, 1946-</t>
  </si>
  <si>
    <t>Armonk, N.Y. : M.E. Sharpe, c1999.</t>
  </si>
  <si>
    <t>2005-06-15</t>
  </si>
  <si>
    <t>24120370:eng</t>
  </si>
  <si>
    <t>40644986</t>
  </si>
  <si>
    <t>991000291919702656</t>
  </si>
  <si>
    <t>2261300530002656</t>
  </si>
  <si>
    <t>9780765603890</t>
  </si>
  <si>
    <t>30001004235471</t>
  </si>
  <si>
    <t>893136045</t>
  </si>
  <si>
    <t>WA 540 AA1 P52p 1990</t>
  </si>
  <si>
    <t>0                      WA 0540000AA 1                  P  52p         1990</t>
  </si>
  <si>
    <t>Public health : administration and practice / George Pickett.</t>
  </si>
  <si>
    <t>Pickett, George E. (George Eastman), 1935-</t>
  </si>
  <si>
    <t>2007-09-20</t>
  </si>
  <si>
    <t>1990-08-08</t>
  </si>
  <si>
    <t>20057345</t>
  </si>
  <si>
    <t>991001452349702656</t>
  </si>
  <si>
    <t>2260592920002656</t>
  </si>
  <si>
    <t>9780801625015</t>
  </si>
  <si>
    <t>30001001883547</t>
  </si>
  <si>
    <t>893451221</t>
  </si>
  <si>
    <t>WA 540 AA1 S728c 2003</t>
  </si>
  <si>
    <t>0                      WA 0540000AA 1                  S  728c        2003</t>
  </si>
  <si>
    <t>A call to be whole : the fundamentals of health care reform / Barbara J. Sowada.</t>
  </si>
  <si>
    <t>Sowada, Barbara J., 1947-</t>
  </si>
  <si>
    <t>Westport, Conn. : Praeger, 2003.</t>
  </si>
  <si>
    <t>800854579:eng</t>
  </si>
  <si>
    <t>51216288</t>
  </si>
  <si>
    <t>991000441069702656</t>
  </si>
  <si>
    <t>2270476980002656</t>
  </si>
  <si>
    <t>9780275978853</t>
  </si>
  <si>
    <t>30001005000601</t>
  </si>
  <si>
    <t>893461496</t>
  </si>
  <si>
    <t>WA 540 AA1 S898 1996</t>
  </si>
  <si>
    <t>0                      WA 0540000AA 1                  S  898         1996</t>
  </si>
  <si>
    <t>Strategic choices for a changing health care system / edited by Stuart H. Altman, Uwe E. Reinhardt.</t>
  </si>
  <si>
    <t>Chicago, Ill. : Health Administration Press, c1996.</t>
  </si>
  <si>
    <t>The Baxter health policy review ; v. 2</t>
  </si>
  <si>
    <t>2002-08-06</t>
  </si>
  <si>
    <t>1997-10-28</t>
  </si>
  <si>
    <t>38987761:eng</t>
  </si>
  <si>
    <t>34113023</t>
  </si>
  <si>
    <t>991001139599702656</t>
  </si>
  <si>
    <t>2265801990002656</t>
  </si>
  <si>
    <t>9781567930405</t>
  </si>
  <si>
    <t>30001003629138</t>
  </si>
  <si>
    <t>893826480</t>
  </si>
  <si>
    <t>WA 540 AA1 T95p 1997</t>
  </si>
  <si>
    <t>0                      WA 0540000AA 1                  T  95p         1997</t>
  </si>
  <si>
    <t>Public health : what it is and how it works / Bernard J. Turnock.</t>
  </si>
  <si>
    <t>Turnock, Bernard J.</t>
  </si>
  <si>
    <t>1999-03-25</t>
  </si>
  <si>
    <t>408535:eng</t>
  </si>
  <si>
    <t>35879002</t>
  </si>
  <si>
    <t>991000487199702656</t>
  </si>
  <si>
    <t>2266772220002656</t>
  </si>
  <si>
    <t>9780834208988</t>
  </si>
  <si>
    <t>30001004070423</t>
  </si>
  <si>
    <t>893629323</t>
  </si>
  <si>
    <t>WA 540 AA1 W322d 1992</t>
  </si>
  <si>
    <t>0                      WA 0540000AA 1                  W  322d        1992</t>
  </si>
  <si>
    <t>The Doctor dilemma / Gerald Weissmann.</t>
  </si>
  <si>
    <t>Weissmann, Gerald.</t>
  </si>
  <si>
    <t>Knoxville, TN : Whittle Direct Books, c1992.</t>
  </si>
  <si>
    <t>tnu</t>
  </si>
  <si>
    <t>The Grand rounds press, 1053-6620.</t>
  </si>
  <si>
    <t>1993-11-08</t>
  </si>
  <si>
    <t>1992-08-31</t>
  </si>
  <si>
    <t>392589:eng</t>
  </si>
  <si>
    <t>25604024</t>
  </si>
  <si>
    <t>991001343419702656</t>
  </si>
  <si>
    <t>2258759680002656</t>
  </si>
  <si>
    <t>9781879736054</t>
  </si>
  <si>
    <t>30001002456392</t>
  </si>
  <si>
    <t>893467915</t>
  </si>
  <si>
    <t>WA 540 H434h 1987</t>
  </si>
  <si>
    <t>0                      WA 0540000H  434h        1987</t>
  </si>
  <si>
    <t>The Health policy agenda for the American people / editor, E. Jill Hirt.</t>
  </si>
  <si>
    <t>[S.l.] : The Health Policy Agenda for the American People, c1987.</t>
  </si>
  <si>
    <t>2006-03-06</t>
  </si>
  <si>
    <t>1988-01-03</t>
  </si>
  <si>
    <t>10312776:eng</t>
  </si>
  <si>
    <t>15377036</t>
  </si>
  <si>
    <t>991001268879702656</t>
  </si>
  <si>
    <t>2267729610002656</t>
  </si>
  <si>
    <t>9780899702292</t>
  </si>
  <si>
    <t>30001000354102</t>
  </si>
  <si>
    <t>893557746</t>
  </si>
  <si>
    <t>WA540 H434hs 1987</t>
  </si>
  <si>
    <t>0                      WA 0540000H  434hs       1987</t>
  </si>
  <si>
    <t>The Health policy agenda for the American people : summary report.</t>
  </si>
  <si>
    <t>1988-03-03</t>
  </si>
  <si>
    <t>2286713225:eng</t>
  </si>
  <si>
    <t>15376983</t>
  </si>
  <si>
    <t>991001268919702656</t>
  </si>
  <si>
    <t>2265279550002656</t>
  </si>
  <si>
    <t>9780899702285</t>
  </si>
  <si>
    <t>30001000354110</t>
  </si>
  <si>
    <t>893134406</t>
  </si>
  <si>
    <t>WA 540 JC6 P9 1972</t>
  </si>
  <si>
    <t>0                      WA 0540000JC 6                  P  9           1972</t>
  </si>
  <si>
    <t>Public health in the People's Republic of China : report of a conference / edited by Myron E. Wegman, Tsung-yi Lin, and Elizabeth F. Purcell.</t>
  </si>
  <si>
    <t>-- New York : Josiah Macy, Jr. Foundation [c1973]</t>
  </si>
  <si>
    <t>1973</t>
  </si>
  <si>
    <t>The Macy Foundation Series on Medicine and Public Health in China</t>
  </si>
  <si>
    <t>1989-11-15</t>
  </si>
  <si>
    <t>9490539455:eng</t>
  </si>
  <si>
    <t>793675</t>
  </si>
  <si>
    <t>991000729159702656</t>
  </si>
  <si>
    <t>2263167700002656</t>
  </si>
  <si>
    <t>30001000707655</t>
  </si>
  <si>
    <t>893373542</t>
  </si>
  <si>
    <t>WA 540 KA8 H434 2000</t>
  </si>
  <si>
    <t>0                      WA 0540000KA 8                  H  434         2000</t>
  </si>
  <si>
    <t>Health reform in Australia and New Zealand / [edited by] Abby L. Bloom.</t>
  </si>
  <si>
    <t>Melbourne ; New York : Oxford University Press, 2000.</t>
  </si>
  <si>
    <t xml:space="preserve">at </t>
  </si>
  <si>
    <t>34446812:eng</t>
  </si>
  <si>
    <t>44877762</t>
  </si>
  <si>
    <t>991000358709702656</t>
  </si>
  <si>
    <t>2257012590002656</t>
  </si>
  <si>
    <t>9780195508604</t>
  </si>
  <si>
    <t>30001004218063</t>
  </si>
  <si>
    <t>893354244</t>
  </si>
  <si>
    <t>WA 540 R281 1993</t>
  </si>
  <si>
    <t>0                      WA 0540000R  281         1993</t>
  </si>
  <si>
    <t>Reaching health for all / edited by Jon Rohde, Meera Chatterjee, David Morley ; illustrated by Stephen Marazzi.</t>
  </si>
  <si>
    <t>Delhi ; New York : Oxford University Press, c1993.</t>
  </si>
  <si>
    <t xml:space="preserve">ii </t>
  </si>
  <si>
    <t>5611595209:eng</t>
  </si>
  <si>
    <t>28745743</t>
  </si>
  <si>
    <t>991000646189702656</t>
  </si>
  <si>
    <t>2266996520002656</t>
  </si>
  <si>
    <t>9780195632361</t>
  </si>
  <si>
    <t>30001002690354</t>
  </si>
  <si>
    <t>893464409</t>
  </si>
  <si>
    <t>WA540 W4g 2002</t>
  </si>
  <si>
    <t>0                      WA 0540000W  4g          2002</t>
  </si>
  <si>
    <t>Governing health : the politics of health policy / Carol S. Weissert and William G. Weissert.</t>
  </si>
  <si>
    <t>Weissert, Carol S.</t>
  </si>
  <si>
    <t>Baltimore : Johns Hopkins University Press, 2002.</t>
  </si>
  <si>
    <t>2003-01-30</t>
  </si>
  <si>
    <t>794169781:eng</t>
  </si>
  <si>
    <t>46785331</t>
  </si>
  <si>
    <t>991000338179702656</t>
  </si>
  <si>
    <t>2263108320002656</t>
  </si>
  <si>
    <t>9780801868450</t>
  </si>
  <si>
    <t>30001004501831</t>
  </si>
  <si>
    <t>893279917</t>
  </si>
  <si>
    <t>WA 540.1 B298i 1990</t>
  </si>
  <si>
    <t>0                      WA 0540100B  298i        1990</t>
  </si>
  <si>
    <t>A textbook of international health / by Paul F. Basch.</t>
  </si>
  <si>
    <t>Basch, Paul F. (Paul Frederick), 1933-2001.</t>
  </si>
  <si>
    <t>New York : Oxford University Press, c1990.</t>
  </si>
  <si>
    <t>2006-05-30</t>
  </si>
  <si>
    <t>1990-01-10</t>
  </si>
  <si>
    <t>793229541:eng</t>
  </si>
  <si>
    <t>19392593</t>
  </si>
  <si>
    <t>991001383479702656</t>
  </si>
  <si>
    <t>2264089170002656</t>
  </si>
  <si>
    <t>9780195048971</t>
  </si>
  <si>
    <t>30001001799230</t>
  </si>
  <si>
    <t>893638279</t>
  </si>
  <si>
    <t>WA 540.1 C456 1989</t>
  </si>
  <si>
    <t>0                      WA 0540100C  456         1989</t>
  </si>
  <si>
    <t>Changing America's health care system : proposals for legislative action / Shelah Leader and Marilyn Moon, editors ; with contributions by Karen Davis ... [et al.].</t>
  </si>
  <si>
    <t>Washington, D.C. : Public Policy Institute, American Association of Retired Persons ; Glenview, Ill. : Scott, Foresman, c1989.</t>
  </si>
  <si>
    <t>1996-08-27</t>
  </si>
  <si>
    <t>1989-06-19</t>
  </si>
  <si>
    <t>890303766:eng</t>
  </si>
  <si>
    <t>18071003</t>
  </si>
  <si>
    <t>991001250529702656</t>
  </si>
  <si>
    <t>2270306730002656</t>
  </si>
  <si>
    <t>9780673248954</t>
  </si>
  <si>
    <t>30001001678764</t>
  </si>
  <si>
    <t>893460389</t>
  </si>
  <si>
    <t>WA 540.1 C737 1984</t>
  </si>
  <si>
    <t>0                      WA 0540100C  737         1984</t>
  </si>
  <si>
    <t>Comparative health systems : descriptive analyses of fourteen national health systems / edited by Marshall W. Raffel.</t>
  </si>
  <si>
    <t>University Park : Pennsylvania State University Press, c1984.</t>
  </si>
  <si>
    <t>1996-04-21</t>
  </si>
  <si>
    <t>1988-01-04</t>
  </si>
  <si>
    <t>836627445:eng</t>
  </si>
  <si>
    <t>9829400</t>
  </si>
  <si>
    <t>991000729529702656</t>
  </si>
  <si>
    <t>2269895500002656</t>
  </si>
  <si>
    <t>9780271003634</t>
  </si>
  <si>
    <t>30001000707762</t>
  </si>
  <si>
    <t>893283571</t>
  </si>
  <si>
    <t>WA 540.1 C971e 1991</t>
  </si>
  <si>
    <t>0                      WA 0540100C  971e        1991</t>
  </si>
  <si>
    <t>The evaluation of national health systems / George E. Cumper.</t>
  </si>
  <si>
    <t>Cumper, George E. (George Edward), 1924-</t>
  </si>
  <si>
    <t>Oxford ; New York : Oxford University Press, c1991.</t>
  </si>
  <si>
    <t>1992-01-09</t>
  </si>
  <si>
    <t>22869129:eng</t>
  </si>
  <si>
    <t>21901447</t>
  </si>
  <si>
    <t>991001024499702656</t>
  </si>
  <si>
    <t>2258860470002656</t>
  </si>
  <si>
    <t>9780192618030</t>
  </si>
  <si>
    <t>30001002242404</t>
  </si>
  <si>
    <t>893455398</t>
  </si>
  <si>
    <t>WA 540.1 H4318 1999</t>
  </si>
  <si>
    <t>0                      WA 0540100H  4318        1999</t>
  </si>
  <si>
    <t>Health care systems in transition : an international perspective / Francis D. Powell, Albert F. Wessen, editors.</t>
  </si>
  <si>
    <t>Thousand Oaks : Sage Publications, c1999.</t>
  </si>
  <si>
    <t>836922127:eng</t>
  </si>
  <si>
    <t>39051870</t>
  </si>
  <si>
    <t>991000381369702656</t>
  </si>
  <si>
    <t>2255233710002656</t>
  </si>
  <si>
    <t>9780761910817</t>
  </si>
  <si>
    <t>30001004841245</t>
  </si>
  <si>
    <t>893365382</t>
  </si>
  <si>
    <t>WA 540.1 H4342 1992</t>
  </si>
  <si>
    <t>0                      WA 0540100H  4342        1992</t>
  </si>
  <si>
    <t>Healthy cities / edited by John Ashton.</t>
  </si>
  <si>
    <t>Milton Keynes [England] ; Philadelphia : Open University Press, c1992.</t>
  </si>
  <si>
    <t>2001-12-30</t>
  </si>
  <si>
    <t>63441990:eng</t>
  </si>
  <si>
    <t>24009535</t>
  </si>
  <si>
    <t>991001432099702656</t>
  </si>
  <si>
    <t>2261991870002656</t>
  </si>
  <si>
    <t>9780335094769</t>
  </si>
  <si>
    <t>30001002529735</t>
  </si>
  <si>
    <t>893816392</t>
  </si>
  <si>
    <t>WA 540.1 I634 1988</t>
  </si>
  <si>
    <t>0                      WA 0540100I  634         1988</t>
  </si>
  <si>
    <t>The International handbook of health-care systems / edited by Richard B. Saltman.</t>
  </si>
  <si>
    <t>New York : Greenwood Press, c1988.</t>
  </si>
  <si>
    <t>2002-11-03</t>
  </si>
  <si>
    <t>1989-06-22</t>
  </si>
  <si>
    <t>54986769:eng</t>
  </si>
  <si>
    <t>16225436</t>
  </si>
  <si>
    <t>991001251349702656</t>
  </si>
  <si>
    <t>2261641620002656</t>
  </si>
  <si>
    <t>9780313241116</t>
  </si>
  <si>
    <t>30001001678954</t>
  </si>
  <si>
    <t>893278903</t>
  </si>
  <si>
    <t>WA 540.1 L526f 1991</t>
  </si>
  <si>
    <t>0                      WA 0540100L  526f        1991</t>
  </si>
  <si>
    <t>Free to be foolish : politics and health promotion in the United States and Great Britain / Howard M. Leichter.</t>
  </si>
  <si>
    <t>Leichter, Howard M.</t>
  </si>
  <si>
    <t>Princeton, N.J. : Princeton University Press, c1991.</t>
  </si>
  <si>
    <t>1992-04-09</t>
  </si>
  <si>
    <t>365306322:eng</t>
  </si>
  <si>
    <t>21873635</t>
  </si>
  <si>
    <t>991001299229702656</t>
  </si>
  <si>
    <t>2269181270002656</t>
  </si>
  <si>
    <t>9780691078670</t>
  </si>
  <si>
    <t>30001002411207</t>
  </si>
  <si>
    <t>893274000</t>
  </si>
  <si>
    <t>WA 540.1 R715n 1991-93</t>
  </si>
  <si>
    <t>0                      WA 0540100R  715n        1991                                        -93</t>
  </si>
  <si>
    <t>National health systems of the world / Milton I. Roemer.</t>
  </si>
  <si>
    <t>Roemer, Milton Irwin, 1916-2001.</t>
  </si>
  <si>
    <t>New York : Oxford University Press, c1991-1993.</t>
  </si>
  <si>
    <t>119227541:eng</t>
  </si>
  <si>
    <t>21525183</t>
  </si>
  <si>
    <t>991000827139702656</t>
  </si>
  <si>
    <t>2255822280002656</t>
  </si>
  <si>
    <t>9780195053203</t>
  </si>
  <si>
    <t>30001002530212</t>
  </si>
  <si>
    <t>893726930</t>
  </si>
  <si>
    <t>WA540.1 R715N 1992/93</t>
  </si>
  <si>
    <t>0                      WA 0540100R  715N        1992                                        93</t>
  </si>
  <si>
    <t>1995-03-29</t>
  </si>
  <si>
    <t>1991-04-11</t>
  </si>
  <si>
    <t>30001002089276</t>
  </si>
  <si>
    <t>893731347</t>
  </si>
  <si>
    <t>WA 540.1 S942 1989</t>
  </si>
  <si>
    <t>0                      WA 0540100S  942         1989</t>
  </si>
  <si>
    <t>Success and crisis in national health systems : a comparative approach / edited by Mark G. Field.</t>
  </si>
  <si>
    <t>New York : Routledge, c1989.</t>
  </si>
  <si>
    <t>Contemporary issues in health, medicine, and social policy</t>
  </si>
  <si>
    <t>2002-07-24</t>
  </si>
  <si>
    <t>1990-09-12</t>
  </si>
  <si>
    <t>836851262:eng</t>
  </si>
  <si>
    <t>17768682</t>
  </si>
  <si>
    <t>991001454849702656</t>
  </si>
  <si>
    <t>2264714750002656</t>
  </si>
  <si>
    <t>9780415012904</t>
  </si>
  <si>
    <t>30001001884719</t>
  </si>
  <si>
    <t>893832206</t>
  </si>
  <si>
    <t>WA 546 AA1 B799b 2000</t>
  </si>
  <si>
    <t>0                      WA 0546000AA 1                  B  799b        2000</t>
  </si>
  <si>
    <t>Building health coalitions in the Black community / Ronald L. Braithwaite, Sandra E. Taylor, John N. Austin.</t>
  </si>
  <si>
    <t>Braithwaite, Ronald L., 1945-</t>
  </si>
  <si>
    <t>Thousand Oaks, Calif. : Sage Publications, c2000.</t>
  </si>
  <si>
    <t>26775333:eng</t>
  </si>
  <si>
    <t>41662237</t>
  </si>
  <si>
    <t>991000372249702656</t>
  </si>
  <si>
    <t>2254759880002656</t>
  </si>
  <si>
    <t>9780803973091</t>
  </si>
  <si>
    <t>30001004921344</t>
  </si>
  <si>
    <t>893370429</t>
  </si>
  <si>
    <t>WA 546 AA1 C658 1990</t>
  </si>
  <si>
    <t>0                      WA 0546000AA 1                  C  658         1990</t>
  </si>
  <si>
    <t>Community care for homeless families : a program design manual / the Better Homes Foundation ; edited by Ellen L. Bassuk ... [et. al].</t>
  </si>
  <si>
    <t>Newton Centre, MA (189 Wells Ave., Newton Centre, 02159) : The Foundation, [1990]</t>
  </si>
  <si>
    <t>1992-08-05</t>
  </si>
  <si>
    <t>1992-06-05</t>
  </si>
  <si>
    <t>918064146:eng</t>
  </si>
  <si>
    <t>25675286</t>
  </si>
  <si>
    <t>991001305279702656</t>
  </si>
  <si>
    <t>2267205410002656</t>
  </si>
  <si>
    <t>30001002413575</t>
  </si>
  <si>
    <t>893121388</t>
  </si>
  <si>
    <t>WA 546 AA1 D3c 1998</t>
  </si>
  <si>
    <t>0                      WA 0546000AA 1                  D  3c          1998</t>
  </si>
  <si>
    <t>Community health psychology : empowerment for diverse communities / Victor de La Cancela, Jean Lau Chin, and Yvonne M. Jenkins ; foreword by J. Emilio Carrillo.</t>
  </si>
  <si>
    <t>De La Cancela, Victor.</t>
  </si>
  <si>
    <t>New York : Routledge, 1998.</t>
  </si>
  <si>
    <t>2004-09-11</t>
  </si>
  <si>
    <t>543167:eng</t>
  </si>
  <si>
    <t>36915874</t>
  </si>
  <si>
    <t>991000383139702656</t>
  </si>
  <si>
    <t>2259400920002656</t>
  </si>
  <si>
    <t>9780415914260</t>
  </si>
  <si>
    <t>30001004921799</t>
  </si>
  <si>
    <t>893354263</t>
  </si>
  <si>
    <t>WA 546 AA1 H434 1991</t>
  </si>
  <si>
    <t>0                      WA 0546000AA 1                  H  434         1991</t>
  </si>
  <si>
    <t>Healthy communities 2000 : model standards : guidelines for community attainment of the year 2000 national health objectives / American Public Health Association.</t>
  </si>
  <si>
    <t>Washington, DC : American Public Health Association, c1991.</t>
  </si>
  <si>
    <t>1999-11-23</t>
  </si>
  <si>
    <t>1992-08-19</t>
  </si>
  <si>
    <t>859822030:eng</t>
  </si>
  <si>
    <t>27729108</t>
  </si>
  <si>
    <t>991001340099702656</t>
  </si>
  <si>
    <t>2270657540002656</t>
  </si>
  <si>
    <t>9780875532042</t>
  </si>
  <si>
    <t>30001002455329</t>
  </si>
  <si>
    <t>893552377</t>
  </si>
  <si>
    <t>WA 546 AA1 N213a 1987</t>
  </si>
  <si>
    <t>0                      WA 0546000AA 1                  N  213a        1987</t>
  </si>
  <si>
    <t>Accreditation criteria, standards, and substantiating evidences / Accreditation Division for Home Care and Community Health, National League for Nursing.</t>
  </si>
  <si>
    <t>National League for Nursing. Accreditation Division for Home Care and Community Health.</t>
  </si>
  <si>
    <t>New York, N.Y. : The League, c1987.</t>
  </si>
  <si>
    <t>NLN pub. no. 21-1306.</t>
  </si>
  <si>
    <t>1989-10-30</t>
  </si>
  <si>
    <t>1987-10-27</t>
  </si>
  <si>
    <t>10170419:eng</t>
  </si>
  <si>
    <t>15220116</t>
  </si>
  <si>
    <t>991001386249702656</t>
  </si>
  <si>
    <t>2255594430002656</t>
  </si>
  <si>
    <t>9780887373633</t>
  </si>
  <si>
    <t>30001000463754</t>
  </si>
  <si>
    <t>893731967</t>
  </si>
  <si>
    <t>WA 546 AA1 R745 1984</t>
  </si>
  <si>
    <t>0                      WA 0546000AA 1                  R  745         1984</t>
  </si>
  <si>
    <t>The Roles of U.S. institutions of higher education in community health care : proceedings of an invitational workshop / Institute of Medicine.</t>
  </si>
  <si>
    <t>Washington, D.C. : National Academy Press, 1984.</t>
  </si>
  <si>
    <t>IOM-84-001</t>
  </si>
  <si>
    <t>2000-11-21</t>
  </si>
  <si>
    <t>8926659199:eng</t>
  </si>
  <si>
    <t>12016079</t>
  </si>
  <si>
    <t>991000730819702656</t>
  </si>
  <si>
    <t>2255727160002656</t>
  </si>
  <si>
    <t>30001000708075</t>
  </si>
  <si>
    <t>893560466</t>
  </si>
  <si>
    <t>WA546 AA1 T915i 2000</t>
  </si>
  <si>
    <t>0                      WA 0546000AA 1                  T  915i        2000</t>
  </si>
  <si>
    <t>It is well with my soul : churches and institutions collaborating for public health / Melvin Tuggle.</t>
  </si>
  <si>
    <t>Tuggle, Melvin, Reverend.</t>
  </si>
  <si>
    <t>Washington, DC : American Public Health Association, c2000.</t>
  </si>
  <si>
    <t>2008-12-01</t>
  </si>
  <si>
    <t>2002-03-04</t>
  </si>
  <si>
    <t>35356565:eng</t>
  </si>
  <si>
    <t>46318203</t>
  </si>
  <si>
    <t>991000306429702656</t>
  </si>
  <si>
    <t>2261246880002656</t>
  </si>
  <si>
    <t>9780875531809</t>
  </si>
  <si>
    <t>30001004237006</t>
  </si>
  <si>
    <t>893109390</t>
  </si>
  <si>
    <t>WA 546 D911c 1998</t>
  </si>
  <si>
    <t>0                      WA 0546000D  911c        1998</t>
  </si>
  <si>
    <t>Community health information systems : lessons for the future / Karen A. Duncan.</t>
  </si>
  <si>
    <t>Duncan, Karen A.</t>
  </si>
  <si>
    <t>Chicago, Ill. : Health Administration Press, c1998.</t>
  </si>
  <si>
    <t>2001-11-28</t>
  </si>
  <si>
    <t>1999-02-16</t>
  </si>
  <si>
    <t>5575056909:eng</t>
  </si>
  <si>
    <t>37513178</t>
  </si>
  <si>
    <t>991001531269702656</t>
  </si>
  <si>
    <t>2269745470002656</t>
  </si>
  <si>
    <t>9781567930719</t>
  </si>
  <si>
    <t>30001003961515</t>
  </si>
  <si>
    <t>893834714</t>
  </si>
  <si>
    <t>WA 546 M644c 1975</t>
  </si>
  <si>
    <t>0                      WA 0546000M  644c        1975</t>
  </si>
  <si>
    <t>The care of health in communities : access for outcasts / Nancy Milio.</t>
  </si>
  <si>
    <t>New York : Macmillan, c1975.</t>
  </si>
  <si>
    <t>1975</t>
  </si>
  <si>
    <t>1988-11-04</t>
  </si>
  <si>
    <t>308607911:eng</t>
  </si>
  <si>
    <t>1119443</t>
  </si>
  <si>
    <t>991000731009702656</t>
  </si>
  <si>
    <t>2256121240002656</t>
  </si>
  <si>
    <t>9780023811302</t>
  </si>
  <si>
    <t>30001000708190</t>
  </si>
  <si>
    <t>893831132</t>
  </si>
  <si>
    <t>WA 546.1 A672i 1984</t>
  </si>
  <si>
    <t>0                      WA 0546100A  672i        1984</t>
  </si>
  <si>
    <t>Implementing change in communities : a collaborative process / Sarah Ellen Archer, Carole D. Kelly, Sally Ann Bisch.</t>
  </si>
  <si>
    <t>Archer, Sarah Ellen.</t>
  </si>
  <si>
    <t>312614620:eng</t>
  </si>
  <si>
    <t>9853861</t>
  </si>
  <si>
    <t>991000754239702656</t>
  </si>
  <si>
    <t>2271695290002656</t>
  </si>
  <si>
    <t>9780801603006</t>
  </si>
  <si>
    <t>30001000052060</t>
  </si>
  <si>
    <t>893120343</t>
  </si>
  <si>
    <t>WA 546.1 D491c 1991</t>
  </si>
  <si>
    <t>0                      WA 0546100D  491c        1991</t>
  </si>
  <si>
    <t>Community health analysis : global awareness at the local level / G.E. Alan Dever.</t>
  </si>
  <si>
    <t>2003-07-19</t>
  </si>
  <si>
    <t>1991-06-13</t>
  </si>
  <si>
    <t>250175609:eng</t>
  </si>
  <si>
    <t>22665350</t>
  </si>
  <si>
    <t>991000938729702656</t>
  </si>
  <si>
    <t>2257329830002656</t>
  </si>
  <si>
    <t>9780834201910</t>
  </si>
  <si>
    <t>30001002192013</t>
  </si>
  <si>
    <t>893278503</t>
  </si>
  <si>
    <t>WA546.1 H4343 2004</t>
  </si>
  <si>
    <t>0                      WA 0546100H  4343        2004</t>
  </si>
  <si>
    <t>Health financing for poor people : resource mobilization and risk sharing / editors, Alexander S. Preker and Guy Carrin.</t>
  </si>
  <si>
    <t>Washington, DC : World Bank ; Geneva : Worlh Health Organization : International Labour Office, 2004.</t>
  </si>
  <si>
    <t>896238971:eng</t>
  </si>
  <si>
    <t>52520644</t>
  </si>
  <si>
    <t>991000604679702656</t>
  </si>
  <si>
    <t>2269572810002656</t>
  </si>
  <si>
    <t>9780821355251</t>
  </si>
  <si>
    <t>30001005127248</t>
  </si>
  <si>
    <t>893266876</t>
  </si>
  <si>
    <t>WA 590 B829c 1994</t>
  </si>
  <si>
    <t>0                      WA 0590000B  829c        1994</t>
  </si>
  <si>
    <t>Community health education : settings, roles, and skills for the 21st century / Donald J. Breckon, John R. Harvey, R. Brick Lancaster.</t>
  </si>
  <si>
    <t>Breckon, David J.</t>
  </si>
  <si>
    <t>Gaithersburg, Md. : Aspen Publishers, Inc., c1994.</t>
  </si>
  <si>
    <t>2000-04-06</t>
  </si>
  <si>
    <t>1994-03-31</t>
  </si>
  <si>
    <t>903518591:eng</t>
  </si>
  <si>
    <t>29430077</t>
  </si>
  <si>
    <t>991001161449702656</t>
  </si>
  <si>
    <t>2259851240002656</t>
  </si>
  <si>
    <t>9780834205260</t>
  </si>
  <si>
    <t>30001002974170</t>
  </si>
  <si>
    <t>893358290</t>
  </si>
  <si>
    <t>WA590 B918e 2000</t>
  </si>
  <si>
    <t>0                      WA 0590000B  918e        2000</t>
  </si>
  <si>
    <t>An ethic for health promotion : rethinking the sources of human well-being / David R. Buchanan.</t>
  </si>
  <si>
    <t>Buchanan, David Ross.</t>
  </si>
  <si>
    <t>New York : Oxford University Press, 2000.</t>
  </si>
  <si>
    <t>2002-06-06</t>
  </si>
  <si>
    <t>797258282:eng</t>
  </si>
  <si>
    <t>41266034</t>
  </si>
  <si>
    <t>991001713949702656</t>
  </si>
  <si>
    <t>2262767130002656</t>
  </si>
  <si>
    <t>9780195130577</t>
  </si>
  <si>
    <t>30001004237857</t>
  </si>
  <si>
    <t>893274405</t>
  </si>
  <si>
    <t>WA590 C734 1997</t>
  </si>
  <si>
    <t>0                      WA 0590000C  734         1997</t>
  </si>
  <si>
    <t>Community health education and promotion : a guide to program design and evaluation / Aspen Reference Group ; Sara Nell Di Lima, manager ; Christina S. Schust, editor.</t>
  </si>
  <si>
    <t>Gaithersburg, Md. : Aspen Publishers, c1997.</t>
  </si>
  <si>
    <t>2000-03-12</t>
  </si>
  <si>
    <t>1998-02-25</t>
  </si>
  <si>
    <t>927312209:eng</t>
  </si>
  <si>
    <t>36252762</t>
  </si>
  <si>
    <t>991001261989702656</t>
  </si>
  <si>
    <t>2261722300002656</t>
  </si>
  <si>
    <t>9780834209534</t>
  </si>
  <si>
    <t>30001003691435</t>
  </si>
  <si>
    <t>893134401</t>
  </si>
  <si>
    <t>WA590 C968 2001</t>
  </si>
  <si>
    <t>0                      WA 0590000C  968         2001</t>
  </si>
  <si>
    <t>Cultivating health : cultural perspectives on promoting health / edited by Malcolm MacLachlan.</t>
  </si>
  <si>
    <t>Chichester ; New York : Wiley, c2001.</t>
  </si>
  <si>
    <t>837039118:eng</t>
  </si>
  <si>
    <t>44578884</t>
  </si>
  <si>
    <t>991000372959702656</t>
  </si>
  <si>
    <t>2269995210002656</t>
  </si>
  <si>
    <t>9780471496205</t>
  </si>
  <si>
    <t>30001004921294</t>
  </si>
  <si>
    <t>893537125</t>
  </si>
  <si>
    <t>WA 590 D751h 1990</t>
  </si>
  <si>
    <t>0                      WA 0590000D  751h        1990</t>
  </si>
  <si>
    <t>Health promotion : models and values / R.S. Downie, Carol Fyfe, and Andrew Tannahill.</t>
  </si>
  <si>
    <t>Downie, R. S. (Robert Silcock)</t>
  </si>
  <si>
    <t>22694849:eng</t>
  </si>
  <si>
    <t>20393408</t>
  </si>
  <si>
    <t>991000825599702656</t>
  </si>
  <si>
    <t>2256504670002656</t>
  </si>
  <si>
    <t>9780192617392</t>
  </si>
  <si>
    <t>30001002088559</t>
  </si>
  <si>
    <t>893459893</t>
  </si>
  <si>
    <t>WA 590 H2356 1990</t>
  </si>
  <si>
    <t>0                      WA 0590000H  2356        1990</t>
  </si>
  <si>
    <t>The Handbook of health behavior change / Sally A. Shumaker, Eleanor Schron, Judith K. Ockene, senior editors ; Christine Parker, Jeffrey Probstfield, Joan Wolle, co-editors.</t>
  </si>
  <si>
    <t>2004-06-07</t>
  </si>
  <si>
    <t>1991-04-05</t>
  </si>
  <si>
    <t>1044586178:eng</t>
  </si>
  <si>
    <t>20827936</t>
  </si>
  <si>
    <t>991000827199702656</t>
  </si>
  <si>
    <t>2267871580002656</t>
  </si>
  <si>
    <t>9780826167804</t>
  </si>
  <si>
    <t>30001002089318</t>
  </si>
  <si>
    <t>893642648</t>
  </si>
  <si>
    <t>WA 590 H4332 1986</t>
  </si>
  <si>
    <t>0                      WA 0590000H  4332        1986</t>
  </si>
  <si>
    <t>Health behaviour research and health promotion / edited by Robert Anderson ... [et al.].</t>
  </si>
  <si>
    <t>1994-07-01</t>
  </si>
  <si>
    <t>55092896:eng</t>
  </si>
  <si>
    <t>17954464</t>
  </si>
  <si>
    <t>991000814739702656</t>
  </si>
  <si>
    <t>2259203010002656</t>
  </si>
  <si>
    <t>9780192616005</t>
  </si>
  <si>
    <t>30001002085787</t>
  </si>
  <si>
    <t>893459888</t>
  </si>
  <si>
    <t>WA 590 H434 1991</t>
  </si>
  <si>
    <t>0                      WA 0590000H  434         1991</t>
  </si>
  <si>
    <t>A healthy America : the challenge for states.</t>
  </si>
  <si>
    <t>Washington : National Governors' Association, c1991.</t>
  </si>
  <si>
    <t>1991-10-21</t>
  </si>
  <si>
    <t>1991-09-24</t>
  </si>
  <si>
    <t>29418155:eng</t>
  </si>
  <si>
    <t>24384137</t>
  </si>
  <si>
    <t>991000947409702656</t>
  </si>
  <si>
    <t>2259907040002656</t>
  </si>
  <si>
    <t>9781558771253</t>
  </si>
  <si>
    <t>30001002194175</t>
  </si>
  <si>
    <t>893546232</t>
  </si>
  <si>
    <t>WA 590 H4348 1980</t>
  </si>
  <si>
    <t>0                      WA 0590000H  4348        1980</t>
  </si>
  <si>
    <t>Health education planning : a diagnostic approach / Lawrence W. Green ... [et al.].</t>
  </si>
  <si>
    <t>Palo Alto, Calif. : Mayfield Publishing Co., c1980.</t>
  </si>
  <si>
    <t>2001-02-25</t>
  </si>
  <si>
    <t>522514:eng</t>
  </si>
  <si>
    <t>5935187</t>
  </si>
  <si>
    <t>991000754409702656</t>
  </si>
  <si>
    <t>2255771010002656</t>
  </si>
  <si>
    <t>9780874844719</t>
  </si>
  <si>
    <t>30001000052110</t>
  </si>
  <si>
    <t>893825594</t>
  </si>
  <si>
    <t>WA 590 H439 1982</t>
  </si>
  <si>
    <t>0                      WA 0590000H  439         1982</t>
  </si>
  <si>
    <t>Health promotion, principles and clinical applications / editor, Robert B. Taylor, associate editors, John R. Ureda and John W. Denham.</t>
  </si>
  <si>
    <t>Norwalk, Conn. : Appleton-Century-Crofts, c1982.</t>
  </si>
  <si>
    <t>2004-10-09</t>
  </si>
  <si>
    <t>427447382:eng</t>
  </si>
  <si>
    <t>8051910</t>
  </si>
  <si>
    <t>991000731279702656</t>
  </si>
  <si>
    <t>2259502420002656</t>
  </si>
  <si>
    <t>9780838536704</t>
  </si>
  <si>
    <t>30001000708232</t>
  </si>
  <si>
    <t>893735447</t>
  </si>
  <si>
    <t>WA 590 H646s 1990</t>
  </si>
  <si>
    <t>0                      WA 0590000H  646s        1990</t>
  </si>
  <si>
    <t>Self-care nursing : promotion of health / Lyda Hill, Nancy Smith.</t>
  </si>
  <si>
    <t>Hill, Lyda, 1947-</t>
  </si>
  <si>
    <t>4096782:eng</t>
  </si>
  <si>
    <t>20352468</t>
  </si>
  <si>
    <t>991001473549702656</t>
  </si>
  <si>
    <t>2268041880002656</t>
  </si>
  <si>
    <t>9780838585283</t>
  </si>
  <si>
    <t>30001002563270</t>
  </si>
  <si>
    <t>893546741</t>
  </si>
  <si>
    <t>WA590 L472h 2006</t>
  </si>
  <si>
    <t>0                      WA 0590000L  472h        2006</t>
  </si>
  <si>
    <t>Health promotion : mobilizing strengths to enhance health, wellness, and well-being / Susan Kun Leddy.</t>
  </si>
  <si>
    <t>Leddy, Susan.</t>
  </si>
  <si>
    <t>Philadelphia : F.A. Davis, c2006.</t>
  </si>
  <si>
    <t>2006-11-28</t>
  </si>
  <si>
    <t>2006-11-09</t>
  </si>
  <si>
    <t>797223806:eng</t>
  </si>
  <si>
    <t>62302242</t>
  </si>
  <si>
    <t>991001745889702656</t>
  </si>
  <si>
    <t>2260128690002656</t>
  </si>
  <si>
    <t>9780803614055</t>
  </si>
  <si>
    <t>30001005176393</t>
  </si>
  <si>
    <t>893541684</t>
  </si>
  <si>
    <t>WA 590 L654 2003</t>
  </si>
  <si>
    <t>0                      WA 0590000L  654         2003</t>
  </si>
  <si>
    <t>Meaningful life skills : reproducible activity handouts for older adults / by Estelle A. Leutenberg and Kathy L. Khalsa ; illustrated by Amy L. Brodsky.</t>
  </si>
  <si>
    <t>Leutenberg, Estelle A.</t>
  </si>
  <si>
    <t>Plainview, NY : Wellness Reproductions &amp; Pub., c2003.</t>
  </si>
  <si>
    <t>2009-10-09</t>
  </si>
  <si>
    <t>2009-09-08</t>
  </si>
  <si>
    <t>13719700:eng</t>
  </si>
  <si>
    <t>55657627</t>
  </si>
  <si>
    <t>991001491509702656</t>
  </si>
  <si>
    <t>2259560640002656</t>
  </si>
  <si>
    <t>9781893277168</t>
  </si>
  <si>
    <t>30001004919553</t>
  </si>
  <si>
    <t>893460639</t>
  </si>
  <si>
    <t>WA 590 M629i 1989</t>
  </si>
  <si>
    <t>0                      WA 0590000M  629i        1989</t>
  </si>
  <si>
    <t>Individual, family, and community interventions to improve exercise and nutrition behaviors : report of proceedings of a Midwest Nursing Research Society Synthesis Conference, April 1, 1989, Cincinnati, Ohio / sponsored by Midwest Nursing Research Society ... [et al.] ; editors, Marie L. Lobo, Carol Loveland Cherry.</t>
  </si>
  <si>
    <t>Midwest Nursing Research Society Synthesis Conference (1st : 1989 : Cincinnati, Ohio)</t>
  </si>
  <si>
    <t>Indianapolis, Ind. (550 W. North Street, Indianapolis, 46202) : Sigma Theta Tau International Honor Society of Nursing, c1989.</t>
  </si>
  <si>
    <t>Monograph ; ser. 89, 1</t>
  </si>
  <si>
    <t>1993-02-23</t>
  </si>
  <si>
    <t>1990-05-09</t>
  </si>
  <si>
    <t>24611723:eng</t>
  </si>
  <si>
    <t>22544241</t>
  </si>
  <si>
    <t>991001371699702656</t>
  </si>
  <si>
    <t>2267064180002656</t>
  </si>
  <si>
    <t>30001001797937</t>
  </si>
  <si>
    <t>893465441</t>
  </si>
  <si>
    <t>WA 590 O61p 1985</t>
  </si>
  <si>
    <t>0                      WA 0590000O  61p         1985</t>
  </si>
  <si>
    <t>A primer of health promotion : creating healthy organizational cultures / Joseph P. Opatz.</t>
  </si>
  <si>
    <t>Opatz, Joseph P.</t>
  </si>
  <si>
    <t>Washington, D.C. : Oryn Publications, c1985.</t>
  </si>
  <si>
    <t>1994-07-26</t>
  </si>
  <si>
    <t>1988-09-02</t>
  </si>
  <si>
    <t>3937973:eng</t>
  </si>
  <si>
    <t>11371957</t>
  </si>
  <si>
    <t>991000731319702656</t>
  </si>
  <si>
    <t>2258833880002656</t>
  </si>
  <si>
    <t>9780916207090</t>
  </si>
  <si>
    <t>30001000708265</t>
  </si>
  <si>
    <t>893560467</t>
  </si>
  <si>
    <t>WA 590 P298 1979</t>
  </si>
  <si>
    <t>0                      WA 0590000P  298         1979</t>
  </si>
  <si>
    <t>Patient and family education : tools, techniques, and theory / edited by Rose-Marie Duda McCormick, Tamar Gilson-Parkevich.</t>
  </si>
  <si>
    <t>New York : Wiley, c1979.</t>
  </si>
  <si>
    <t>905816063:eng</t>
  </si>
  <si>
    <t>4775333</t>
  </si>
  <si>
    <t>991000731469702656</t>
  </si>
  <si>
    <t>2255370460002656</t>
  </si>
  <si>
    <t>9780471042693</t>
  </si>
  <si>
    <t>30001000708281</t>
  </si>
  <si>
    <t>893464593</t>
  </si>
  <si>
    <t>WA 590 P965 1989</t>
  </si>
  <si>
    <t>0                      WA 0590000P  965         1989</t>
  </si>
  <si>
    <t>Promoting health in America : breakthroughs and harbingers.</t>
  </si>
  <si>
    <t>Battle Creek, Mich. : W.K. Kellogg Foundation, 1989.</t>
  </si>
  <si>
    <t>1994-11-07</t>
  </si>
  <si>
    <t>1989-06-28</t>
  </si>
  <si>
    <t>21566663:eng</t>
  </si>
  <si>
    <t>19678658</t>
  </si>
  <si>
    <t>991001244939702656</t>
  </si>
  <si>
    <t>2268315590002656</t>
  </si>
  <si>
    <t>30001001676834</t>
  </si>
  <si>
    <t>893736354</t>
  </si>
  <si>
    <t>WA590 R188s 1989</t>
  </si>
  <si>
    <t>0                      WA 0590000R  188s        1989</t>
  </si>
  <si>
    <t>Strategies for working with culturally diverse communities and clients / by Elizabeth Randall-David.</t>
  </si>
  <si>
    <t>Randall-David, Elizabeth, 1944-</t>
  </si>
  <si>
    <t>Washington, D.C. : Association for the Care of Children's Health, c1989.</t>
  </si>
  <si>
    <t>1996-12-09</t>
  </si>
  <si>
    <t>1993-12-01</t>
  </si>
  <si>
    <t>24966148:eng</t>
  </si>
  <si>
    <t>23568560</t>
  </si>
  <si>
    <t>991000545039702656</t>
  </si>
  <si>
    <t>2264703170002656</t>
  </si>
  <si>
    <t>9780937821589</t>
  </si>
  <si>
    <t>30001002669911</t>
  </si>
  <si>
    <t>893271401</t>
  </si>
  <si>
    <t>WA 670 S678d 1981</t>
  </si>
  <si>
    <t>0                      WA 0670000S  678d        1981</t>
  </si>
  <si>
    <t>Disease and the environment / edited by A.R. Rees, H.J. Purcell.</t>
  </si>
  <si>
    <t>Society for Environmental Therapy. Inaugural Conference (1981 : Oxford, England)</t>
  </si>
  <si>
    <t>New York : Wiley, 1982.</t>
  </si>
  <si>
    <t>2000-02-05</t>
  </si>
  <si>
    <t>905775359:eng</t>
  </si>
  <si>
    <t>11089508</t>
  </si>
  <si>
    <t>991000731829702656</t>
  </si>
  <si>
    <t>2262182900002656</t>
  </si>
  <si>
    <t>30001000708414</t>
  </si>
  <si>
    <t>893726612</t>
  </si>
  <si>
    <t>WA 695 D285f 1975</t>
  </si>
  <si>
    <t>0                      WA 0695000D  285f        1975</t>
  </si>
  <si>
    <t>Food for life / F. E. Deatherage.</t>
  </si>
  <si>
    <t>Deatherage, F. E. (Fred E.), 1913-</t>
  </si>
  <si>
    <t>-- New York : Plenum Press, c1975.</t>
  </si>
  <si>
    <t>2006-10-03</t>
  </si>
  <si>
    <t>436279:eng</t>
  </si>
  <si>
    <t>1364158</t>
  </si>
  <si>
    <t>991000731949702656</t>
  </si>
  <si>
    <t>2257049670002656</t>
  </si>
  <si>
    <t>9780306308161</t>
  </si>
  <si>
    <t>30001000708463</t>
  </si>
  <si>
    <t>893820127</t>
  </si>
  <si>
    <t>WA 695 D456h 2002</t>
  </si>
  <si>
    <t>0                      WA 0695000D  456h        2002</t>
  </si>
  <si>
    <t>Handbook of food toxicology / S.S. Deshpande.</t>
  </si>
  <si>
    <t>Deshpande, S. S.</t>
  </si>
  <si>
    <t>New York : Marcel Dekker, c2002.</t>
  </si>
  <si>
    <t>Food science and technology ; 119</t>
  </si>
  <si>
    <t>2004-10-04</t>
  </si>
  <si>
    <t>2004-09-29</t>
  </si>
  <si>
    <t>1021320:eng</t>
  </si>
  <si>
    <t>50198304</t>
  </si>
  <si>
    <t>991000398659702656</t>
  </si>
  <si>
    <t>2272418240002656</t>
  </si>
  <si>
    <t>9780824707606</t>
  </si>
  <si>
    <t>30001004810398</t>
  </si>
  <si>
    <t>893461459</t>
  </si>
  <si>
    <t>WA 697 E12 1982</t>
  </si>
  <si>
    <t>0                      WA 0697000E  12          1982</t>
  </si>
  <si>
    <t>The Early years of federal food and drug control / James Harvey Young, chairman of the symposium commemorating the 75th anniversary of the first federal food and drug laws of 1906.</t>
  </si>
  <si>
    <t>Madison, Wis. : American Institute of the History of Pharmacy with the cooperation of the American Pharmaceutical Association, c1982.</t>
  </si>
  <si>
    <t>wiu</t>
  </si>
  <si>
    <t>A Fischelis publication on recent history and trends of pharmacy</t>
  </si>
  <si>
    <t>365305979:eng</t>
  </si>
  <si>
    <t>9071623</t>
  </si>
  <si>
    <t>991000732059702656</t>
  </si>
  <si>
    <t>2256126720002656</t>
  </si>
  <si>
    <t>9780931292118</t>
  </si>
  <si>
    <t>30001000708497</t>
  </si>
  <si>
    <t>893831133</t>
  </si>
  <si>
    <t>WA 697 W44 1956</t>
  </si>
  <si>
    <t>0                      WA 0697000W  44          1956</t>
  </si>
  <si>
    <t>The impact of the Food and Drug Administration on our society : a fiftieth anniversary panorama / edited by Henry Welch and Félix Martí-Ibáñez.</t>
  </si>
  <si>
    <t>Welch, Henry, 1902- editor.</t>
  </si>
  <si>
    <t>New York : MD Publications, 1956.</t>
  </si>
  <si>
    <t>1956</t>
  </si>
  <si>
    <t>819994884:eng</t>
  </si>
  <si>
    <t>1173448</t>
  </si>
  <si>
    <t>991000732199702656</t>
  </si>
  <si>
    <t>2271269150002656</t>
  </si>
  <si>
    <t>30001000708521</t>
  </si>
  <si>
    <t>893373543</t>
  </si>
  <si>
    <t>WA 701 N956 1987</t>
  </si>
  <si>
    <t>0                      WA 0701000N  956         1987</t>
  </si>
  <si>
    <t>Nutritional toxicology : volume II / edited by John N. Hathcock.</t>
  </si>
  <si>
    <t>New York : Academic Press, c1987.</t>
  </si>
  <si>
    <t>Nutrition, basic and applied science</t>
  </si>
  <si>
    <t>3376005561:eng</t>
  </si>
  <si>
    <t>16289508</t>
  </si>
  <si>
    <t>991001267149702656</t>
  </si>
  <si>
    <t>2262993480002656</t>
  </si>
  <si>
    <t>9780123326027</t>
  </si>
  <si>
    <t>30001000353732</t>
  </si>
  <si>
    <t>893450996</t>
  </si>
  <si>
    <t>WA 712 P995s 1970</t>
  </si>
  <si>
    <t>0                      WA 0712000P  995s        1970</t>
  </si>
  <si>
    <t>Synthetic food / Magnus Pyke.</t>
  </si>
  <si>
    <t>Pyke, Magnus.</t>
  </si>
  <si>
    <t>London : J. Murray, c1970.</t>
  </si>
  <si>
    <t>1281959:eng</t>
  </si>
  <si>
    <t>143810</t>
  </si>
  <si>
    <t>991000732359702656</t>
  </si>
  <si>
    <t>2256712140002656</t>
  </si>
  <si>
    <t>9780719520600</t>
  </si>
  <si>
    <t>30001000708604</t>
  </si>
  <si>
    <t>893464594</t>
  </si>
  <si>
    <t>WA 712 T245f 1980</t>
  </si>
  <si>
    <t>0                      WA 0712000T  245f        1980</t>
  </si>
  <si>
    <t>Food additives / R.J. Taylor.</t>
  </si>
  <si>
    <t>Taylor, Reginald James.</t>
  </si>
  <si>
    <t>Chichester ; New York : Wiley, c1980.</t>
  </si>
  <si>
    <t>The Institution of Environmental Sciences series</t>
  </si>
  <si>
    <t>489680:eng</t>
  </si>
  <si>
    <t>5889815</t>
  </si>
  <si>
    <t>991000732399702656</t>
  </si>
  <si>
    <t>2271578740002656</t>
  </si>
  <si>
    <t>9780471276838</t>
  </si>
  <si>
    <t>30001000708612</t>
  </si>
  <si>
    <t>893740019</t>
  </si>
  <si>
    <t>WA 754 C557 1984</t>
  </si>
  <si>
    <t>0                      WA 0754000C  557         1984</t>
  </si>
  <si>
    <t>Chronic exposure of mice to cigarette smoking : final report of research performed under contract entitled "Smoke inhalation studies in mice" between Microbiological Associates, Bethesda, Maryland and the Council for Tobacco Research--USA, Inc., New York, NY. / [project directors, Carol J. Henry, Richard E. Kouri].</t>
  </si>
  <si>
    <t>New York, N. Y. : Field, Rich &amp; Associates, c1984.</t>
  </si>
  <si>
    <t>1994-03-28</t>
  </si>
  <si>
    <t>18893274:eng</t>
  </si>
  <si>
    <t>18781065</t>
  </si>
  <si>
    <t>991000732549702656</t>
  </si>
  <si>
    <t>2262802780002656</t>
  </si>
  <si>
    <t>30001000708687</t>
  </si>
  <si>
    <t>893631942</t>
  </si>
  <si>
    <t>WA 754 E85 1983</t>
  </si>
  <si>
    <t>0                      WA 0754000E  85          1983</t>
  </si>
  <si>
    <t>ETS, Environmental tobacco smoke : report from a workshop on effects and exposure levels / editors: R. Rylander, Y. Peterson, M.-C. Snella.</t>
  </si>
  <si>
    <t>Genève : Atar, c1983.</t>
  </si>
  <si>
    <t xml:space="preserve">sz </t>
  </si>
  <si>
    <t>European journal of respiratory diseases. Supplementum, 0106-4347 ; no. 133</t>
  </si>
  <si>
    <t>913079754:eng</t>
  </si>
  <si>
    <t>10703336</t>
  </si>
  <si>
    <t>991000732599702656</t>
  </si>
  <si>
    <t>2262237280002656</t>
  </si>
  <si>
    <t>9788716062581</t>
  </si>
  <si>
    <t>30001000708703</t>
  </si>
  <si>
    <t>893148086</t>
  </si>
  <si>
    <t>WA 754 S6668 1984</t>
  </si>
  <si>
    <t>0                      WA 0754000S  6668        1984</t>
  </si>
  <si>
    <t>Smoking or health, it's your choice : a report / by the American Council on Science and Health.</t>
  </si>
  <si>
    <t>Summit, N.J. : The Council, 1984.</t>
  </si>
  <si>
    <t>1990-04-28</t>
  </si>
  <si>
    <t>30360270:eng</t>
  </si>
  <si>
    <t>11106260</t>
  </si>
  <si>
    <t>991001276289702656</t>
  </si>
  <si>
    <t>2271535430002656</t>
  </si>
  <si>
    <t>30001000358574</t>
  </si>
  <si>
    <t>893731808</t>
  </si>
  <si>
    <t>WA 754 W282s 1986</t>
  </si>
  <si>
    <t>0                      WA 0754000W  282s        1986</t>
  </si>
  <si>
    <t>Selling smoke : cigarette advertising and public health / Kenneth E. Warner.</t>
  </si>
  <si>
    <t>Warner, Kenneth E., 1947-</t>
  </si>
  <si>
    <t>Washington, DC : American Public Health Association, c1986.</t>
  </si>
  <si>
    <t>APHA public health policy series</t>
  </si>
  <si>
    <t>1996-04-03</t>
  </si>
  <si>
    <t>1781776638:eng</t>
  </si>
  <si>
    <t>14271852</t>
  </si>
  <si>
    <t>991001486619702656</t>
  </si>
  <si>
    <t>2258233930002656</t>
  </si>
  <si>
    <t>9780875531458</t>
  </si>
  <si>
    <t>30001002579268</t>
  </si>
  <si>
    <t>893541447</t>
  </si>
  <si>
    <t>WA 776 K94e 1985</t>
  </si>
  <si>
    <t>0                      WA 0776000K  94e         1985</t>
  </si>
  <si>
    <t>The effects of noise on man / Karl D. Kryter.</t>
  </si>
  <si>
    <t>Kryter, Karl D.</t>
  </si>
  <si>
    <t>Orlando : Academic Press, c1985.</t>
  </si>
  <si>
    <t>2000-03-22</t>
  </si>
  <si>
    <t>1172146:eng</t>
  </si>
  <si>
    <t>9465161</t>
  </si>
  <si>
    <t>991000732709702656</t>
  </si>
  <si>
    <t>2263592140002656</t>
  </si>
  <si>
    <t>9780124274600</t>
  </si>
  <si>
    <t>30001000708737</t>
  </si>
  <si>
    <t>893373544</t>
  </si>
  <si>
    <t>WA 776 S949i 1980</t>
  </si>
  <si>
    <t>0                      WA 0776000S  949i        1980</t>
  </si>
  <si>
    <t>Industrial noise pollution and hearing impairment : problems of prevention, diagnosis, and certification criteria / Wiesław J. Sułkowski ; [edited by John J. Danek].</t>
  </si>
  <si>
    <t>Sułkowski, Wiesław J.</t>
  </si>
  <si>
    <t>Warsaw : Foreign Scientific Publications Dept., National Center for Scientific, Technical and Economic Information ; Springfield, Va. : available from the National Technical Information Service, c1980.</t>
  </si>
  <si>
    <t xml:space="preserve">pl </t>
  </si>
  <si>
    <t>1995-05-17</t>
  </si>
  <si>
    <t>23045812:eng</t>
  </si>
  <si>
    <t>6625490</t>
  </si>
  <si>
    <t>991000732849702656</t>
  </si>
  <si>
    <t>2255461720002656</t>
  </si>
  <si>
    <t>30001000708752</t>
  </si>
  <si>
    <t>893167640</t>
  </si>
  <si>
    <t>WA 840 I78d 1994</t>
  </si>
  <si>
    <t>0                      WA 0840000I  78d         1994</t>
  </si>
  <si>
    <t>Death to dust : what happens to dead bodies? / Kenneth V. Iserson.</t>
  </si>
  <si>
    <t>Iserson, Kenneth V.</t>
  </si>
  <si>
    <t>Tucson, AZ : Galen Press, c1994.</t>
  </si>
  <si>
    <t>azu</t>
  </si>
  <si>
    <t>2004-10-13</t>
  </si>
  <si>
    <t>1068110:eng</t>
  </si>
  <si>
    <t>29361303</t>
  </si>
  <si>
    <t>991001660959702656</t>
  </si>
  <si>
    <t>2256617220002656</t>
  </si>
  <si>
    <t>9781883620073</t>
  </si>
  <si>
    <t>30001003146430</t>
  </si>
  <si>
    <t>893465663</t>
  </si>
  <si>
    <t>WA 900 AA1 B2h 1952</t>
  </si>
  <si>
    <t>0                      WA 0900000AA 1                  B  2h          1952</t>
  </si>
  <si>
    <t>Health resources in the United States : personnel, facilities, and services / by George W. Bachman and associates.</t>
  </si>
  <si>
    <t>Bachman, George W. (George William), 1890-</t>
  </si>
  <si>
    <t>Washington : Brookings Institution, 1952.</t>
  </si>
  <si>
    <t>1952</t>
  </si>
  <si>
    <t>1991-08-07</t>
  </si>
  <si>
    <t>1988-03-24</t>
  </si>
  <si>
    <t>2351056:eng</t>
  </si>
  <si>
    <t>1442760</t>
  </si>
  <si>
    <t>991000732949702656</t>
  </si>
  <si>
    <t>2256604140002656</t>
  </si>
  <si>
    <t>30001000708778</t>
  </si>
  <si>
    <t>893373545</t>
  </si>
  <si>
    <t>WA 900 AA1 B655 1980</t>
  </si>
  <si>
    <t>0                      WA 0900000AA 1                  B  655         1980</t>
  </si>
  <si>
    <t>Blood pressure study 1979 / [compiled by] Society of Actuaries and Association of Life Insurance Medical Directors of America.</t>
  </si>
  <si>
    <t>[Chicago] : Society of Actuaries and Association of Life Insurance Medical Diretors of America, 1980.</t>
  </si>
  <si>
    <t>2004-04-14</t>
  </si>
  <si>
    <t>1988-03-11</t>
  </si>
  <si>
    <t>427495455:eng</t>
  </si>
  <si>
    <t>8281481</t>
  </si>
  <si>
    <t>991001287439702656</t>
  </si>
  <si>
    <t>2264446780002656</t>
  </si>
  <si>
    <t>30001000389421</t>
  </si>
  <si>
    <t>893731844</t>
  </si>
  <si>
    <t>WA 900 AA1 K19d 2001</t>
  </si>
  <si>
    <t>0                      WA 0900000AA 1                  K  19d         2001</t>
  </si>
  <si>
    <t>Disparities and gender gaps in women's health, 1996 : health insurance, access to care, health status / by Barbara L. Kass-Bartelmes, Barbara M. Altman, Amy K. Taylor.</t>
  </si>
  <si>
    <t>Kass-Bartelmes, Barbara L.</t>
  </si>
  <si>
    <t>Rockville, MD : U.S. Dept. of Health and Human Services, Public Health Service, Agency for Healthcare Research and Quality, [2001].</t>
  </si>
  <si>
    <t>AHRQ publication ; no. 02-0003</t>
  </si>
  <si>
    <t>2003-03-22</t>
  </si>
  <si>
    <t>2002-05-31</t>
  </si>
  <si>
    <t>37604885:eng</t>
  </si>
  <si>
    <t>48800318</t>
  </si>
  <si>
    <t>991000303719702656</t>
  </si>
  <si>
    <t>2261023970002656</t>
  </si>
  <si>
    <t>9781587630606</t>
  </si>
  <si>
    <t>30001004406460</t>
  </si>
  <si>
    <t>893558755</t>
  </si>
  <si>
    <t>WA 900 AA1 M887 1992</t>
  </si>
  <si>
    <t>0                      WA 0900000AA 1                  M  887         1992</t>
  </si>
  <si>
    <t>A Mortality study of 1.3 million persons by demographic, social and economic factors : 1979-1985 follow-up : U.S. National Longitudinal Mortality Study / Eugene Rogot ... [et al.].</t>
  </si>
  <si>
    <t>Bethesda, Md.? : U.S. Dept of Health and Human Services, Public Health Service, National Institutes of Health, 1992.</t>
  </si>
  <si>
    <t>NIH publication ; no. 92-3297</t>
  </si>
  <si>
    <t>1995-10-11</t>
  </si>
  <si>
    <t>855536847:eng</t>
  </si>
  <si>
    <t>28345322</t>
  </si>
  <si>
    <t>991001340239702656</t>
  </si>
  <si>
    <t>2259291080002656</t>
  </si>
  <si>
    <t>30001002455352</t>
  </si>
  <si>
    <t>893358494</t>
  </si>
  <si>
    <t>WA 900 AN1 M886 1979-83</t>
  </si>
  <si>
    <t>0                      WA 0900000AN 1                  M  886         1979                  -83</t>
  </si>
  <si>
    <t>Mortality surveillance Nebraska, 1979-1983 / prepared by Nebraska Dept. of Health, Division of Health Data and Statistical Research.</t>
  </si>
  <si>
    <t>Lincoln, NE : The Division, [1984?]</t>
  </si>
  <si>
    <t>nbu</t>
  </si>
  <si>
    <t>54997012:eng</t>
  </si>
  <si>
    <t>16415414</t>
  </si>
  <si>
    <t>991001276809702656</t>
  </si>
  <si>
    <t>2260425360002656</t>
  </si>
  <si>
    <t>30001000359564</t>
  </si>
  <si>
    <t>893541178</t>
  </si>
  <si>
    <t>WA 900 AN1 N362 1992</t>
  </si>
  <si>
    <t>0                      WA 0900000AN 1                  N  362         1992</t>
  </si>
  <si>
    <t>Nebraska year 2000 health goals and objectives.</t>
  </si>
  <si>
    <t>Lincoln, Neb. (301 Centennial Mall South, P.O. Box 95007, Lincoln 68509-5007 : Nebraska Dept. of Health, Division of Health Policy and Planning, [1992]</t>
  </si>
  <si>
    <t>1997-05-25</t>
  </si>
  <si>
    <t>1994-07-21</t>
  </si>
  <si>
    <t>3145357446:eng</t>
  </si>
  <si>
    <t>27323700</t>
  </si>
  <si>
    <t>991000671719702656</t>
  </si>
  <si>
    <t>2257827180002656</t>
  </si>
  <si>
    <t>30001002696138</t>
  </si>
  <si>
    <t>893545488</t>
  </si>
  <si>
    <t>WA 900 AN1 N767 2003</t>
  </si>
  <si>
    <t>0                      WA 0900000AN 1                  N  767         2003</t>
  </si>
  <si>
    <t>Health status of racial and ethnic minorities in Nebraska / prepared by Onyema G. Nkwocha, Office of Minority Health and Human Services, in collaboration with Norman Nelson, Research and Performance Measurement HHSS Graphics Unit.</t>
  </si>
  <si>
    <t>[S.l. : The Office, 2003]</t>
  </si>
  <si>
    <t>4th ed., rev. 3rd</t>
  </si>
  <si>
    <t>2004-04-29</t>
  </si>
  <si>
    <t>478523133:eng</t>
  </si>
  <si>
    <t>54367249</t>
  </si>
  <si>
    <t>991000365829702656</t>
  </si>
  <si>
    <t>22101747000002656</t>
  </si>
  <si>
    <t>30001004901536</t>
  </si>
  <si>
    <t>893644323</t>
  </si>
  <si>
    <t>WA 900 D814t 1937</t>
  </si>
  <si>
    <t>0                      WA 0900000D  814t        1937</t>
  </si>
  <si>
    <t>Twenty-five years of health progress : a study of the mortality experience among the industrial policyholders of the Metropolitan Life Insurance Company 1911 to 1935 / by Louis I. Dublin, and Alfred J. Lotka ; with the collaboration of the staff of the Statistical Bureau.</t>
  </si>
  <si>
    <t>Dublin, Louis I. (Louis Israel), 1882-1969.</t>
  </si>
  <si>
    <t>New York ; San Francisco : Metropolitan Life Insurance Company, c1937.</t>
  </si>
  <si>
    <t>1937</t>
  </si>
  <si>
    <t>1987-09-16</t>
  </si>
  <si>
    <t>144439961:eng</t>
  </si>
  <si>
    <t>185381</t>
  </si>
  <si>
    <t>991000803829702656</t>
  </si>
  <si>
    <t>2269123750002656</t>
  </si>
  <si>
    <t>30001000076176</t>
  </si>
  <si>
    <t>893834341</t>
  </si>
  <si>
    <t>WA900 DA1 H4 1998 V.1</t>
  </si>
  <si>
    <t>0                      WA 0900000DA 1                  H  4           1998                  V.1</t>
  </si>
  <si>
    <t>Health in the Americas, 1998 edition.</t>
  </si>
  <si>
    <t>Washington, D.C. : Pan American Health Organization, Pan American Sanitary Bureau, Regional Office of the World Health Organization, 1998.</t>
  </si>
  <si>
    <t>Scientific publication ; no. 569</t>
  </si>
  <si>
    <t>2007-04-09</t>
  </si>
  <si>
    <t>2002-07-11</t>
  </si>
  <si>
    <t>3373469272:eng</t>
  </si>
  <si>
    <t>40450293</t>
  </si>
  <si>
    <t>991000325039702656</t>
  </si>
  <si>
    <t>2267586190002656</t>
  </si>
  <si>
    <t>9789275115695</t>
  </si>
  <si>
    <t>30001004443075</t>
  </si>
  <si>
    <t>893285505</t>
  </si>
  <si>
    <t>30001004443083</t>
  </si>
  <si>
    <t>893269355</t>
  </si>
  <si>
    <t>WA900.DA1 H4 2002</t>
  </si>
  <si>
    <t>0                      WA 0900000DA 1                  H  4           2002</t>
  </si>
  <si>
    <t>Health in the Americas, 2002 edition.</t>
  </si>
  <si>
    <t>V.2</t>
  </si>
  <si>
    <t>Washington, D.C. : Pan American Health Organization, Pan American Sanitary Bureau, Regional Office of the World Health Organization, 2002.</t>
  </si>
  <si>
    <t>Scientific publication ; no. 587</t>
  </si>
  <si>
    <t>2007-04-10</t>
  </si>
  <si>
    <t>180694585:eng</t>
  </si>
  <si>
    <t>50785092</t>
  </si>
  <si>
    <t>991000605089702656</t>
  </si>
  <si>
    <t>2263323880002656</t>
  </si>
  <si>
    <t>9789275115879</t>
  </si>
  <si>
    <t>30001005127222</t>
  </si>
  <si>
    <t>893449873</t>
  </si>
  <si>
    <t>30001005127859</t>
  </si>
  <si>
    <t>893454462</t>
  </si>
  <si>
    <t>WA 900 M967p 1982-84</t>
  </si>
  <si>
    <t>0                      WA 0900000M  967p        1982                                        -84</t>
  </si>
  <si>
    <t>A profile of Puerto Rican health in the United States : data from the Hispanic Health and Nutrition Examination Survey, 1982-84 / Eric Muñoz, Pedro J. Lecca, Jonathan D. Goldstein.</t>
  </si>
  <si>
    <t>Muñoz, Eric.</t>
  </si>
  <si>
    <t>New Hyde Park, NY : Department of Surgery, Long Island Jewish Medical Center, 1988.</t>
  </si>
  <si>
    <t>1999-03-27</t>
  </si>
  <si>
    <t>1988-06-23</t>
  </si>
  <si>
    <t>16976638:eng</t>
  </si>
  <si>
    <t>17888412</t>
  </si>
  <si>
    <t>991001415699702656</t>
  </si>
  <si>
    <t>2270877150002656</t>
  </si>
  <si>
    <t>30001001180456</t>
  </si>
  <si>
    <t>893168187</t>
  </si>
  <si>
    <t>WA 900 S797 1995</t>
  </si>
  <si>
    <t>0                      WA 0900000S  797         1995</t>
  </si>
  <si>
    <t>Statistical record of health &amp; medicine / Charity Anne Dorgan, editor.</t>
  </si>
  <si>
    <t>Detroit, Mich. : Gale Research Inc., c1995.</t>
  </si>
  <si>
    <t>2003-03-03</t>
  </si>
  <si>
    <t>1881888021:eng</t>
  </si>
  <si>
    <t>31683624</t>
  </si>
  <si>
    <t>991001400149702656</t>
  </si>
  <si>
    <t>2256821940002656</t>
  </si>
  <si>
    <t>9780810397453</t>
  </si>
  <si>
    <t>30001003147669</t>
  </si>
  <si>
    <t>893149144</t>
  </si>
  <si>
    <t>WA900.1 B787m 2001</t>
  </si>
  <si>
    <t>0                      WA 0900100B  787m        2001</t>
  </si>
  <si>
    <t>Measuring disease : a review of disease-specific quality of life measurement scales / Ann Bowling.</t>
  </si>
  <si>
    <t>Bowling, Ann.</t>
  </si>
  <si>
    <t>Buckingham ; Phildelphia : Open University Press, c2001.</t>
  </si>
  <si>
    <t>2009-08-02</t>
  </si>
  <si>
    <t>2005-02-03</t>
  </si>
  <si>
    <t>32507573:eng</t>
  </si>
  <si>
    <t>44701887</t>
  </si>
  <si>
    <t>991000426119702656</t>
  </si>
  <si>
    <t>2258733150002656</t>
  </si>
  <si>
    <t>9780335206414</t>
  </si>
  <si>
    <t>30001004927267</t>
  </si>
  <si>
    <t>893269451</t>
  </si>
  <si>
    <t>WA 900.1 M478m 1987</t>
  </si>
  <si>
    <t>0                      WA 0900100M  478m        1987</t>
  </si>
  <si>
    <t>Measuring health : a guide to rating scales and questionnaires / Ian McDowell and Claire Newell.</t>
  </si>
  <si>
    <t>McDowell, Ian.</t>
  </si>
  <si>
    <t>New York : Oxford University Press, c1987.</t>
  </si>
  <si>
    <t>2005-10-04</t>
  </si>
  <si>
    <t>4918119665:eng</t>
  </si>
  <si>
    <t>16646902</t>
  </si>
  <si>
    <t>991001529559702656</t>
  </si>
  <si>
    <t>2272447590002656</t>
  </si>
  <si>
    <t>9780195041019</t>
  </si>
  <si>
    <t>30001000621104</t>
  </si>
  <si>
    <t>893149310</t>
  </si>
  <si>
    <t>WA 900.1 M484 1987</t>
  </si>
  <si>
    <t>0                      WA 0900100M  484         1987</t>
  </si>
  <si>
    <t>Measuring medical practice : statistics for the physician / American Medical Association Division of Health Policy and Program Evaluation.</t>
  </si>
  <si>
    <t>Chicago, Ill. : The Association, c1987.</t>
  </si>
  <si>
    <t>1990-12-28</t>
  </si>
  <si>
    <t>1988-03-07</t>
  </si>
  <si>
    <t>10162582438:eng</t>
  </si>
  <si>
    <t>20672243</t>
  </si>
  <si>
    <t>991001176929702656</t>
  </si>
  <si>
    <t>2268807700002656</t>
  </si>
  <si>
    <t>9780899703046</t>
  </si>
  <si>
    <t>30001000976136</t>
  </si>
  <si>
    <t>893743665</t>
  </si>
  <si>
    <t>WA900.1 Y77p 2005</t>
  </si>
  <si>
    <t>0                      WA 0900100Y  77p         2005</t>
  </si>
  <si>
    <t>Population health : concepts and methods / T. Kue Young.</t>
  </si>
  <si>
    <t>Young, T. Kue.</t>
  </si>
  <si>
    <t>New York, N.Y. : Oxford University Press, 2005.</t>
  </si>
  <si>
    <t>2008-07-02</t>
  </si>
  <si>
    <t>2005-11-04</t>
  </si>
  <si>
    <t>802350943:eng</t>
  </si>
  <si>
    <t>55019376</t>
  </si>
  <si>
    <t>991000447449702656</t>
  </si>
  <si>
    <t>2263516730002656</t>
  </si>
  <si>
    <t>9780195158540</t>
  </si>
  <si>
    <t>30001004913218</t>
  </si>
  <si>
    <t>893542344</t>
  </si>
  <si>
    <t>WA 950 S3l7s 1979</t>
  </si>
  <si>
    <t>0                      WA 0950000                                                           S3l7s 1979</t>
  </si>
  <si>
    <t>Statistics for the biological sciences / William C. Schefler.</t>
  </si>
  <si>
    <t>Schefler, William C.</t>
  </si>
  <si>
    <t>Reading, Mass. : Addison-Wesley Pub. Co., c1979.</t>
  </si>
  <si>
    <t>1997-02-27</t>
  </si>
  <si>
    <t>1988-11-18</t>
  </si>
  <si>
    <t>1178338:eng</t>
  </si>
  <si>
    <t>4529198</t>
  </si>
  <si>
    <t>991001468779702656</t>
  </si>
  <si>
    <t>2266406090002656</t>
  </si>
  <si>
    <t>9780201075007</t>
  </si>
  <si>
    <t>30001000558546</t>
  </si>
  <si>
    <t>893821240</t>
  </si>
  <si>
    <t>WA 950 A733s 1987</t>
  </si>
  <si>
    <t>0                      WA 0950000A  733s        1987</t>
  </si>
  <si>
    <t>Statistical methods in medical research / P. Armitage and G. Berry.</t>
  </si>
  <si>
    <t>Armitage, P.</t>
  </si>
  <si>
    <t>Oxford ; Boston : Blackwell Scientific ; Chicago, Ill. : Distributors, USA, Year Book Medical Publishers, c1987.</t>
  </si>
  <si>
    <t>2001-12-28</t>
  </si>
  <si>
    <t>1988-06-03</t>
  </si>
  <si>
    <t>1032157:eng</t>
  </si>
  <si>
    <t>17803642</t>
  </si>
  <si>
    <t>991001193079702656</t>
  </si>
  <si>
    <t>2265104950002656</t>
  </si>
  <si>
    <t>9780632015016</t>
  </si>
  <si>
    <t>30001000979783</t>
  </si>
  <si>
    <t>893121260</t>
  </si>
  <si>
    <t>WA950 A813e 2003</t>
  </si>
  <si>
    <t>0                      WA 0950000A  813e        2003</t>
  </si>
  <si>
    <t>Essentials of epidemiology in public health / Ann Aschengrau, George R. Seage III.</t>
  </si>
  <si>
    <t>Aschengrau, Ann.</t>
  </si>
  <si>
    <t>Sudbury, Mass. : Jones and Bartlett, c2003.</t>
  </si>
  <si>
    <t>2007-10-08</t>
  </si>
  <si>
    <t>2006-10-12</t>
  </si>
  <si>
    <t>758348:eng</t>
  </si>
  <si>
    <t>51892834</t>
  </si>
  <si>
    <t>991000554779702656</t>
  </si>
  <si>
    <t>2272729370002656</t>
  </si>
  <si>
    <t>9780763725372</t>
  </si>
  <si>
    <t>30001005176450</t>
  </si>
  <si>
    <t>893539024</t>
  </si>
  <si>
    <t>WA950 B215m 2003</t>
  </si>
  <si>
    <t>0                      WA 0950000B  215m        2003</t>
  </si>
  <si>
    <t>Medical statistics made clear : an introduction to basic concepts / Ashis Banerjee.</t>
  </si>
  <si>
    <t>Banerjee, Ashis.</t>
  </si>
  <si>
    <t>London ; Lake Forest, IL : Royal Society of Medicine Press, c2003.</t>
  </si>
  <si>
    <t>2007-07-31</t>
  </si>
  <si>
    <t>2006-03-16</t>
  </si>
  <si>
    <t>375469488:eng</t>
  </si>
  <si>
    <t>50877020</t>
  </si>
  <si>
    <t>991000467569702656</t>
  </si>
  <si>
    <t>2258427820002656</t>
  </si>
  <si>
    <t>9781853155444</t>
  </si>
  <si>
    <t>30001005126109</t>
  </si>
  <si>
    <t>893109694</t>
  </si>
  <si>
    <t>WA 950 B311 1980</t>
  </si>
  <si>
    <t>0                      WA 0950000B  311         1980</t>
  </si>
  <si>
    <t>Basic biostatistics in medicine and epidemiology / Alfred A. Rimm ... [et al.].</t>
  </si>
  <si>
    <t>New York : Appleton-Century-Crofts, c1980.</t>
  </si>
  <si>
    <t>1997-10-04</t>
  </si>
  <si>
    <t>1990-10-10</t>
  </si>
  <si>
    <t>17134688:eng</t>
  </si>
  <si>
    <t>5353714</t>
  </si>
  <si>
    <t>991000769269702656</t>
  </si>
  <si>
    <t>2255254540002656</t>
  </si>
  <si>
    <t>9780838505281</t>
  </si>
  <si>
    <t>30001002061721</t>
  </si>
  <si>
    <t>893648154</t>
  </si>
  <si>
    <t>WA 950 B6167 1985</t>
  </si>
  <si>
    <t>0                      WA 0950000B  6167        1985</t>
  </si>
  <si>
    <t>Biostatistics : statistics in biomedical, public health, and environmental sciences : the Bernard G. Greenberg volume / edited by Pranab K. Sen.</t>
  </si>
  <si>
    <t>Amsterdam ; New York : North-Holland ; New York, N.Y., U.S.A. : Sole distributors for the U.S.A. and Canada, Elsevier Science Pub. Co., c1985.</t>
  </si>
  <si>
    <t>836696721:eng</t>
  </si>
  <si>
    <t>11574423</t>
  </si>
  <si>
    <t>991000734369702656</t>
  </si>
  <si>
    <t>2271973510002656</t>
  </si>
  <si>
    <t>9780444876942</t>
  </si>
  <si>
    <t>30001000709073</t>
  </si>
  <si>
    <t>893357450</t>
  </si>
  <si>
    <t>WA 950 B642i 1995</t>
  </si>
  <si>
    <t>0                      WA 0950000B  642i        1995</t>
  </si>
  <si>
    <t>An introduction to medical statistics/ Martin Bland.</t>
  </si>
  <si>
    <t>Bland, Martin.</t>
  </si>
  <si>
    <t>Oxford ; New York : Oxford University Press, 1995.</t>
  </si>
  <si>
    <t>1999-01-28</t>
  </si>
  <si>
    <t>10457605:eng</t>
  </si>
  <si>
    <t>31819633</t>
  </si>
  <si>
    <t>991001533699702656</t>
  </si>
  <si>
    <t>2259804760002656</t>
  </si>
  <si>
    <t>9780192624284</t>
  </si>
  <si>
    <t>30001003962232</t>
  </si>
  <si>
    <t>893541484</t>
  </si>
  <si>
    <t>WA950 C676s 2002</t>
  </si>
  <si>
    <t>0                      WA 0950000C  676s        2002</t>
  </si>
  <si>
    <t>Statistics in clinical practice / David Coggon.</t>
  </si>
  <si>
    <t>Coggon, D. (David), Dr.</t>
  </si>
  <si>
    <t>2010-12-17</t>
  </si>
  <si>
    <t>478767897:eng</t>
  </si>
  <si>
    <t>52766664</t>
  </si>
  <si>
    <t>991000413889702656</t>
  </si>
  <si>
    <t>2263764610002656</t>
  </si>
  <si>
    <t>9780727916099</t>
  </si>
  <si>
    <t>30001004925584</t>
  </si>
  <si>
    <t>893822125</t>
  </si>
  <si>
    <t>WA 950 D272b 1994</t>
  </si>
  <si>
    <t>0                      WA 0950000D  272b        1994</t>
  </si>
  <si>
    <t>Basic &amp; clinical biostatistics / Beth Dawson-Saunders, Robert G. Trapp.</t>
  </si>
  <si>
    <t>Dawson, Beth.</t>
  </si>
  <si>
    <t>Norwalk, Conn. : Appleton &amp; Lange, c1994.</t>
  </si>
  <si>
    <t>2006-09-29</t>
  </si>
  <si>
    <t>1997-01-17</t>
  </si>
  <si>
    <t>651830:eng</t>
  </si>
  <si>
    <t>29288694</t>
  </si>
  <si>
    <t>991000489749702656</t>
  </si>
  <si>
    <t>2254802820002656</t>
  </si>
  <si>
    <t>9780838505427</t>
  </si>
  <si>
    <t>30001003474162</t>
  </si>
  <si>
    <t>893264355</t>
  </si>
  <si>
    <t>WA950 D578m 2000</t>
  </si>
  <si>
    <t>0                      WA 0950000D  578m        2000</t>
  </si>
  <si>
    <t>Mail and internet surveys : the tailored design method / Don A. Dillman.</t>
  </si>
  <si>
    <t>Dillman, Don A., 1941-</t>
  </si>
  <si>
    <t>New York : Wiley, c2000.</t>
  </si>
  <si>
    <t>2007-11-07</t>
  </si>
  <si>
    <t>2003-01-27</t>
  </si>
  <si>
    <t>801945921:eng</t>
  </si>
  <si>
    <t>41951204</t>
  </si>
  <si>
    <t>991000337699702656</t>
  </si>
  <si>
    <t>2269257160002656</t>
  </si>
  <si>
    <t>9780471323549</t>
  </si>
  <si>
    <t>30001004501476</t>
  </si>
  <si>
    <t>893456574</t>
  </si>
  <si>
    <t>WA 950 F299c 1985</t>
  </si>
  <si>
    <t>0                      WA 0950000F  299c        1985</t>
  </si>
  <si>
    <t>Clinical epidemiology : the architecture of clinical research / Alvan R. Feinstein.</t>
  </si>
  <si>
    <t>Feinstein, Alvan R., 1925-2001.</t>
  </si>
  <si>
    <t>Philadelphia : Saunders, c1985.</t>
  </si>
  <si>
    <t>2000-03-27</t>
  </si>
  <si>
    <t>1989-04-26</t>
  </si>
  <si>
    <t>365160336:eng</t>
  </si>
  <si>
    <t>10800689</t>
  </si>
  <si>
    <t>991001468659702656</t>
  </si>
  <si>
    <t>2268539240002656</t>
  </si>
  <si>
    <t>9780721613086</t>
  </si>
  <si>
    <t>30001000558520</t>
  </si>
  <si>
    <t>893552537</t>
  </si>
  <si>
    <t>WA 950 F299ca 1987</t>
  </si>
  <si>
    <t>0                      WA 0950000F  299ca       1987</t>
  </si>
  <si>
    <t>Clinimetrics / Alvan R. Feinstein.</t>
  </si>
  <si>
    <t>New Haven : Yale University Press, c1987.</t>
  </si>
  <si>
    <t>1999-02-21</t>
  </si>
  <si>
    <t>8497435:eng</t>
  </si>
  <si>
    <t>15015039</t>
  </si>
  <si>
    <t>991001537189702656</t>
  </si>
  <si>
    <t>2257641380002656</t>
  </si>
  <si>
    <t>9780300038064</t>
  </si>
  <si>
    <t>30001000623407</t>
  </si>
  <si>
    <t>893279196</t>
  </si>
  <si>
    <t>WA950 F614c 2005</t>
  </si>
  <si>
    <t>0                      WA 0950000F  614c        2005</t>
  </si>
  <si>
    <t>Clinical epidemiology : the essentials / Robert H. Fletcher, Suzanne W. Fletcher.</t>
  </si>
  <si>
    <t>Fletcher, Robert H.</t>
  </si>
  <si>
    <t>2009-01-22</t>
  </si>
  <si>
    <t>10835075:eng</t>
  </si>
  <si>
    <t>57251369</t>
  </si>
  <si>
    <t>991000567029702656</t>
  </si>
  <si>
    <t>2272030550002656</t>
  </si>
  <si>
    <t>9780781752152</t>
  </si>
  <si>
    <t>30001005169927</t>
  </si>
  <si>
    <t>893286454</t>
  </si>
  <si>
    <t>WA 950 G345 1992</t>
  </si>
  <si>
    <t>0                      WA 0950000G  345         1992</t>
  </si>
  <si>
    <t>Geographical and environmental epidemiology : methods for small-area studies / edited by P. Elliott ... [et al.].</t>
  </si>
  <si>
    <t>Oxford ; New York : published on behalf of the World Health Organization Regional Office for Europe by POxford University Press, 1992.</t>
  </si>
  <si>
    <t>1998-07-13</t>
  </si>
  <si>
    <t>836887637:eng</t>
  </si>
  <si>
    <t>25594091</t>
  </si>
  <si>
    <t>991000644989702656</t>
  </si>
  <si>
    <t>2259653250002656</t>
  </si>
  <si>
    <t>9780192622808</t>
  </si>
  <si>
    <t>30001002690297</t>
  </si>
  <si>
    <t>893454652</t>
  </si>
  <si>
    <t>WA 950 G545p 1992</t>
  </si>
  <si>
    <t>0                      WA 0950000G  545p        1992</t>
  </si>
  <si>
    <t>Primer of biostatistics / Stanton A. Glantz.</t>
  </si>
  <si>
    <t>Glantz, Stanton A.</t>
  </si>
  <si>
    <t>New York : McGraw Hill, c1992.</t>
  </si>
  <si>
    <t>2002-04-09</t>
  </si>
  <si>
    <t>1993-02-11</t>
  </si>
  <si>
    <t>4923116147:eng</t>
  </si>
  <si>
    <t>25009601</t>
  </si>
  <si>
    <t>991001428839702656</t>
  </si>
  <si>
    <t>2269437430002656</t>
  </si>
  <si>
    <t>9780070235113</t>
  </si>
  <si>
    <t>30001002528166</t>
  </si>
  <si>
    <t>893832172</t>
  </si>
  <si>
    <t>WA 950 H434r 1983</t>
  </si>
  <si>
    <t>0                      WA 0950000H  434r        1983</t>
  </si>
  <si>
    <t>Research perspectives for health professionals / Robert Proulx Heaney.</t>
  </si>
  <si>
    <t>Heaney, Robert P. (Robert Proulx), 1927-2016.</t>
  </si>
  <si>
    <t>Omaha : [s.n.], c1983.</t>
  </si>
  <si>
    <t>1992-06-30</t>
  </si>
  <si>
    <t>11952582:eng</t>
  </si>
  <si>
    <t>23907334</t>
  </si>
  <si>
    <t>991001307839702656</t>
  </si>
  <si>
    <t>2261646150002656</t>
  </si>
  <si>
    <t>30001002414680</t>
  </si>
  <si>
    <t>893149075</t>
  </si>
  <si>
    <t>WA950 H434R 1983</t>
  </si>
  <si>
    <t>0                      WA 0950000H  434R        1983</t>
  </si>
  <si>
    <t>1991-06-28</t>
  </si>
  <si>
    <t>30001001180647</t>
  </si>
  <si>
    <t>893161879</t>
  </si>
  <si>
    <t>WA 950 H434r 1985</t>
  </si>
  <si>
    <t>0                      WA 0950000H  434r        1985</t>
  </si>
  <si>
    <t>Omaha : Robert P. Heaney, c1985.</t>
  </si>
  <si>
    <t>1993-03-01</t>
  </si>
  <si>
    <t>16309434</t>
  </si>
  <si>
    <t>991001275919702656</t>
  </si>
  <si>
    <t>2266817320002656</t>
  </si>
  <si>
    <t>30001000358087</t>
  </si>
  <si>
    <t>893161828</t>
  </si>
  <si>
    <t>30001000358095</t>
  </si>
  <si>
    <t>893161829</t>
  </si>
  <si>
    <t>WA 950 H434u 1983</t>
  </si>
  <si>
    <t>0                      WA 0950000H  434u        1983</t>
  </si>
  <si>
    <t>Uses of statistics in the health professions / Robert Proulx Heaney.</t>
  </si>
  <si>
    <t>2000-03-09</t>
  </si>
  <si>
    <t>11950047:eng</t>
  </si>
  <si>
    <t>23907020</t>
  </si>
  <si>
    <t>991001416179702656</t>
  </si>
  <si>
    <t>2261766570002656</t>
  </si>
  <si>
    <t>30001001180639</t>
  </si>
  <si>
    <t>893369375</t>
  </si>
  <si>
    <t>WA 950 H434u 1985</t>
  </si>
  <si>
    <t>0                      WA 0950000H  434u        1985</t>
  </si>
  <si>
    <t>1987-10-06</t>
  </si>
  <si>
    <t>1992-12-10</t>
  </si>
  <si>
    <t>16309317</t>
  </si>
  <si>
    <t>991001275839702656</t>
  </si>
  <si>
    <t>2266773930002656</t>
  </si>
  <si>
    <t>30001000358061</t>
  </si>
  <si>
    <t>893284621</t>
  </si>
  <si>
    <t>30001000358079</t>
  </si>
  <si>
    <t>893268261</t>
  </si>
  <si>
    <t>WA 950 K97b 1992</t>
  </si>
  <si>
    <t>0                      WA 0950000K  97b         1992</t>
  </si>
  <si>
    <t>Basic statistics for the health sciences / Jan W. Kuzma.</t>
  </si>
  <si>
    <t>Kuzma, Jan.</t>
  </si>
  <si>
    <t>Mountain View, Calif. : Mayfield, c1992.</t>
  </si>
  <si>
    <t>2004-07-12</t>
  </si>
  <si>
    <t>1992-08-12</t>
  </si>
  <si>
    <t>3192882:eng</t>
  </si>
  <si>
    <t>24590278</t>
  </si>
  <si>
    <t>991000497919702656</t>
  </si>
  <si>
    <t>2272671750002656</t>
  </si>
  <si>
    <t>9780874849967</t>
  </si>
  <si>
    <t>30001002455188</t>
  </si>
  <si>
    <t>893737850</t>
  </si>
  <si>
    <t>WA 950 L728f 1994</t>
  </si>
  <si>
    <t>0                      WA 0950000L  728f        1994</t>
  </si>
  <si>
    <t>Foundations of epidemiology.</t>
  </si>
  <si>
    <t>Lilienfeld, David E.</t>
  </si>
  <si>
    <t>3rd ed. / revised by David E. Lilienfeld, Paul D. Stolley.</t>
  </si>
  <si>
    <t>5264576:eng</t>
  </si>
  <si>
    <t>28586115</t>
  </si>
  <si>
    <t>991000681179702656</t>
  </si>
  <si>
    <t>2263863960002656</t>
  </si>
  <si>
    <t>9780195050363</t>
  </si>
  <si>
    <t>30001002697581</t>
  </si>
  <si>
    <t>893464525</t>
  </si>
  <si>
    <t>WA 950 M4835 1992</t>
  </si>
  <si>
    <t>0                      WA 0950000M  4835        1992</t>
  </si>
  <si>
    <t>Measuring functioning and well-being : the medical outcomes study approach / Anita L. Stewart &amp; John E. Ware, Jr., editors ; with a foreword by Alvin R. Tarlov.</t>
  </si>
  <si>
    <t>Durham : Duke University Press, c1992.</t>
  </si>
  <si>
    <t>1998-12-02</t>
  </si>
  <si>
    <t>1992-08-03</t>
  </si>
  <si>
    <t>836910617:eng</t>
  </si>
  <si>
    <t>24502847</t>
  </si>
  <si>
    <t>991001305739702656</t>
  </si>
  <si>
    <t>2266880980002656</t>
  </si>
  <si>
    <t>9780822312123</t>
  </si>
  <si>
    <t>30001002413781</t>
  </si>
  <si>
    <t>893455679</t>
  </si>
  <si>
    <t>WA 950 M489 1986</t>
  </si>
  <si>
    <t>0                      WA 0950000M  489         1986</t>
  </si>
  <si>
    <t>Medical uses of statistics / edited by John C. Bailar III, Frederick Mosteller ; contributing authors, John C. Bailar III ... [et al.].</t>
  </si>
  <si>
    <t>Waltham, Mass. : NEJM Books, c1986.</t>
  </si>
  <si>
    <t>2003-05-02</t>
  </si>
  <si>
    <t>1988-08-04</t>
  </si>
  <si>
    <t>509890106:eng</t>
  </si>
  <si>
    <t>13270827</t>
  </si>
  <si>
    <t>991001421209702656</t>
  </si>
  <si>
    <t>2262316910002656</t>
  </si>
  <si>
    <t>9780910133166</t>
  </si>
  <si>
    <t>30001001182338</t>
  </si>
  <si>
    <t>893643560</t>
  </si>
  <si>
    <t>WA 950 M62b 1984</t>
  </si>
  <si>
    <t>0                      WA 0950000M  62b         1984</t>
  </si>
  <si>
    <t>Biomedical bestiary : an epidemiologic guide to flaws and fallacies in the medical literature / by Max Michael, W. Thomas Boyce, Allen J. Wilcox.</t>
  </si>
  <si>
    <t>Michael, Max.</t>
  </si>
  <si>
    <t>Boston : Little, Brown, c1984.</t>
  </si>
  <si>
    <t>2002-02-17</t>
  </si>
  <si>
    <t>312886214:eng</t>
  </si>
  <si>
    <t>12083494</t>
  </si>
  <si>
    <t>991001468709702656</t>
  </si>
  <si>
    <t>2267832950002656</t>
  </si>
  <si>
    <t>9780316569514</t>
  </si>
  <si>
    <t>30001000558538</t>
  </si>
  <si>
    <t>893832222</t>
  </si>
  <si>
    <t>WA 950 M651i 1981</t>
  </si>
  <si>
    <t>0                      WA 0950000M  651i        1981</t>
  </si>
  <si>
    <t>Introductory statistics for dentistry and medicine / Sidney L. Miller.</t>
  </si>
  <si>
    <t>Miller, Sidney L., 1913-2008.</t>
  </si>
  <si>
    <t>Reston, Va. : Reston Pub. Co., c1981.</t>
  </si>
  <si>
    <t>2004-05-10</t>
  </si>
  <si>
    <t>497563:eng</t>
  </si>
  <si>
    <t>6861727</t>
  </si>
  <si>
    <t>991000734419702656</t>
  </si>
  <si>
    <t>2268495990002656</t>
  </si>
  <si>
    <t>9780835932882</t>
  </si>
  <si>
    <t>30001000709099</t>
  </si>
  <si>
    <t>893825567</t>
  </si>
  <si>
    <t>WA 950 M755o 1990</t>
  </si>
  <si>
    <t>0                      WA 0950000M  755o        1990</t>
  </si>
  <si>
    <t>Occupational epidemiology / author, Richard R. Monson.</t>
  </si>
  <si>
    <t>Monson, Richard R., 1936-</t>
  </si>
  <si>
    <t>Boca Raton, Fla. : CRC Press, c1990.</t>
  </si>
  <si>
    <t>2002-01-23</t>
  </si>
  <si>
    <t>20342540:eng</t>
  </si>
  <si>
    <t>20453882</t>
  </si>
  <si>
    <t>991001451459702656</t>
  </si>
  <si>
    <t>2265429940002656</t>
  </si>
  <si>
    <t>9780849349270</t>
  </si>
  <si>
    <t>30001001883125</t>
  </si>
  <si>
    <t>893649212</t>
  </si>
  <si>
    <t>WA 950 M978c 1985</t>
  </si>
  <si>
    <t>0                      WA 0950000M  978c        1985</t>
  </si>
  <si>
    <t>A companion to medical statistics / Edmond A. Murphy.</t>
  </si>
  <si>
    <t>Murphy, Edmond A., 1925-</t>
  </si>
  <si>
    <t>Baltimore : Johns Hopkins University Press, c1985.</t>
  </si>
  <si>
    <t>The Johns Hopkins series in contemporary medicine and public health</t>
  </si>
  <si>
    <t>1989-12-01</t>
  </si>
  <si>
    <t>4134857:eng</t>
  </si>
  <si>
    <t>11235768</t>
  </si>
  <si>
    <t>991000734499702656</t>
  </si>
  <si>
    <t>2261957700002656</t>
  </si>
  <si>
    <t>9780801826122</t>
  </si>
  <si>
    <t>30001000709107</t>
  </si>
  <si>
    <t>893637253</t>
  </si>
  <si>
    <t>WA950 N476 2004</t>
  </si>
  <si>
    <t>0                      WA 0950000N  476         2004</t>
  </si>
  <si>
    <t>Network epidemiology : a handbook for survey design and data collection / edited by Martina Morris.</t>
  </si>
  <si>
    <t>Oxford ; New York : Oxford University Press, 2004.</t>
  </si>
  <si>
    <t>International studies in demography</t>
  </si>
  <si>
    <t>2009-03-13</t>
  </si>
  <si>
    <t>2005-04-06</t>
  </si>
  <si>
    <t>803387392:eng</t>
  </si>
  <si>
    <t>53871752</t>
  </si>
  <si>
    <t>991000435079702656</t>
  </si>
  <si>
    <t>2270477310002656</t>
  </si>
  <si>
    <t>9780199269013</t>
  </si>
  <si>
    <t>30001004928935</t>
  </si>
  <si>
    <t>893370473</t>
  </si>
  <si>
    <t>WA950 P421s 2003</t>
  </si>
  <si>
    <t>0                      WA 0950000P  421s        2003</t>
  </si>
  <si>
    <t>The statistical evaluation of medical tests for classification and prediction / Margaret Sullivan Pepe.</t>
  </si>
  <si>
    <t>Pepe, Margaret Sullivan, 1961-</t>
  </si>
  <si>
    <t>Oxford : Oxford University Press, 2003.</t>
  </si>
  <si>
    <t>Oxford statistical science series ; 28</t>
  </si>
  <si>
    <t>2003-12-08</t>
  </si>
  <si>
    <t>663934:eng</t>
  </si>
  <si>
    <t>51108967</t>
  </si>
  <si>
    <t>991000360899702656</t>
  </si>
  <si>
    <t>2266709260002656</t>
  </si>
  <si>
    <t>9780198509844</t>
  </si>
  <si>
    <t>30001004508000</t>
  </si>
  <si>
    <t>893558787</t>
  </si>
  <si>
    <t>WA 950 P491m 2000</t>
  </si>
  <si>
    <t>0                      WA 0950000P  491m        2000</t>
  </si>
  <si>
    <t>Meta-analysis, decision analysis, and cost-effectiveness analysis : methods for quantitative synthesis in medicine / Diana B. Petitti.</t>
  </si>
  <si>
    <t>Petitti, Diana B.</t>
  </si>
  <si>
    <t>Monographs in epidemiology and biostatistics ; v. 31</t>
  </si>
  <si>
    <t>2007-05-30</t>
  </si>
  <si>
    <t>25789046:eng</t>
  </si>
  <si>
    <t>40830093</t>
  </si>
  <si>
    <t>991001442929702656</t>
  </si>
  <si>
    <t>2256188690002656</t>
  </si>
  <si>
    <t>9780195133646</t>
  </si>
  <si>
    <t>30001003883438</t>
  </si>
  <si>
    <t>893743793</t>
  </si>
  <si>
    <t>WA 950 P956 1982</t>
  </si>
  <si>
    <t>0                      WA 0950000P  956         1982</t>
  </si>
  <si>
    <t>Principles of epidemiology : a learning guide / Lewis Roht, Beatrice Selwyn, Alfonso Holguin, editors.</t>
  </si>
  <si>
    <t>New York : Academic Press, c1982.</t>
  </si>
  <si>
    <t>1989-07-14</t>
  </si>
  <si>
    <t>32467845:eng</t>
  </si>
  <si>
    <t>8667932</t>
  </si>
  <si>
    <t>991000734819702656</t>
  </si>
  <si>
    <t>2264014150002656</t>
  </si>
  <si>
    <t>9780125931809</t>
  </si>
  <si>
    <t>30001000709115</t>
  </si>
  <si>
    <t>893726614</t>
  </si>
  <si>
    <t>WA 950 R335b 1982</t>
  </si>
  <si>
    <t>0                      WA 0950000R  335b        1982</t>
  </si>
  <si>
    <t>Biomedical statistics with computing / Mary H. Regier, Ram N. Mohapatra and Surya N. Mohapatra.</t>
  </si>
  <si>
    <t>Regier, Mary H.</t>
  </si>
  <si>
    <t>Chichester ; New York : Research Studies Press, c1982.</t>
  </si>
  <si>
    <t>Medical computing series ; 6</t>
  </si>
  <si>
    <t>4723642:eng</t>
  </si>
  <si>
    <t>12082416</t>
  </si>
  <si>
    <t>991000734879702656</t>
  </si>
  <si>
    <t>2263896560002656</t>
  </si>
  <si>
    <t>9780471104490</t>
  </si>
  <si>
    <t>30001000709123</t>
  </si>
  <si>
    <t>893450169</t>
  </si>
  <si>
    <t>WA 950 R554s 1989</t>
  </si>
  <si>
    <t>0                      WA 0950000R  554s        1989</t>
  </si>
  <si>
    <t>Studying a study and testing a test : how to read the medical literature / Richard K. Riegelman, Robert P. Hirsch.</t>
  </si>
  <si>
    <t>Riegelman, Richard K.</t>
  </si>
  <si>
    <t>Boston : Little, Brown, c1989.</t>
  </si>
  <si>
    <t>2003-04-10</t>
  </si>
  <si>
    <t>1049911:eng</t>
  </si>
  <si>
    <t>19944332</t>
  </si>
  <si>
    <t>991001428879702656</t>
  </si>
  <si>
    <t>2269510860002656</t>
  </si>
  <si>
    <t>9780316745246</t>
  </si>
  <si>
    <t>30001002528182</t>
  </si>
  <si>
    <t>893731994</t>
  </si>
  <si>
    <t>WA 950 S559s 1990</t>
  </si>
  <si>
    <t>0                      WA 0950000S  559s        1990</t>
  </si>
  <si>
    <t>Statistics for health professionals / Susan Shott.</t>
  </si>
  <si>
    <t>Shott, Susan, 1954-</t>
  </si>
  <si>
    <t>Philadelphia : Saunders, c1990.</t>
  </si>
  <si>
    <t>2004-05-11</t>
  </si>
  <si>
    <t>1991-02-16</t>
  </si>
  <si>
    <t>22690930:eng</t>
  </si>
  <si>
    <t>20691847</t>
  </si>
  <si>
    <t>991000820379702656</t>
  </si>
  <si>
    <t>2265507430002656</t>
  </si>
  <si>
    <t>9780721682549</t>
  </si>
  <si>
    <t>30001002087452</t>
  </si>
  <si>
    <t>893455079</t>
  </si>
  <si>
    <t>WA 950 S915h 1991</t>
  </si>
  <si>
    <t>0                      WA 0950000S  915h        1991</t>
  </si>
  <si>
    <t>Health measurement scales : a practical guide to their development and use / David L. Streiner and Geoffrey R. Norman.</t>
  </si>
  <si>
    <t>Streiner, David L.</t>
  </si>
  <si>
    <t>1999-07-16</t>
  </si>
  <si>
    <t>1992-03-23</t>
  </si>
  <si>
    <t>796604746:eng</t>
  </si>
  <si>
    <t>24768716</t>
  </si>
  <si>
    <t>991001298539702656</t>
  </si>
  <si>
    <t>2254722150002656</t>
  </si>
  <si>
    <t>9780192620477</t>
  </si>
  <si>
    <t>30001002410902</t>
  </si>
  <si>
    <t>893643441</t>
  </si>
  <si>
    <t>WA950 S915h 2003</t>
  </si>
  <si>
    <t>0                      WA 0950000S  915h        2003</t>
  </si>
  <si>
    <t>2007-03-02</t>
  </si>
  <si>
    <t>2006-02-23</t>
  </si>
  <si>
    <t>52784698</t>
  </si>
  <si>
    <t>991000465959702656</t>
  </si>
  <si>
    <t>2261334270002656</t>
  </si>
  <si>
    <t>9780198528470</t>
  </si>
  <si>
    <t>30001004911113</t>
  </si>
  <si>
    <t>893723577</t>
  </si>
  <si>
    <t>WA 950 V136e 1992</t>
  </si>
  <si>
    <t>0                      WA 0950000V  136e        1992</t>
  </si>
  <si>
    <t>Epidemiology in nursing and health care / Barbara Valanis ; [with contributions by Karen Labuhn, Linda Shortridge, Mary Ann Woodbury].</t>
  </si>
  <si>
    <t>Valanis, Barbara.</t>
  </si>
  <si>
    <t>Norwalk, Conn. : Appleton &amp; Lange, c1992.</t>
  </si>
  <si>
    <t>5706977:eng</t>
  </si>
  <si>
    <t>24870912</t>
  </si>
  <si>
    <t>991001301089702656</t>
  </si>
  <si>
    <t>2270286440002656</t>
  </si>
  <si>
    <t>9780838522264</t>
  </si>
  <si>
    <t>30001002411728</t>
  </si>
  <si>
    <t>893465390</t>
  </si>
  <si>
    <t>WA 950 V136e 1999</t>
  </si>
  <si>
    <t>0                      WA 0950000V  136e        1999</t>
  </si>
  <si>
    <t>Epidemiology in health care / Barbara Valanis.</t>
  </si>
  <si>
    <t>Stamford, Conn. : Appleton &amp; Lange, c1999.</t>
  </si>
  <si>
    <t>2003-11-17</t>
  </si>
  <si>
    <t>2000-01-10</t>
  </si>
  <si>
    <t>3857487489:eng</t>
  </si>
  <si>
    <t>42976719</t>
  </si>
  <si>
    <t>991001800929702656</t>
  </si>
  <si>
    <t>2255570240002656</t>
  </si>
  <si>
    <t>9780838522271</t>
  </si>
  <si>
    <t>30001003890318</t>
  </si>
  <si>
    <t>893274606</t>
  </si>
  <si>
    <t>WA 950 W424b 1985</t>
  </si>
  <si>
    <t>0                      WA 0950000W  424b        1985</t>
  </si>
  <si>
    <t>Biostats : data analysis for dental health care professionals / Jane A. Weintraub, Chester W. Douglass, Dennis B. Gillings.</t>
  </si>
  <si>
    <t>Weintraub, Jane A., 1954-</t>
  </si>
  <si>
    <t>Chapel Hill, N.C. : CAVCO Inc., c1985.</t>
  </si>
  <si>
    <t>2nd ed. rev.</t>
  </si>
  <si>
    <t>2004-07-09</t>
  </si>
  <si>
    <t>1991-09-11</t>
  </si>
  <si>
    <t>3942324:eng</t>
  </si>
  <si>
    <t>12135090</t>
  </si>
  <si>
    <t>991000947099702656</t>
  </si>
  <si>
    <t>2260058490002656</t>
  </si>
  <si>
    <t>9780932137012</t>
  </si>
  <si>
    <t>30001002194092</t>
  </si>
  <si>
    <t>893632523</t>
  </si>
  <si>
    <t>ZWA 300 A615 1993</t>
  </si>
  <si>
    <t>0Z                     WA 0300000A  615         1993</t>
  </si>
  <si>
    <t>Annual review of women's health / edited by Beverly J. McElmurry and Randy Spreen Parker.</t>
  </si>
  <si>
    <t>New York, NY : National League for Nursing Press, c1993.</t>
  </si>
  <si>
    <t>NLN pub. no. 19-2546.</t>
  </si>
  <si>
    <t>2864770173:eng</t>
  </si>
  <si>
    <t>29649634</t>
  </si>
  <si>
    <t>991000246069702656</t>
  </si>
  <si>
    <t>2262675800002656</t>
  </si>
  <si>
    <t>30001002950147</t>
  </si>
  <si>
    <t>893633563</t>
  </si>
  <si>
    <t>ZWA 300 A615 1995</t>
  </si>
  <si>
    <t>0Z                     WA 0300000A  615         1995</t>
  </si>
  <si>
    <t>Annual review of women's health vol. III / edited by Beverly J. McElmurry and Randy Spreen Parker.</t>
  </si>
  <si>
    <t>New York, NY : National League for Nursing Press, c1996.</t>
  </si>
  <si>
    <t>NLN publication ; no. 14-672x</t>
  </si>
  <si>
    <t>3377248393:eng</t>
  </si>
  <si>
    <t>36259310</t>
  </si>
  <si>
    <t>991000264989702656</t>
  </si>
  <si>
    <t>2262792110002656</t>
  </si>
  <si>
    <t>30001003524453</t>
  </si>
  <si>
    <t>893832737</t>
  </si>
  <si>
    <t>ZWA 300 A615 1995 vII</t>
  </si>
  <si>
    <t>0Z                     WA 0300000A  615         1995                                        vII</t>
  </si>
  <si>
    <t>Annual review of women's health vol. II / edited by Beverly J. McElmurry and Randy Spreen Parker.</t>
  </si>
  <si>
    <t>New York, NY : National League for Nursing Press, c1995.</t>
  </si>
  <si>
    <t>NLN pub. no. 19-2669</t>
  </si>
  <si>
    <t>4021007710:eng</t>
  </si>
  <si>
    <t>32463084</t>
  </si>
  <si>
    <t>991000254369702656</t>
  </si>
  <si>
    <t>2267923440002656</t>
  </si>
  <si>
    <t>9780887376368</t>
  </si>
  <si>
    <t>30001003169010</t>
  </si>
  <si>
    <t>893811284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</si>
  <si>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</si>
  <si>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</si>
  <si>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</si>
  <si>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</si>
  <si>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</si>
  <si>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</si>
  <si>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</si>
  <si>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</si>
  <si>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</si>
  <si>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</si>
  <si>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</si>
  <si>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</si>
  <si>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</si>
  <si>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</si>
  <si>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</si>
  <si>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</si>
  <si>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</si>
  <si>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</si>
  <si>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</si>
  <si>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</si>
  <si>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</si>
  <si>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</si>
  <si>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</si>
  <si>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</si>
  <si>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</si>
  <si>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</si>
  <si>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</si>
  <si>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Nebraska Holdings - Same Edition</t>
  </si>
  <si>
    <t>All Comparator Library Holdings - Same Edition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</si>
  <si>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</si>
  <si>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</si>
  <si>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</si>
  <si>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</si>
  <si>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</si>
  <si>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</si>
  <si>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</si>
  <si>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</si>
  <si>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</si>
  <si>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</si>
  <si>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</si>
  <si>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</si>
  <si>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</si>
  <si>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</si>
  <si>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</si>
  <si>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</si>
  <si>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</si>
  <si>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</si>
  <si>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</si>
  <si>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</si>
  <si>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</si>
  <si>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</si>
  <si>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</si>
  <si>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</si>
  <si>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</si>
  <si>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US Holdings</t>
  </si>
  <si>
    <t>Nebraska Holdings</t>
  </si>
  <si>
    <t>All Comparator Library Holdings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</si>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</sst>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8850-DF39-479A-9D0A-7A8589BA86F5}">
  <dimension ref="A1:BF473"/>
  <sheetViews>
    <sheetView tabSelected="1" workbookViewId="0">
      <selection activeCell="F5" sqref="F5"/>
    </sheetView>
  </sheetViews>
  <sheetFormatPr defaultRowHeight="50.25" customHeight="1" x14ac:dyDescent="0.25"/>
  <cols>
    <col min="1" max="1" width="13.7109375" customWidth="1"/>
    <col min="2" max="3" width="0" hidden="1" customWidth="1"/>
    <col min="4" max="4" width="22.140625" customWidth="1"/>
    <col min="5" max="5" width="0" hidden="1" customWidth="1"/>
    <col min="6" max="6" width="48.85546875" customWidth="1"/>
    <col min="8" max="12" width="0" hidden="1" customWidth="1"/>
    <col min="13" max="13" width="20" customWidth="1"/>
    <col min="14" max="14" width="18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4" max="43" width="0" hidden="1" customWidth="1"/>
    <col min="44" max="46" width="10.85546875" customWidth="1"/>
    <col min="49" max="58" width="0" hidden="1" customWidth="1"/>
  </cols>
  <sheetData>
    <row r="1" spans="1:58" ht="50.25" customHeight="1" x14ac:dyDescent="0.25">
      <c r="A1" s="7" t="s">
        <v>6120</v>
      </c>
      <c r="B1" s="6" t="s">
        <v>6063</v>
      </c>
      <c r="C1" s="6" t="s">
        <v>6064</v>
      </c>
      <c r="D1" s="6" t="s">
        <v>6065</v>
      </c>
      <c r="E1" s="6" t="s">
        <v>6066</v>
      </c>
      <c r="F1" s="6" t="s">
        <v>6067</v>
      </c>
      <c r="G1" s="6" t="s">
        <v>6068</v>
      </c>
      <c r="H1" s="6" t="s">
        <v>6069</v>
      </c>
      <c r="I1" s="6" t="s">
        <v>6070</v>
      </c>
      <c r="J1" s="6" t="s">
        <v>6071</v>
      </c>
      <c r="K1" s="6" t="s">
        <v>6072</v>
      </c>
      <c r="L1" s="6" t="s">
        <v>6073</v>
      </c>
      <c r="M1" s="6" t="s">
        <v>6074</v>
      </c>
      <c r="N1" s="6" t="s">
        <v>6075</v>
      </c>
      <c r="O1" s="6" t="s">
        <v>6076</v>
      </c>
      <c r="P1" s="6" t="s">
        <v>6077</v>
      </c>
      <c r="Q1" s="6" t="s">
        <v>6078</v>
      </c>
      <c r="R1" s="6" t="s">
        <v>6079</v>
      </c>
      <c r="S1" s="6" t="s">
        <v>6080</v>
      </c>
      <c r="T1" s="6" t="s">
        <v>6081</v>
      </c>
      <c r="U1" s="6" t="s">
        <v>6082</v>
      </c>
      <c r="V1" s="6" t="s">
        <v>6083</v>
      </c>
      <c r="W1" s="6" t="s">
        <v>6084</v>
      </c>
      <c r="X1" s="6" t="s">
        <v>6085</v>
      </c>
      <c r="Y1" s="6" t="s">
        <v>6086</v>
      </c>
      <c r="Z1" s="6" t="s">
        <v>6087</v>
      </c>
      <c r="AA1" s="6" t="s">
        <v>6088</v>
      </c>
      <c r="AB1" s="6" t="s">
        <v>6089</v>
      </c>
      <c r="AC1" s="6" t="s">
        <v>6117</v>
      </c>
      <c r="AD1" s="6" t="s">
        <v>6090</v>
      </c>
      <c r="AE1" s="6" t="s">
        <v>6118</v>
      </c>
      <c r="AF1" s="6" t="s">
        <v>6091</v>
      </c>
      <c r="AG1" s="6" t="s">
        <v>6119</v>
      </c>
      <c r="AH1" s="6" t="s">
        <v>6092</v>
      </c>
      <c r="AI1" s="6" t="s">
        <v>6093</v>
      </c>
      <c r="AJ1" s="6" t="s">
        <v>6094</v>
      </c>
      <c r="AK1" s="6" t="s">
        <v>6095</v>
      </c>
      <c r="AL1" s="6" t="s">
        <v>6096</v>
      </c>
      <c r="AM1" s="6" t="s">
        <v>6097</v>
      </c>
      <c r="AN1" s="6" t="s">
        <v>6098</v>
      </c>
      <c r="AO1" s="6" t="s">
        <v>6099</v>
      </c>
      <c r="AP1" s="6" t="s">
        <v>6100</v>
      </c>
      <c r="AQ1" s="6" t="s">
        <v>6101</v>
      </c>
      <c r="AR1" s="6" t="s">
        <v>6102</v>
      </c>
      <c r="AS1" s="6" t="s">
        <v>6103</v>
      </c>
      <c r="AT1" s="6" t="s">
        <v>6104</v>
      </c>
      <c r="AU1" s="6" t="s">
        <v>6105</v>
      </c>
      <c r="AV1" s="6" t="s">
        <v>6106</v>
      </c>
      <c r="AW1" s="6" t="s">
        <v>6107</v>
      </c>
      <c r="AX1" s="6" t="s">
        <v>6108</v>
      </c>
      <c r="AY1" s="6" t="s">
        <v>6109</v>
      </c>
      <c r="AZ1" s="6" t="s">
        <v>6110</v>
      </c>
      <c r="BA1" s="6" t="s">
        <v>6111</v>
      </c>
      <c r="BB1" s="6" t="s">
        <v>6112</v>
      </c>
      <c r="BC1" s="6" t="s">
        <v>6113</v>
      </c>
      <c r="BD1" s="6" t="s">
        <v>6114</v>
      </c>
      <c r="BE1" s="6" t="s">
        <v>6115</v>
      </c>
      <c r="BF1" s="6" t="s">
        <v>6116</v>
      </c>
    </row>
    <row r="2" spans="1:58" ht="50.25" customHeight="1" x14ac:dyDescent="0.25">
      <c r="A2" s="8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5</v>
      </c>
      <c r="I2" s="2" t="s">
        <v>6</v>
      </c>
      <c r="J2" s="2" t="s">
        <v>5</v>
      </c>
      <c r="K2" s="2" t="s">
        <v>5</v>
      </c>
      <c r="L2" s="2" t="s">
        <v>7</v>
      </c>
      <c r="N2" s="1" t="s">
        <v>8</v>
      </c>
      <c r="O2" s="2" t="s">
        <v>9</v>
      </c>
      <c r="Q2" s="2" t="s">
        <v>10</v>
      </c>
      <c r="R2" s="2" t="s">
        <v>11</v>
      </c>
      <c r="T2" s="2" t="s">
        <v>12</v>
      </c>
      <c r="U2" s="3">
        <v>0</v>
      </c>
      <c r="V2" s="3">
        <v>0</v>
      </c>
      <c r="W2" s="4" t="s">
        <v>13</v>
      </c>
      <c r="X2" s="4" t="s">
        <v>13</v>
      </c>
      <c r="Y2" s="4" t="s">
        <v>14</v>
      </c>
      <c r="Z2" s="4" t="s">
        <v>14</v>
      </c>
      <c r="AA2" s="3">
        <v>128</v>
      </c>
      <c r="AB2" s="3">
        <v>122</v>
      </c>
      <c r="AC2" s="3">
        <v>127</v>
      </c>
      <c r="AD2" s="3">
        <v>4</v>
      </c>
      <c r="AE2" s="3">
        <v>4</v>
      </c>
      <c r="AF2" s="3">
        <v>4</v>
      </c>
      <c r="AG2" s="3">
        <v>4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3</v>
      </c>
      <c r="AO2" s="3">
        <v>3</v>
      </c>
      <c r="AP2" s="3">
        <v>1</v>
      </c>
      <c r="AQ2" s="3">
        <v>1</v>
      </c>
      <c r="AR2" s="2" t="s">
        <v>5</v>
      </c>
      <c r="AS2" s="2" t="s">
        <v>5</v>
      </c>
      <c r="AU2" s="5" t="str">
        <f>HYPERLINK("https://creighton-primo.hosted.exlibrisgroup.com/primo-explore/search?tab=default_tab&amp;search_scope=EVERYTHING&amp;vid=01CRU&amp;lang=en_US&amp;offset=0&amp;query=any,contains,991001470929702656","Catalog Record")</f>
        <v>Catalog Record</v>
      </c>
      <c r="AV2" s="5" t="str">
        <f>HYPERLINK("http://www.worldcat.org/oclc/63529145","WorldCat Record")</f>
        <v>WorldCat Record</v>
      </c>
      <c r="AW2" s="2" t="s">
        <v>15</v>
      </c>
      <c r="AX2" s="2" t="s">
        <v>16</v>
      </c>
      <c r="AY2" s="2" t="s">
        <v>17</v>
      </c>
      <c r="AZ2" s="2" t="s">
        <v>17</v>
      </c>
      <c r="BA2" s="2" t="s">
        <v>18</v>
      </c>
      <c r="BB2" s="2" t="s">
        <v>19</v>
      </c>
      <c r="BD2" s="2" t="s">
        <v>20</v>
      </c>
      <c r="BE2" s="2" t="s">
        <v>21</v>
      </c>
      <c r="BF2" s="2" t="s">
        <v>22</v>
      </c>
    </row>
    <row r="3" spans="1:58" ht="50.25" customHeight="1" x14ac:dyDescent="0.25">
      <c r="A3" s="8" t="s">
        <v>5</v>
      </c>
      <c r="B3" s="1" t="s">
        <v>0</v>
      </c>
      <c r="C3" s="1" t="s">
        <v>1</v>
      </c>
      <c r="D3" s="1" t="s">
        <v>23</v>
      </c>
      <c r="E3" s="1" t="s">
        <v>24</v>
      </c>
      <c r="F3" s="1" t="s">
        <v>25</v>
      </c>
      <c r="H3" s="2" t="s">
        <v>5</v>
      </c>
      <c r="I3" s="2" t="s">
        <v>6</v>
      </c>
      <c r="J3" s="2" t="s">
        <v>5</v>
      </c>
      <c r="K3" s="2" t="s">
        <v>5</v>
      </c>
      <c r="L3" s="2" t="s">
        <v>7</v>
      </c>
      <c r="M3" s="1" t="s">
        <v>26</v>
      </c>
      <c r="N3" s="1" t="s">
        <v>27</v>
      </c>
      <c r="O3" s="2" t="s">
        <v>28</v>
      </c>
      <c r="Q3" s="2" t="s">
        <v>10</v>
      </c>
      <c r="R3" s="2" t="s">
        <v>29</v>
      </c>
      <c r="T3" s="2" t="s">
        <v>12</v>
      </c>
      <c r="U3" s="3">
        <v>9</v>
      </c>
      <c r="V3" s="3">
        <v>9</v>
      </c>
      <c r="W3" s="4" t="s">
        <v>30</v>
      </c>
      <c r="X3" s="4" t="s">
        <v>30</v>
      </c>
      <c r="Y3" s="4" t="s">
        <v>31</v>
      </c>
      <c r="Z3" s="4" t="s">
        <v>31</v>
      </c>
      <c r="AA3" s="3">
        <v>837</v>
      </c>
      <c r="AB3" s="3">
        <v>785</v>
      </c>
      <c r="AC3" s="3">
        <v>785</v>
      </c>
      <c r="AD3" s="3">
        <v>2</v>
      </c>
      <c r="AE3" s="3">
        <v>2</v>
      </c>
      <c r="AF3" s="3">
        <v>22</v>
      </c>
      <c r="AG3" s="3">
        <v>22</v>
      </c>
      <c r="AH3" s="3">
        <v>10</v>
      </c>
      <c r="AI3" s="3">
        <v>10</v>
      </c>
      <c r="AJ3" s="3">
        <v>3</v>
      </c>
      <c r="AK3" s="3">
        <v>3</v>
      </c>
      <c r="AL3" s="3">
        <v>11</v>
      </c>
      <c r="AM3" s="3">
        <v>11</v>
      </c>
      <c r="AN3" s="3">
        <v>1</v>
      </c>
      <c r="AO3" s="3">
        <v>1</v>
      </c>
      <c r="AP3" s="3">
        <v>1</v>
      </c>
      <c r="AQ3" s="3">
        <v>1</v>
      </c>
      <c r="AR3" s="2" t="s">
        <v>5</v>
      </c>
      <c r="AS3" s="2" t="s">
        <v>5</v>
      </c>
      <c r="AU3" s="5" t="str">
        <f>HYPERLINK("https://creighton-primo.hosted.exlibrisgroup.com/primo-explore/search?tab=default_tab&amp;search_scope=EVERYTHING&amp;vid=01CRU&amp;lang=en_US&amp;offset=0&amp;query=any,contains,991000937349702656","Catalog Record")</f>
        <v>Catalog Record</v>
      </c>
      <c r="AV3" s="5" t="str">
        <f>HYPERLINK("http://www.worldcat.org/oclc/20014513","WorldCat Record")</f>
        <v>WorldCat Record</v>
      </c>
      <c r="AW3" s="2" t="s">
        <v>32</v>
      </c>
      <c r="AX3" s="2" t="s">
        <v>33</v>
      </c>
      <c r="AY3" s="2" t="s">
        <v>34</v>
      </c>
      <c r="AZ3" s="2" t="s">
        <v>34</v>
      </c>
      <c r="BA3" s="2" t="s">
        <v>35</v>
      </c>
      <c r="BB3" s="2" t="s">
        <v>19</v>
      </c>
      <c r="BD3" s="2" t="s">
        <v>36</v>
      </c>
      <c r="BE3" s="2" t="s">
        <v>37</v>
      </c>
      <c r="BF3" s="2" t="s">
        <v>38</v>
      </c>
    </row>
    <row r="4" spans="1:58" ht="50.25" customHeight="1" x14ac:dyDescent="0.25">
      <c r="A4" s="8" t="s">
        <v>5</v>
      </c>
      <c r="B4" s="1" t="s">
        <v>0</v>
      </c>
      <c r="C4" s="1" t="s">
        <v>1</v>
      </c>
      <c r="D4" s="1" t="s">
        <v>39</v>
      </c>
      <c r="E4" s="1" t="s">
        <v>40</v>
      </c>
      <c r="F4" s="1" t="s">
        <v>41</v>
      </c>
      <c r="H4" s="2" t="s">
        <v>5</v>
      </c>
      <c r="I4" s="2" t="s">
        <v>6</v>
      </c>
      <c r="J4" s="2" t="s">
        <v>5</v>
      </c>
      <c r="K4" s="2" t="s">
        <v>5</v>
      </c>
      <c r="L4" s="2" t="s">
        <v>7</v>
      </c>
      <c r="M4" s="1" t="s">
        <v>42</v>
      </c>
      <c r="N4" s="1" t="s">
        <v>43</v>
      </c>
      <c r="O4" s="2" t="s">
        <v>44</v>
      </c>
      <c r="Q4" s="2" t="s">
        <v>10</v>
      </c>
      <c r="R4" s="2" t="s">
        <v>45</v>
      </c>
      <c r="T4" s="2" t="s">
        <v>12</v>
      </c>
      <c r="U4" s="3">
        <v>6</v>
      </c>
      <c r="V4" s="3">
        <v>6</v>
      </c>
      <c r="W4" s="4" t="s">
        <v>46</v>
      </c>
      <c r="X4" s="4" t="s">
        <v>46</v>
      </c>
      <c r="Y4" s="4" t="s">
        <v>47</v>
      </c>
      <c r="Z4" s="4" t="s">
        <v>47</v>
      </c>
      <c r="AA4" s="3">
        <v>178</v>
      </c>
      <c r="AB4" s="3">
        <v>154</v>
      </c>
      <c r="AC4" s="3">
        <v>182</v>
      </c>
      <c r="AD4" s="3">
        <v>2</v>
      </c>
      <c r="AE4" s="3">
        <v>2</v>
      </c>
      <c r="AF4" s="3">
        <v>6</v>
      </c>
      <c r="AG4" s="3">
        <v>6</v>
      </c>
      <c r="AH4" s="3">
        <v>2</v>
      </c>
      <c r="AI4" s="3">
        <v>2</v>
      </c>
      <c r="AJ4" s="3">
        <v>3</v>
      </c>
      <c r="AK4" s="3">
        <v>3</v>
      </c>
      <c r="AL4" s="3">
        <v>2</v>
      </c>
      <c r="AM4" s="3">
        <v>2</v>
      </c>
      <c r="AN4" s="3">
        <v>1</v>
      </c>
      <c r="AO4" s="3">
        <v>1</v>
      </c>
      <c r="AP4" s="3">
        <v>0</v>
      </c>
      <c r="AQ4" s="3">
        <v>0</v>
      </c>
      <c r="AR4" s="2" t="s">
        <v>5</v>
      </c>
      <c r="AS4" s="2" t="s">
        <v>5</v>
      </c>
      <c r="AU4" s="5" t="str">
        <f>HYPERLINK("https://creighton-primo.hosted.exlibrisgroup.com/primo-explore/search?tab=default_tab&amp;search_scope=EVERYTHING&amp;vid=01CRU&amp;lang=en_US&amp;offset=0&amp;query=any,contains,991000678479702656","Catalog Record")</f>
        <v>Catalog Record</v>
      </c>
      <c r="AV4" s="5" t="str">
        <f>HYPERLINK("http://www.worldcat.org/oclc/64771131","WorldCat Record")</f>
        <v>WorldCat Record</v>
      </c>
      <c r="AW4" s="2" t="s">
        <v>48</v>
      </c>
      <c r="AX4" s="2" t="s">
        <v>49</v>
      </c>
      <c r="AY4" s="2" t="s">
        <v>50</v>
      </c>
      <c r="AZ4" s="2" t="s">
        <v>50</v>
      </c>
      <c r="BA4" s="2" t="s">
        <v>51</v>
      </c>
      <c r="BB4" s="2" t="s">
        <v>19</v>
      </c>
      <c r="BD4" s="2" t="s">
        <v>52</v>
      </c>
      <c r="BE4" s="2" t="s">
        <v>53</v>
      </c>
      <c r="BF4" s="2" t="s">
        <v>54</v>
      </c>
    </row>
    <row r="5" spans="1:58" ht="50.25" customHeight="1" x14ac:dyDescent="0.25">
      <c r="A5" s="8" t="s">
        <v>5</v>
      </c>
      <c r="B5" s="1" t="s">
        <v>0</v>
      </c>
      <c r="C5" s="1" t="s">
        <v>1</v>
      </c>
      <c r="D5" s="1" t="s">
        <v>55</v>
      </c>
      <c r="E5" s="1" t="s">
        <v>56</v>
      </c>
      <c r="F5" s="1" t="s">
        <v>57</v>
      </c>
      <c r="H5" s="2" t="s">
        <v>5</v>
      </c>
      <c r="I5" s="2" t="s">
        <v>6</v>
      </c>
      <c r="J5" s="2" t="s">
        <v>5</v>
      </c>
      <c r="K5" s="2" t="s">
        <v>5</v>
      </c>
      <c r="L5" s="2" t="s">
        <v>6</v>
      </c>
      <c r="M5" s="1" t="s">
        <v>58</v>
      </c>
      <c r="N5" s="1" t="s">
        <v>59</v>
      </c>
      <c r="O5" s="2" t="s">
        <v>60</v>
      </c>
      <c r="Q5" s="2" t="s">
        <v>10</v>
      </c>
      <c r="R5" s="2" t="s">
        <v>61</v>
      </c>
      <c r="S5" s="1" t="s">
        <v>62</v>
      </c>
      <c r="T5" s="2" t="s">
        <v>12</v>
      </c>
      <c r="U5" s="3">
        <v>1</v>
      </c>
      <c r="V5" s="3">
        <v>1</v>
      </c>
      <c r="W5" s="4" t="s">
        <v>63</v>
      </c>
      <c r="X5" s="4" t="s">
        <v>63</v>
      </c>
      <c r="Y5" s="4" t="s">
        <v>64</v>
      </c>
      <c r="Z5" s="4" t="s">
        <v>64</v>
      </c>
      <c r="AA5" s="3">
        <v>361</v>
      </c>
      <c r="AB5" s="3">
        <v>301</v>
      </c>
      <c r="AC5" s="3">
        <v>1363</v>
      </c>
      <c r="AD5" s="3">
        <v>2</v>
      </c>
      <c r="AE5" s="3">
        <v>35</v>
      </c>
      <c r="AF5" s="3">
        <v>13</v>
      </c>
      <c r="AG5" s="3">
        <v>46</v>
      </c>
      <c r="AH5" s="3">
        <v>3</v>
      </c>
      <c r="AI5" s="3">
        <v>13</v>
      </c>
      <c r="AJ5" s="3">
        <v>4</v>
      </c>
      <c r="AK5" s="3">
        <v>9</v>
      </c>
      <c r="AL5" s="3">
        <v>7</v>
      </c>
      <c r="AM5" s="3">
        <v>14</v>
      </c>
      <c r="AN5" s="3">
        <v>1</v>
      </c>
      <c r="AO5" s="3">
        <v>15</v>
      </c>
      <c r="AP5" s="3">
        <v>0</v>
      </c>
      <c r="AQ5" s="3">
        <v>1</v>
      </c>
      <c r="AR5" s="2" t="s">
        <v>5</v>
      </c>
      <c r="AS5" s="2" t="s">
        <v>5</v>
      </c>
      <c r="AU5" s="5" t="str">
        <f>HYPERLINK("https://creighton-primo.hosted.exlibrisgroup.com/primo-explore/search?tab=default_tab&amp;search_scope=EVERYTHING&amp;vid=01CRU&amp;lang=en_US&amp;offset=0&amp;query=any,contains,991000475849702656","Catalog Record")</f>
        <v>Catalog Record</v>
      </c>
      <c r="AV5" s="5" t="str">
        <f>HYPERLINK("http://www.worldcat.org/oclc/53132443","WorldCat Record")</f>
        <v>WorldCat Record</v>
      </c>
      <c r="AW5" s="2" t="s">
        <v>65</v>
      </c>
      <c r="AX5" s="2" t="s">
        <v>66</v>
      </c>
      <c r="AY5" s="2" t="s">
        <v>67</v>
      </c>
      <c r="AZ5" s="2" t="s">
        <v>67</v>
      </c>
      <c r="BA5" s="2" t="s">
        <v>68</v>
      </c>
      <c r="BB5" s="2" t="s">
        <v>19</v>
      </c>
      <c r="BD5" s="2" t="s">
        <v>69</v>
      </c>
      <c r="BE5" s="2" t="s">
        <v>70</v>
      </c>
      <c r="BF5" s="2" t="s">
        <v>71</v>
      </c>
    </row>
    <row r="6" spans="1:58" ht="50.25" customHeight="1" x14ac:dyDescent="0.25">
      <c r="A6" s="8" t="s">
        <v>5</v>
      </c>
      <c r="B6" s="1" t="s">
        <v>0</v>
      </c>
      <c r="C6" s="1" t="s">
        <v>1</v>
      </c>
      <c r="D6" s="1" t="s">
        <v>72</v>
      </c>
      <c r="E6" s="1" t="s">
        <v>73</v>
      </c>
      <c r="F6" s="1" t="s">
        <v>74</v>
      </c>
      <c r="H6" s="2" t="s">
        <v>5</v>
      </c>
      <c r="I6" s="2" t="s">
        <v>6</v>
      </c>
      <c r="J6" s="2" t="s">
        <v>5</v>
      </c>
      <c r="K6" s="2" t="s">
        <v>5</v>
      </c>
      <c r="L6" s="2" t="s">
        <v>7</v>
      </c>
      <c r="M6" s="1" t="s">
        <v>75</v>
      </c>
      <c r="N6" s="1" t="s">
        <v>76</v>
      </c>
      <c r="O6" s="2" t="s">
        <v>9</v>
      </c>
      <c r="Q6" s="2" t="s">
        <v>10</v>
      </c>
      <c r="R6" s="2" t="s">
        <v>77</v>
      </c>
      <c r="T6" s="2" t="s">
        <v>12</v>
      </c>
      <c r="U6" s="3">
        <v>3</v>
      </c>
      <c r="V6" s="3">
        <v>3</v>
      </c>
      <c r="W6" s="4" t="s">
        <v>78</v>
      </c>
      <c r="X6" s="4" t="s">
        <v>78</v>
      </c>
      <c r="Y6" s="4" t="s">
        <v>79</v>
      </c>
      <c r="Z6" s="4" t="s">
        <v>79</v>
      </c>
      <c r="AA6" s="3">
        <v>58</v>
      </c>
      <c r="AB6" s="3">
        <v>31</v>
      </c>
      <c r="AC6" s="3">
        <v>34</v>
      </c>
      <c r="AD6" s="3">
        <v>1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 t="s">
        <v>5</v>
      </c>
      <c r="AS6" s="2" t="s">
        <v>5</v>
      </c>
      <c r="AU6" s="5" t="str">
        <f>HYPERLINK("https://creighton-primo.hosted.exlibrisgroup.com/primo-explore/search?tab=default_tab&amp;search_scope=EVERYTHING&amp;vid=01CRU&amp;lang=en_US&amp;offset=0&amp;query=any,contains,991000695859702656","Catalog Record")</f>
        <v>Catalog Record</v>
      </c>
      <c r="AV6" s="5" t="str">
        <f>HYPERLINK("http://www.worldcat.org/oclc/76817853","WorldCat Record")</f>
        <v>WorldCat Record</v>
      </c>
      <c r="AW6" s="2" t="s">
        <v>80</v>
      </c>
      <c r="AX6" s="2" t="s">
        <v>81</v>
      </c>
      <c r="AY6" s="2" t="s">
        <v>82</v>
      </c>
      <c r="AZ6" s="2" t="s">
        <v>82</v>
      </c>
      <c r="BA6" s="2" t="s">
        <v>83</v>
      </c>
      <c r="BB6" s="2" t="s">
        <v>19</v>
      </c>
      <c r="BD6" s="2" t="s">
        <v>84</v>
      </c>
      <c r="BE6" s="2" t="s">
        <v>85</v>
      </c>
      <c r="BF6" s="2" t="s">
        <v>86</v>
      </c>
    </row>
    <row r="7" spans="1:58" ht="50.25" customHeight="1" x14ac:dyDescent="0.25">
      <c r="A7" s="8" t="s">
        <v>5</v>
      </c>
      <c r="B7" s="1" t="s">
        <v>0</v>
      </c>
      <c r="C7" s="1" t="s">
        <v>1</v>
      </c>
      <c r="D7" s="1" t="s">
        <v>87</v>
      </c>
      <c r="E7" s="1" t="s">
        <v>88</v>
      </c>
      <c r="F7" s="1" t="s">
        <v>89</v>
      </c>
      <c r="H7" s="2" t="s">
        <v>5</v>
      </c>
      <c r="I7" s="2" t="s">
        <v>6</v>
      </c>
      <c r="J7" s="2" t="s">
        <v>90</v>
      </c>
      <c r="K7" s="2" t="s">
        <v>5</v>
      </c>
      <c r="L7" s="2" t="s">
        <v>7</v>
      </c>
      <c r="M7" s="1" t="s">
        <v>91</v>
      </c>
      <c r="N7" s="1" t="s">
        <v>92</v>
      </c>
      <c r="O7" s="2" t="s">
        <v>60</v>
      </c>
      <c r="Q7" s="2" t="s">
        <v>10</v>
      </c>
      <c r="R7" s="2" t="s">
        <v>93</v>
      </c>
      <c r="S7" s="1" t="s">
        <v>94</v>
      </c>
      <c r="T7" s="2" t="s">
        <v>12</v>
      </c>
      <c r="U7" s="3">
        <v>0</v>
      </c>
      <c r="V7" s="3">
        <v>2</v>
      </c>
      <c r="X7" s="4" t="s">
        <v>95</v>
      </c>
      <c r="Y7" s="4" t="s">
        <v>96</v>
      </c>
      <c r="Z7" s="4" t="s">
        <v>95</v>
      </c>
      <c r="AA7" s="3">
        <v>287</v>
      </c>
      <c r="AB7" s="3">
        <v>226</v>
      </c>
      <c r="AC7" s="3">
        <v>254</v>
      </c>
      <c r="AD7" s="3">
        <v>3</v>
      </c>
      <c r="AE7" s="3">
        <v>3</v>
      </c>
      <c r="AF7" s="3">
        <v>11</v>
      </c>
      <c r="AG7" s="3">
        <v>11</v>
      </c>
      <c r="AH7" s="3">
        <v>3</v>
      </c>
      <c r="AI7" s="3">
        <v>3</v>
      </c>
      <c r="AJ7" s="3">
        <v>4</v>
      </c>
      <c r="AK7" s="3">
        <v>4</v>
      </c>
      <c r="AL7" s="3">
        <v>6</v>
      </c>
      <c r="AM7" s="3">
        <v>6</v>
      </c>
      <c r="AN7" s="3">
        <v>1</v>
      </c>
      <c r="AO7" s="3">
        <v>1</v>
      </c>
      <c r="AP7" s="3">
        <v>0</v>
      </c>
      <c r="AQ7" s="3">
        <v>0</v>
      </c>
      <c r="AR7" s="2" t="s">
        <v>5</v>
      </c>
      <c r="AS7" s="2" t="s">
        <v>5</v>
      </c>
      <c r="AU7" s="5" t="str">
        <f>HYPERLINK("https://creighton-primo.hosted.exlibrisgroup.com/primo-explore/search?tab=default_tab&amp;search_scope=EVERYTHING&amp;vid=01CRU&amp;lang=en_US&amp;offset=0&amp;query=any,contains,991001732879702656","Catalog Record")</f>
        <v>Catalog Record</v>
      </c>
      <c r="AV7" s="5" t="str">
        <f>HYPERLINK("http://www.worldcat.org/oclc/53145276","WorldCat Record")</f>
        <v>WorldCat Record</v>
      </c>
      <c r="AW7" s="2" t="s">
        <v>97</v>
      </c>
      <c r="AX7" s="2" t="s">
        <v>98</v>
      </c>
      <c r="AY7" s="2" t="s">
        <v>99</v>
      </c>
      <c r="AZ7" s="2" t="s">
        <v>99</v>
      </c>
      <c r="BA7" s="2" t="s">
        <v>100</v>
      </c>
      <c r="BB7" s="2" t="s">
        <v>19</v>
      </c>
      <c r="BD7" s="2" t="s">
        <v>101</v>
      </c>
      <c r="BE7" s="2" t="s">
        <v>102</v>
      </c>
      <c r="BF7" s="2" t="s">
        <v>103</v>
      </c>
    </row>
    <row r="8" spans="1:58" ht="50.25" customHeight="1" x14ac:dyDescent="0.25">
      <c r="A8" s="8" t="s">
        <v>5</v>
      </c>
      <c r="B8" s="1" t="s">
        <v>0</v>
      </c>
      <c r="C8" s="1" t="s">
        <v>1</v>
      </c>
      <c r="D8" s="1" t="s">
        <v>104</v>
      </c>
      <c r="E8" s="1" t="s">
        <v>105</v>
      </c>
      <c r="F8" s="1" t="s">
        <v>106</v>
      </c>
      <c r="H8" s="2" t="s">
        <v>5</v>
      </c>
      <c r="I8" s="2" t="s">
        <v>6</v>
      </c>
      <c r="J8" s="2" t="s">
        <v>5</v>
      </c>
      <c r="K8" s="2" t="s">
        <v>5</v>
      </c>
      <c r="L8" s="2" t="s">
        <v>7</v>
      </c>
      <c r="M8" s="1" t="s">
        <v>107</v>
      </c>
      <c r="N8" s="1" t="s">
        <v>108</v>
      </c>
      <c r="O8" s="2" t="s">
        <v>109</v>
      </c>
      <c r="Q8" s="2" t="s">
        <v>10</v>
      </c>
      <c r="R8" s="2" t="s">
        <v>110</v>
      </c>
      <c r="S8" s="1" t="s">
        <v>111</v>
      </c>
      <c r="T8" s="2" t="s">
        <v>12</v>
      </c>
      <c r="U8" s="3">
        <v>0</v>
      </c>
      <c r="V8" s="3">
        <v>0</v>
      </c>
      <c r="W8" s="4" t="s">
        <v>112</v>
      </c>
      <c r="X8" s="4" t="s">
        <v>112</v>
      </c>
      <c r="Y8" s="4" t="s">
        <v>113</v>
      </c>
      <c r="Z8" s="4" t="s">
        <v>113</v>
      </c>
      <c r="AA8" s="3">
        <v>196</v>
      </c>
      <c r="AB8" s="3">
        <v>142</v>
      </c>
      <c r="AC8" s="3">
        <v>528</v>
      </c>
      <c r="AD8" s="3">
        <v>1</v>
      </c>
      <c r="AE8" s="3">
        <v>6</v>
      </c>
      <c r="AF8" s="3">
        <v>4</v>
      </c>
      <c r="AG8" s="3">
        <v>29</v>
      </c>
      <c r="AH8" s="3">
        <v>0</v>
      </c>
      <c r="AI8" s="3">
        <v>11</v>
      </c>
      <c r="AJ8" s="3">
        <v>2</v>
      </c>
      <c r="AK8" s="3">
        <v>8</v>
      </c>
      <c r="AL8" s="3">
        <v>3</v>
      </c>
      <c r="AM8" s="3">
        <v>13</v>
      </c>
      <c r="AN8" s="3">
        <v>0</v>
      </c>
      <c r="AO8" s="3">
        <v>4</v>
      </c>
      <c r="AP8" s="3">
        <v>0</v>
      </c>
      <c r="AQ8" s="3">
        <v>0</v>
      </c>
      <c r="AR8" s="2" t="s">
        <v>5</v>
      </c>
      <c r="AS8" s="2" t="s">
        <v>5</v>
      </c>
      <c r="AU8" s="5" t="str">
        <f>HYPERLINK("https://creighton-primo.hosted.exlibrisgroup.com/primo-explore/search?tab=default_tab&amp;search_scope=EVERYTHING&amp;vid=01CRU&amp;lang=en_US&amp;offset=0&amp;query=any,contains,991000440729702656","Catalog Record")</f>
        <v>Catalog Record</v>
      </c>
      <c r="AV8" s="5" t="str">
        <f>HYPERLINK("http://www.worldcat.org/oclc/50604823","WorldCat Record")</f>
        <v>WorldCat Record</v>
      </c>
      <c r="AW8" s="2" t="s">
        <v>114</v>
      </c>
      <c r="AX8" s="2" t="s">
        <v>115</v>
      </c>
      <c r="AY8" s="2" t="s">
        <v>116</v>
      </c>
      <c r="AZ8" s="2" t="s">
        <v>116</v>
      </c>
      <c r="BA8" s="2" t="s">
        <v>117</v>
      </c>
      <c r="BB8" s="2" t="s">
        <v>19</v>
      </c>
      <c r="BD8" s="2" t="s">
        <v>118</v>
      </c>
      <c r="BE8" s="2" t="s">
        <v>119</v>
      </c>
      <c r="BF8" s="2" t="s">
        <v>120</v>
      </c>
    </row>
    <row r="9" spans="1:58" ht="50.25" customHeight="1" x14ac:dyDescent="0.25">
      <c r="A9" s="8" t="s">
        <v>5</v>
      </c>
      <c r="B9" s="1" t="s">
        <v>0</v>
      </c>
      <c r="C9" s="1" t="s">
        <v>1</v>
      </c>
      <c r="D9" s="1" t="s">
        <v>121</v>
      </c>
      <c r="E9" s="1" t="s">
        <v>122</v>
      </c>
      <c r="F9" s="1" t="s">
        <v>123</v>
      </c>
      <c r="H9" s="2" t="s">
        <v>5</v>
      </c>
      <c r="I9" s="2" t="s">
        <v>6</v>
      </c>
      <c r="J9" s="2" t="s">
        <v>5</v>
      </c>
      <c r="K9" s="2" t="s">
        <v>5</v>
      </c>
      <c r="L9" s="2" t="s">
        <v>7</v>
      </c>
      <c r="N9" s="1" t="s">
        <v>124</v>
      </c>
      <c r="O9" s="2" t="s">
        <v>125</v>
      </c>
      <c r="Q9" s="2" t="s">
        <v>10</v>
      </c>
      <c r="R9" s="2" t="s">
        <v>61</v>
      </c>
      <c r="S9" s="1" t="s">
        <v>126</v>
      </c>
      <c r="T9" s="2" t="s">
        <v>12</v>
      </c>
      <c r="U9" s="3">
        <v>8</v>
      </c>
      <c r="V9" s="3">
        <v>8</v>
      </c>
      <c r="W9" s="4" t="s">
        <v>127</v>
      </c>
      <c r="X9" s="4" t="s">
        <v>127</v>
      </c>
      <c r="Y9" s="4" t="s">
        <v>128</v>
      </c>
      <c r="Z9" s="4" t="s">
        <v>128</v>
      </c>
      <c r="AA9" s="3">
        <v>357</v>
      </c>
      <c r="AB9" s="3">
        <v>239</v>
      </c>
      <c r="AC9" s="3">
        <v>247</v>
      </c>
      <c r="AD9" s="3">
        <v>2</v>
      </c>
      <c r="AE9" s="3">
        <v>2</v>
      </c>
      <c r="AF9" s="3">
        <v>8</v>
      </c>
      <c r="AG9" s="3">
        <v>8</v>
      </c>
      <c r="AH9" s="3">
        <v>1</v>
      </c>
      <c r="AI9" s="3">
        <v>1</v>
      </c>
      <c r="AJ9" s="3">
        <v>3</v>
      </c>
      <c r="AK9" s="3">
        <v>3</v>
      </c>
      <c r="AL9" s="3">
        <v>4</v>
      </c>
      <c r="AM9" s="3">
        <v>4</v>
      </c>
      <c r="AN9" s="3">
        <v>1</v>
      </c>
      <c r="AO9" s="3">
        <v>1</v>
      </c>
      <c r="AP9" s="3">
        <v>0</v>
      </c>
      <c r="AQ9" s="3">
        <v>0</v>
      </c>
      <c r="AR9" s="2" t="s">
        <v>5</v>
      </c>
      <c r="AS9" s="2" t="s">
        <v>90</v>
      </c>
      <c r="AT9" s="5" t="str">
        <f>HYPERLINK("http://catalog.hathitrust.org/Record/003137721","HathiTrust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HYPERLINK("https://creighton-primo.hosted.exlibrisgroup.com/primo-explore/search?tab=default_tab&amp;search_scope=EVERYTHING&amp;vid=01CRU&amp;lang=en_US&amp;offset=0&amp;query=any,contains,991000837009702656","Catalog Record")</f>
        <v>Catalog Record</v>
      </c>
      <c r="AV9" s="5" t="str">
        <f>HYPERLINK("http://www.worldcat.org/oclc/35128060","WorldCat Record")</f>
        <v>WorldCat Record</v>
      </c>
      <c r="AW9" s="2" t="s">
        <v>129</v>
      </c>
      <c r="AX9" s="2" t="s">
        <v>130</v>
      </c>
      <c r="AY9" s="2" t="s">
        <v>131</v>
      </c>
      <c r="AZ9" s="2" t="s">
        <v>131</v>
      </c>
      <c r="BA9" s="2" t="s">
        <v>132</v>
      </c>
      <c r="BB9" s="2" t="s">
        <v>19</v>
      </c>
      <c r="BD9" s="2" t="s">
        <v>133</v>
      </c>
      <c r="BE9" s="2" t="s">
        <v>134</v>
      </c>
      <c r="BF9" s="2" t="s">
        <v>135</v>
      </c>
    </row>
    <row r="10" spans="1:58" ht="50.25" customHeight="1" x14ac:dyDescent="0.25">
      <c r="A10" s="8" t="s">
        <v>5</v>
      </c>
      <c r="B10" s="1" t="s">
        <v>0</v>
      </c>
      <c r="C10" s="1" t="s">
        <v>1</v>
      </c>
      <c r="D10" s="1" t="s">
        <v>136</v>
      </c>
      <c r="E10" s="1" t="s">
        <v>137</v>
      </c>
      <c r="F10" s="1" t="s">
        <v>138</v>
      </c>
      <c r="H10" s="2" t="s">
        <v>5</v>
      </c>
      <c r="I10" s="2" t="s">
        <v>6</v>
      </c>
      <c r="J10" s="2" t="s">
        <v>5</v>
      </c>
      <c r="K10" s="2" t="s">
        <v>5</v>
      </c>
      <c r="L10" s="2" t="s">
        <v>7</v>
      </c>
      <c r="M10" s="1" t="s">
        <v>139</v>
      </c>
      <c r="N10" s="1" t="s">
        <v>140</v>
      </c>
      <c r="O10" s="2" t="s">
        <v>141</v>
      </c>
      <c r="Q10" s="2" t="s">
        <v>10</v>
      </c>
      <c r="R10" s="2" t="s">
        <v>29</v>
      </c>
      <c r="T10" s="2" t="s">
        <v>12</v>
      </c>
      <c r="U10" s="3">
        <v>2</v>
      </c>
      <c r="V10" s="3">
        <v>2</v>
      </c>
      <c r="W10" s="4" t="s">
        <v>142</v>
      </c>
      <c r="X10" s="4" t="s">
        <v>142</v>
      </c>
      <c r="Y10" s="4" t="s">
        <v>143</v>
      </c>
      <c r="Z10" s="4" t="s">
        <v>143</v>
      </c>
      <c r="AA10" s="3">
        <v>318</v>
      </c>
      <c r="AB10" s="3">
        <v>294</v>
      </c>
      <c r="AC10" s="3">
        <v>310</v>
      </c>
      <c r="AD10" s="3">
        <v>2</v>
      </c>
      <c r="AE10" s="3">
        <v>2</v>
      </c>
      <c r="AF10" s="3">
        <v>8</v>
      </c>
      <c r="AG10" s="3">
        <v>8</v>
      </c>
      <c r="AH10" s="3">
        <v>1</v>
      </c>
      <c r="AI10" s="3">
        <v>1</v>
      </c>
      <c r="AJ10" s="3">
        <v>3</v>
      </c>
      <c r="AK10" s="3">
        <v>3</v>
      </c>
      <c r="AL10" s="3">
        <v>4</v>
      </c>
      <c r="AM10" s="3">
        <v>4</v>
      </c>
      <c r="AN10" s="3">
        <v>1</v>
      </c>
      <c r="AO10" s="3">
        <v>1</v>
      </c>
      <c r="AP10" s="3">
        <v>1</v>
      </c>
      <c r="AQ10" s="3">
        <v>1</v>
      </c>
      <c r="AR10" s="2" t="s">
        <v>5</v>
      </c>
      <c r="AS10" s="2" t="s">
        <v>90</v>
      </c>
      <c r="AT10" s="5" t="str">
        <f>HYPERLINK("http://catalog.hathitrust.org/Record/000473091","HathiTrust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HYPERLINK("https://creighton-primo.hosted.exlibrisgroup.com/primo-explore/search?tab=default_tab&amp;search_scope=EVERYTHING&amp;vid=01CRU&amp;lang=en_US&amp;offset=0&amp;query=any,contains,991001355279702656","Catalog Record")</f>
        <v>Catalog Record</v>
      </c>
      <c r="AV10" s="5" t="str">
        <f>HYPERLINK("http://www.worldcat.org/oclc/13123497","WorldCat Record")</f>
        <v>WorldCat Record</v>
      </c>
      <c r="AW10" s="2" t="s">
        <v>144</v>
      </c>
      <c r="AX10" s="2" t="s">
        <v>145</v>
      </c>
      <c r="AY10" s="2" t="s">
        <v>146</v>
      </c>
      <c r="AZ10" s="2" t="s">
        <v>146</v>
      </c>
      <c r="BA10" s="2" t="s">
        <v>147</v>
      </c>
      <c r="BB10" s="2" t="s">
        <v>19</v>
      </c>
      <c r="BD10" s="2" t="s">
        <v>148</v>
      </c>
      <c r="BE10" s="2" t="s">
        <v>149</v>
      </c>
      <c r="BF10" s="2" t="s">
        <v>150</v>
      </c>
    </row>
    <row r="11" spans="1:58" ht="50.25" customHeight="1" x14ac:dyDescent="0.25">
      <c r="A11" s="8" t="s">
        <v>5</v>
      </c>
      <c r="B11" s="1" t="s">
        <v>0</v>
      </c>
      <c r="C11" s="1" t="s">
        <v>1</v>
      </c>
      <c r="D11" s="1" t="s">
        <v>151</v>
      </c>
      <c r="E11" s="1" t="s">
        <v>152</v>
      </c>
      <c r="F11" s="1" t="s">
        <v>153</v>
      </c>
      <c r="H11" s="2" t="s">
        <v>5</v>
      </c>
      <c r="I11" s="2" t="s">
        <v>6</v>
      </c>
      <c r="J11" s="2" t="s">
        <v>5</v>
      </c>
      <c r="K11" s="2" t="s">
        <v>5</v>
      </c>
      <c r="L11" s="2" t="s">
        <v>7</v>
      </c>
      <c r="N11" s="1" t="s">
        <v>154</v>
      </c>
      <c r="O11" s="2" t="s">
        <v>155</v>
      </c>
      <c r="Q11" s="2" t="s">
        <v>10</v>
      </c>
      <c r="R11" s="2" t="s">
        <v>110</v>
      </c>
      <c r="T11" s="2" t="s">
        <v>12</v>
      </c>
      <c r="U11" s="3">
        <v>2</v>
      </c>
      <c r="V11" s="3">
        <v>2</v>
      </c>
      <c r="W11" s="4" t="s">
        <v>156</v>
      </c>
      <c r="X11" s="4" t="s">
        <v>156</v>
      </c>
      <c r="Y11" s="4" t="s">
        <v>157</v>
      </c>
      <c r="Z11" s="4" t="s">
        <v>157</v>
      </c>
      <c r="AA11" s="3">
        <v>32</v>
      </c>
      <c r="AB11" s="3">
        <v>32</v>
      </c>
      <c r="AC11" s="3">
        <v>32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 t="s">
        <v>5</v>
      </c>
      <c r="AS11" s="2" t="s">
        <v>5</v>
      </c>
      <c r="AU11" s="5" t="str">
        <f>HYPERLINK("https://creighton-primo.hosted.exlibrisgroup.com/primo-explore/search?tab=default_tab&amp;search_scope=EVERYTHING&amp;vid=01CRU&amp;lang=en_US&amp;offset=0&amp;query=any,contains,991000901229702656","Catalog Record")</f>
        <v>Catalog Record</v>
      </c>
      <c r="AV11" s="5" t="str">
        <f>HYPERLINK("http://www.worldcat.org/oclc/36916677","WorldCat Record")</f>
        <v>WorldCat Record</v>
      </c>
      <c r="AW11" s="2" t="s">
        <v>158</v>
      </c>
      <c r="AX11" s="2" t="s">
        <v>159</v>
      </c>
      <c r="AY11" s="2" t="s">
        <v>160</v>
      </c>
      <c r="AZ11" s="2" t="s">
        <v>160</v>
      </c>
      <c r="BA11" s="2" t="s">
        <v>161</v>
      </c>
      <c r="BB11" s="2" t="s">
        <v>19</v>
      </c>
      <c r="BD11" s="2" t="s">
        <v>162</v>
      </c>
      <c r="BE11" s="2" t="s">
        <v>163</v>
      </c>
      <c r="BF11" s="2" t="s">
        <v>164</v>
      </c>
    </row>
    <row r="12" spans="1:58" ht="50.25" customHeight="1" x14ac:dyDescent="0.25">
      <c r="A12" s="8" t="s">
        <v>5</v>
      </c>
      <c r="B12" s="1" t="s">
        <v>0</v>
      </c>
      <c r="C12" s="1" t="s">
        <v>1</v>
      </c>
      <c r="D12" s="1" t="s">
        <v>165</v>
      </c>
      <c r="E12" s="1" t="s">
        <v>166</v>
      </c>
      <c r="F12" s="1" t="s">
        <v>167</v>
      </c>
      <c r="H12" s="2" t="s">
        <v>5</v>
      </c>
      <c r="I12" s="2" t="s">
        <v>6</v>
      </c>
      <c r="J12" s="2" t="s">
        <v>5</v>
      </c>
      <c r="K12" s="2" t="s">
        <v>5</v>
      </c>
      <c r="L12" s="2" t="s">
        <v>7</v>
      </c>
      <c r="N12" s="1" t="s">
        <v>168</v>
      </c>
      <c r="O12" s="2" t="s">
        <v>169</v>
      </c>
      <c r="P12" s="1" t="s">
        <v>170</v>
      </c>
      <c r="Q12" s="2" t="s">
        <v>10</v>
      </c>
      <c r="R12" s="2" t="s">
        <v>171</v>
      </c>
      <c r="T12" s="2" t="s">
        <v>12</v>
      </c>
      <c r="U12" s="3">
        <v>50</v>
      </c>
      <c r="V12" s="3">
        <v>50</v>
      </c>
      <c r="W12" s="4" t="s">
        <v>172</v>
      </c>
      <c r="X12" s="4" t="s">
        <v>172</v>
      </c>
      <c r="Y12" s="4" t="s">
        <v>172</v>
      </c>
      <c r="Z12" s="4" t="s">
        <v>172</v>
      </c>
      <c r="AA12" s="3">
        <v>103</v>
      </c>
      <c r="AB12" s="3">
        <v>87</v>
      </c>
      <c r="AC12" s="3">
        <v>87</v>
      </c>
      <c r="AD12" s="3">
        <v>1</v>
      </c>
      <c r="AE12" s="3">
        <v>1</v>
      </c>
      <c r="AF12" s="3">
        <v>2</v>
      </c>
      <c r="AG12" s="3">
        <v>2</v>
      </c>
      <c r="AH12" s="3">
        <v>0</v>
      </c>
      <c r="AI12" s="3">
        <v>0</v>
      </c>
      <c r="AJ12" s="3">
        <v>1</v>
      </c>
      <c r="AK12" s="3">
        <v>1</v>
      </c>
      <c r="AL12" s="3">
        <v>1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2" t="s">
        <v>5</v>
      </c>
      <c r="AS12" s="2" t="s">
        <v>5</v>
      </c>
      <c r="AU12" s="5" t="str">
        <f>HYPERLINK("https://creighton-primo.hosted.exlibrisgroup.com/primo-explore/search?tab=default_tab&amp;search_scope=EVERYTHING&amp;vid=01CRU&amp;lang=en_US&amp;offset=0&amp;query=any,contains,991001564309702656","Catalog Record")</f>
        <v>Catalog Record</v>
      </c>
      <c r="AV12" s="5" t="str">
        <f>HYPERLINK("http://www.worldcat.org/oclc/38027512","WorldCat Record")</f>
        <v>WorldCat Record</v>
      </c>
      <c r="AW12" s="2" t="s">
        <v>173</v>
      </c>
      <c r="AX12" s="2" t="s">
        <v>174</v>
      </c>
      <c r="AY12" s="2" t="s">
        <v>175</v>
      </c>
      <c r="AZ12" s="2" t="s">
        <v>175</v>
      </c>
      <c r="BA12" s="2" t="s">
        <v>176</v>
      </c>
      <c r="BB12" s="2" t="s">
        <v>19</v>
      </c>
      <c r="BD12" s="2" t="s">
        <v>177</v>
      </c>
      <c r="BE12" s="2" t="s">
        <v>178</v>
      </c>
      <c r="BF12" s="2" t="s">
        <v>179</v>
      </c>
    </row>
    <row r="13" spans="1:58" ht="50.25" customHeight="1" x14ac:dyDescent="0.25">
      <c r="A13" s="8" t="s">
        <v>5</v>
      </c>
      <c r="B13" s="1" t="s">
        <v>0</v>
      </c>
      <c r="C13" s="1" t="s">
        <v>1</v>
      </c>
      <c r="D13" s="1" t="s">
        <v>180</v>
      </c>
      <c r="E13" s="1" t="s">
        <v>181</v>
      </c>
      <c r="F13" s="1" t="s">
        <v>182</v>
      </c>
      <c r="H13" s="2" t="s">
        <v>5</v>
      </c>
      <c r="I13" s="2" t="s">
        <v>6</v>
      </c>
      <c r="J13" s="2" t="s">
        <v>5</v>
      </c>
      <c r="K13" s="2" t="s">
        <v>5</v>
      </c>
      <c r="L13" s="2" t="s">
        <v>7</v>
      </c>
      <c r="N13" s="1" t="s">
        <v>183</v>
      </c>
      <c r="O13" s="2" t="s">
        <v>125</v>
      </c>
      <c r="Q13" s="2" t="s">
        <v>10</v>
      </c>
      <c r="R13" s="2" t="s">
        <v>184</v>
      </c>
      <c r="T13" s="2" t="s">
        <v>12</v>
      </c>
      <c r="U13" s="3">
        <v>2</v>
      </c>
      <c r="V13" s="3">
        <v>2</v>
      </c>
      <c r="W13" s="4" t="s">
        <v>185</v>
      </c>
      <c r="X13" s="4" t="s">
        <v>185</v>
      </c>
      <c r="Y13" s="4" t="s">
        <v>186</v>
      </c>
      <c r="Z13" s="4" t="s">
        <v>186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2" t="s">
        <v>5</v>
      </c>
      <c r="AS13" s="2" t="s">
        <v>5</v>
      </c>
      <c r="AU13" s="5" t="str">
        <f>HYPERLINK("https://creighton-primo.hosted.exlibrisgroup.com/primo-explore/search?tab=default_tab&amp;search_scope=EVERYTHING&amp;vid=01CRU&amp;lang=en_US&amp;offset=0&amp;query=any,contains,991001506149702656","Catalog Record")</f>
        <v>Catalog Record</v>
      </c>
      <c r="AV13" s="5" t="str">
        <f>HYPERLINK("http://www.worldcat.org/oclc/34786804","WorldCat Record")</f>
        <v>WorldCat Record</v>
      </c>
      <c r="AW13" s="2" t="s">
        <v>187</v>
      </c>
      <c r="AX13" s="2" t="s">
        <v>188</v>
      </c>
      <c r="AY13" s="2" t="s">
        <v>189</v>
      </c>
      <c r="AZ13" s="2" t="s">
        <v>189</v>
      </c>
      <c r="BA13" s="2" t="s">
        <v>190</v>
      </c>
      <c r="BB13" s="2" t="s">
        <v>19</v>
      </c>
      <c r="BE13" s="2" t="s">
        <v>191</v>
      </c>
      <c r="BF13" s="2" t="s">
        <v>192</v>
      </c>
    </row>
    <row r="14" spans="1:58" ht="50.25" customHeight="1" x14ac:dyDescent="0.25">
      <c r="A14" s="8" t="s">
        <v>5</v>
      </c>
      <c r="B14" s="1" t="s">
        <v>0</v>
      </c>
      <c r="C14" s="1" t="s">
        <v>1</v>
      </c>
      <c r="D14" s="1" t="s">
        <v>193</v>
      </c>
      <c r="E14" s="1" t="s">
        <v>194</v>
      </c>
      <c r="F14" s="1" t="s">
        <v>195</v>
      </c>
      <c r="H14" s="2" t="s">
        <v>5</v>
      </c>
      <c r="I14" s="2" t="s">
        <v>6</v>
      </c>
      <c r="J14" s="2" t="s">
        <v>5</v>
      </c>
      <c r="K14" s="2" t="s">
        <v>5</v>
      </c>
      <c r="L14" s="2" t="s">
        <v>7</v>
      </c>
      <c r="M14" s="1" t="s">
        <v>196</v>
      </c>
      <c r="N14" s="1" t="s">
        <v>197</v>
      </c>
      <c r="O14" s="2" t="s">
        <v>198</v>
      </c>
      <c r="Q14" s="2" t="s">
        <v>10</v>
      </c>
      <c r="R14" s="2" t="s">
        <v>199</v>
      </c>
      <c r="T14" s="2" t="s">
        <v>12</v>
      </c>
      <c r="U14" s="3">
        <v>16</v>
      </c>
      <c r="V14" s="3">
        <v>16</v>
      </c>
      <c r="W14" s="4" t="s">
        <v>200</v>
      </c>
      <c r="X14" s="4" t="s">
        <v>200</v>
      </c>
      <c r="Y14" s="4" t="s">
        <v>201</v>
      </c>
      <c r="Z14" s="4" t="s">
        <v>201</v>
      </c>
      <c r="AA14" s="3">
        <v>120</v>
      </c>
      <c r="AB14" s="3">
        <v>109</v>
      </c>
      <c r="AC14" s="3">
        <v>111</v>
      </c>
      <c r="AD14" s="3">
        <v>1</v>
      </c>
      <c r="AE14" s="3">
        <v>1</v>
      </c>
      <c r="AF14" s="3">
        <v>6</v>
      </c>
      <c r="AG14" s="3">
        <v>6</v>
      </c>
      <c r="AH14" s="3">
        <v>3</v>
      </c>
      <c r="AI14" s="3">
        <v>3</v>
      </c>
      <c r="AJ14" s="3">
        <v>1</v>
      </c>
      <c r="AK14" s="3">
        <v>1</v>
      </c>
      <c r="AL14" s="3">
        <v>3</v>
      </c>
      <c r="AM14" s="3">
        <v>3</v>
      </c>
      <c r="AN14" s="3">
        <v>0</v>
      </c>
      <c r="AO14" s="3">
        <v>0</v>
      </c>
      <c r="AP14" s="3">
        <v>0</v>
      </c>
      <c r="AQ14" s="3">
        <v>0</v>
      </c>
      <c r="AR14" s="2" t="s">
        <v>5</v>
      </c>
      <c r="AS14" s="2" t="s">
        <v>90</v>
      </c>
      <c r="AT14" s="5" t="str">
        <f>HYPERLINK("http://catalog.hathitrust.org/Record/000377887","HathiTrust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HYPERLINK("https://creighton-primo.hosted.exlibrisgroup.com/primo-explore/search?tab=default_tab&amp;search_scope=EVERYTHING&amp;vid=01CRU&amp;lang=en_US&amp;offset=0&amp;query=any,contains,991000941569702656","Catalog Record")</f>
        <v>Catalog Record</v>
      </c>
      <c r="AV14" s="5" t="str">
        <f>HYPERLINK("http://www.worldcat.org/oclc/12214296","WorldCat Record")</f>
        <v>WorldCat Record</v>
      </c>
      <c r="AW14" s="2" t="s">
        <v>202</v>
      </c>
      <c r="AX14" s="2" t="s">
        <v>203</v>
      </c>
      <c r="AY14" s="2" t="s">
        <v>204</v>
      </c>
      <c r="AZ14" s="2" t="s">
        <v>204</v>
      </c>
      <c r="BA14" s="2" t="s">
        <v>205</v>
      </c>
      <c r="BB14" s="2" t="s">
        <v>19</v>
      </c>
      <c r="BD14" s="2" t="s">
        <v>206</v>
      </c>
      <c r="BE14" s="2" t="s">
        <v>207</v>
      </c>
      <c r="BF14" s="2" t="s">
        <v>208</v>
      </c>
    </row>
    <row r="15" spans="1:58" ht="50.25" customHeight="1" x14ac:dyDescent="0.25">
      <c r="A15" s="8" t="s">
        <v>5</v>
      </c>
      <c r="B15" s="1" t="s">
        <v>0</v>
      </c>
      <c r="C15" s="1" t="s">
        <v>1</v>
      </c>
      <c r="D15" s="1" t="s">
        <v>209</v>
      </c>
      <c r="E15" s="1" t="s">
        <v>210</v>
      </c>
      <c r="F15" s="1" t="s">
        <v>211</v>
      </c>
      <c r="H15" s="2" t="s">
        <v>5</v>
      </c>
      <c r="I15" s="2" t="s">
        <v>6</v>
      </c>
      <c r="J15" s="2" t="s">
        <v>5</v>
      </c>
      <c r="K15" s="2" t="s">
        <v>5</v>
      </c>
      <c r="L15" s="2" t="s">
        <v>7</v>
      </c>
      <c r="N15" s="1" t="s">
        <v>212</v>
      </c>
      <c r="O15" s="2" t="s">
        <v>213</v>
      </c>
      <c r="P15" s="1" t="s">
        <v>214</v>
      </c>
      <c r="Q15" s="2" t="s">
        <v>10</v>
      </c>
      <c r="R15" s="2" t="s">
        <v>11</v>
      </c>
      <c r="T15" s="2" t="s">
        <v>12</v>
      </c>
      <c r="U15" s="3">
        <v>13</v>
      </c>
      <c r="V15" s="3">
        <v>13</v>
      </c>
      <c r="W15" s="4" t="s">
        <v>215</v>
      </c>
      <c r="X15" s="4" t="s">
        <v>215</v>
      </c>
      <c r="Y15" s="4" t="s">
        <v>216</v>
      </c>
      <c r="Z15" s="4" t="s">
        <v>216</v>
      </c>
      <c r="AA15" s="3">
        <v>68</v>
      </c>
      <c r="AB15" s="3">
        <v>42</v>
      </c>
      <c r="AC15" s="3">
        <v>44</v>
      </c>
      <c r="AD15" s="3">
        <v>1</v>
      </c>
      <c r="AE15" s="3">
        <v>1</v>
      </c>
      <c r="AF15" s="3">
        <v>1</v>
      </c>
      <c r="AG15" s="3">
        <v>1</v>
      </c>
      <c r="AH15" s="3">
        <v>0</v>
      </c>
      <c r="AI15" s="3">
        <v>0</v>
      </c>
      <c r="AJ15" s="3">
        <v>1</v>
      </c>
      <c r="AK15" s="3">
        <v>1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2" t="s">
        <v>5</v>
      </c>
      <c r="AS15" s="2" t="s">
        <v>90</v>
      </c>
      <c r="AT15" s="5" t="str">
        <f>HYPERLINK("http://catalog.hathitrust.org/Record/007987749","HathiTrust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HYPERLINK("https://creighton-primo.hosted.exlibrisgroup.com/primo-explore/search?tab=default_tab&amp;search_scope=EVERYTHING&amp;vid=01CRU&amp;lang=en_US&amp;offset=0&amp;query=any,contains,991001032719702656","Catalog Record")</f>
        <v>Catalog Record</v>
      </c>
      <c r="AV15" s="5" t="str">
        <f>HYPERLINK("http://www.worldcat.org/oclc/22910580","WorldCat Record")</f>
        <v>WorldCat Record</v>
      </c>
      <c r="AW15" s="2" t="s">
        <v>217</v>
      </c>
      <c r="AX15" s="2" t="s">
        <v>218</v>
      </c>
      <c r="AY15" s="2" t="s">
        <v>219</v>
      </c>
      <c r="AZ15" s="2" t="s">
        <v>219</v>
      </c>
      <c r="BA15" s="2" t="s">
        <v>220</v>
      </c>
      <c r="BB15" s="2" t="s">
        <v>19</v>
      </c>
      <c r="BD15" s="2" t="s">
        <v>221</v>
      </c>
      <c r="BE15" s="2" t="s">
        <v>222</v>
      </c>
      <c r="BF15" s="2" t="s">
        <v>223</v>
      </c>
    </row>
    <row r="16" spans="1:58" ht="50.25" customHeight="1" x14ac:dyDescent="0.25">
      <c r="A16" s="8" t="s">
        <v>5</v>
      </c>
      <c r="B16" s="1" t="s">
        <v>0</v>
      </c>
      <c r="C16" s="1" t="s">
        <v>1</v>
      </c>
      <c r="D16" s="1" t="s">
        <v>224</v>
      </c>
      <c r="E16" s="1" t="s">
        <v>225</v>
      </c>
      <c r="F16" s="1" t="s">
        <v>226</v>
      </c>
      <c r="H16" s="2" t="s">
        <v>5</v>
      </c>
      <c r="I16" s="2" t="s">
        <v>6</v>
      </c>
      <c r="J16" s="2" t="s">
        <v>5</v>
      </c>
      <c r="K16" s="2" t="s">
        <v>5</v>
      </c>
      <c r="L16" s="2" t="s">
        <v>7</v>
      </c>
      <c r="N16" s="1" t="s">
        <v>227</v>
      </c>
      <c r="O16" s="2" t="s">
        <v>228</v>
      </c>
      <c r="P16" s="1" t="s">
        <v>229</v>
      </c>
      <c r="Q16" s="2" t="s">
        <v>10</v>
      </c>
      <c r="R16" s="2" t="s">
        <v>29</v>
      </c>
      <c r="S16" s="1" t="s">
        <v>230</v>
      </c>
      <c r="T16" s="2" t="s">
        <v>12</v>
      </c>
      <c r="U16" s="3">
        <v>8</v>
      </c>
      <c r="V16" s="3">
        <v>8</v>
      </c>
      <c r="W16" s="4" t="s">
        <v>231</v>
      </c>
      <c r="X16" s="4" t="s">
        <v>231</v>
      </c>
      <c r="Y16" s="4" t="s">
        <v>232</v>
      </c>
      <c r="Z16" s="4" t="s">
        <v>232</v>
      </c>
      <c r="AA16" s="3">
        <v>48</v>
      </c>
      <c r="AB16" s="3">
        <v>34</v>
      </c>
      <c r="AC16" s="3">
        <v>72</v>
      </c>
      <c r="AD16" s="3">
        <v>1</v>
      </c>
      <c r="AE16" s="3">
        <v>1</v>
      </c>
      <c r="AF16" s="3">
        <v>0</v>
      </c>
      <c r="AG16" s="3">
        <v>1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2" t="s">
        <v>5</v>
      </c>
      <c r="AS16" s="2" t="s">
        <v>5</v>
      </c>
      <c r="AU16" s="5" t="str">
        <f>HYPERLINK("https://creighton-primo.hosted.exlibrisgroup.com/primo-explore/search?tab=default_tab&amp;search_scope=EVERYTHING&amp;vid=01CRU&amp;lang=en_US&amp;offset=0&amp;query=any,contains,991001103479702656","Catalog Record")</f>
        <v>Catalog Record</v>
      </c>
      <c r="AV16" s="5" t="str">
        <f>HYPERLINK("http://www.worldcat.org/oclc/16758961","WorldCat Record")</f>
        <v>WorldCat Record</v>
      </c>
      <c r="AW16" s="2" t="s">
        <v>233</v>
      </c>
      <c r="AX16" s="2" t="s">
        <v>234</v>
      </c>
      <c r="AY16" s="2" t="s">
        <v>235</v>
      </c>
      <c r="AZ16" s="2" t="s">
        <v>235</v>
      </c>
      <c r="BA16" s="2" t="s">
        <v>236</v>
      </c>
      <c r="BB16" s="2" t="s">
        <v>19</v>
      </c>
      <c r="BD16" s="2" t="s">
        <v>237</v>
      </c>
      <c r="BE16" s="2" t="s">
        <v>238</v>
      </c>
      <c r="BF16" s="2" t="s">
        <v>239</v>
      </c>
    </row>
    <row r="17" spans="1:58" ht="50.25" customHeight="1" x14ac:dyDescent="0.25">
      <c r="A17" s="8" t="s">
        <v>5</v>
      </c>
      <c r="B17" s="1" t="s">
        <v>0</v>
      </c>
      <c r="C17" s="1" t="s">
        <v>1</v>
      </c>
      <c r="D17" s="1" t="s">
        <v>240</v>
      </c>
      <c r="E17" s="1" t="s">
        <v>241</v>
      </c>
      <c r="F17" s="1" t="s">
        <v>242</v>
      </c>
      <c r="H17" s="2" t="s">
        <v>5</v>
      </c>
      <c r="I17" s="2" t="s">
        <v>6</v>
      </c>
      <c r="J17" s="2" t="s">
        <v>5</v>
      </c>
      <c r="K17" s="2" t="s">
        <v>5</v>
      </c>
      <c r="L17" s="2" t="s">
        <v>7</v>
      </c>
      <c r="N17" s="1" t="s">
        <v>243</v>
      </c>
      <c r="O17" s="2" t="s">
        <v>213</v>
      </c>
      <c r="Q17" s="2" t="s">
        <v>10</v>
      </c>
      <c r="R17" s="2" t="s">
        <v>77</v>
      </c>
      <c r="S17" s="1" t="s">
        <v>244</v>
      </c>
      <c r="T17" s="2" t="s">
        <v>12</v>
      </c>
      <c r="U17" s="3">
        <v>6</v>
      </c>
      <c r="V17" s="3">
        <v>6</v>
      </c>
      <c r="W17" s="4" t="s">
        <v>245</v>
      </c>
      <c r="X17" s="4" t="s">
        <v>245</v>
      </c>
      <c r="Y17" s="4" t="s">
        <v>246</v>
      </c>
      <c r="Z17" s="4" t="s">
        <v>246</v>
      </c>
      <c r="AA17" s="3">
        <v>143</v>
      </c>
      <c r="AB17" s="3">
        <v>87</v>
      </c>
      <c r="AC17" s="3">
        <v>87</v>
      </c>
      <c r="AD17" s="3">
        <v>1</v>
      </c>
      <c r="AE17" s="3">
        <v>1</v>
      </c>
      <c r="AF17" s="3">
        <v>3</v>
      </c>
      <c r="AG17" s="3">
        <v>3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2" t="s">
        <v>5</v>
      </c>
      <c r="AS17" s="2" t="s">
        <v>5</v>
      </c>
      <c r="AU17" s="5" t="str">
        <f>HYPERLINK("https://creighton-primo.hosted.exlibrisgroup.com/primo-explore/search?tab=default_tab&amp;search_scope=EVERYTHING&amp;vid=01CRU&amp;lang=en_US&amp;offset=0&amp;query=any,contains,991001434709702656","Catalog Record")</f>
        <v>Catalog Record</v>
      </c>
      <c r="AV17" s="5" t="str">
        <f>HYPERLINK("http://www.worldcat.org/oclc/25163915","WorldCat Record")</f>
        <v>WorldCat Record</v>
      </c>
      <c r="AW17" s="2" t="s">
        <v>247</v>
      </c>
      <c r="AX17" s="2" t="s">
        <v>248</v>
      </c>
      <c r="AY17" s="2" t="s">
        <v>249</v>
      </c>
      <c r="AZ17" s="2" t="s">
        <v>249</v>
      </c>
      <c r="BA17" s="2" t="s">
        <v>250</v>
      </c>
      <c r="BB17" s="2" t="s">
        <v>19</v>
      </c>
      <c r="BD17" s="2" t="s">
        <v>251</v>
      </c>
      <c r="BE17" s="2" t="s">
        <v>252</v>
      </c>
      <c r="BF17" s="2" t="s">
        <v>253</v>
      </c>
    </row>
    <row r="18" spans="1:58" ht="50.25" customHeight="1" x14ac:dyDescent="0.25">
      <c r="A18" s="8" t="s">
        <v>5</v>
      </c>
      <c r="B18" s="1" t="s">
        <v>0</v>
      </c>
      <c r="C18" s="1" t="s">
        <v>1</v>
      </c>
      <c r="D18" s="1" t="s">
        <v>254</v>
      </c>
      <c r="E18" s="1" t="s">
        <v>255</v>
      </c>
      <c r="F18" s="1" t="s">
        <v>256</v>
      </c>
      <c r="H18" s="2" t="s">
        <v>5</v>
      </c>
      <c r="I18" s="2" t="s">
        <v>6</v>
      </c>
      <c r="J18" s="2" t="s">
        <v>5</v>
      </c>
      <c r="K18" s="2" t="s">
        <v>5</v>
      </c>
      <c r="L18" s="2" t="s">
        <v>7</v>
      </c>
      <c r="M18" s="1" t="s">
        <v>257</v>
      </c>
      <c r="N18" s="1" t="s">
        <v>258</v>
      </c>
      <c r="O18" s="2" t="s">
        <v>259</v>
      </c>
      <c r="Q18" s="2" t="s">
        <v>10</v>
      </c>
      <c r="R18" s="2" t="s">
        <v>11</v>
      </c>
      <c r="S18" s="1" t="s">
        <v>260</v>
      </c>
      <c r="T18" s="2" t="s">
        <v>12</v>
      </c>
      <c r="U18" s="3">
        <v>2</v>
      </c>
      <c r="V18" s="3">
        <v>2</v>
      </c>
      <c r="W18" s="4" t="s">
        <v>261</v>
      </c>
      <c r="X18" s="4" t="s">
        <v>261</v>
      </c>
      <c r="Y18" s="4" t="s">
        <v>262</v>
      </c>
      <c r="Z18" s="4" t="s">
        <v>262</v>
      </c>
      <c r="AA18" s="3">
        <v>157</v>
      </c>
      <c r="AB18" s="3">
        <v>126</v>
      </c>
      <c r="AC18" s="3">
        <v>128</v>
      </c>
      <c r="AD18" s="3">
        <v>1</v>
      </c>
      <c r="AE18" s="3">
        <v>1</v>
      </c>
      <c r="AF18" s="3">
        <v>6</v>
      </c>
      <c r="AG18" s="3">
        <v>6</v>
      </c>
      <c r="AH18" s="3">
        <v>1</v>
      </c>
      <c r="AI18" s="3">
        <v>1</v>
      </c>
      <c r="AJ18" s="3">
        <v>3</v>
      </c>
      <c r="AK18" s="3">
        <v>3</v>
      </c>
      <c r="AL18" s="3">
        <v>2</v>
      </c>
      <c r="AM18" s="3">
        <v>2</v>
      </c>
      <c r="AN18" s="3">
        <v>0</v>
      </c>
      <c r="AO18" s="3">
        <v>0</v>
      </c>
      <c r="AP18" s="3">
        <v>0</v>
      </c>
      <c r="AQ18" s="3">
        <v>0</v>
      </c>
      <c r="AR18" s="2" t="s">
        <v>5</v>
      </c>
      <c r="AS18" s="2" t="s">
        <v>90</v>
      </c>
      <c r="AT18" s="5" t="str">
        <f>HYPERLINK("http://catalog.hathitrust.org/Record/003051921","HathiTrust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HYPERLINK("https://creighton-primo.hosted.exlibrisgroup.com/primo-explore/search?tab=default_tab&amp;search_scope=EVERYTHING&amp;vid=01CRU&amp;lang=en_US&amp;offset=0&amp;query=any,contains,991000679559702656","Catalog Record")</f>
        <v>Catalog Record</v>
      </c>
      <c r="AV18" s="5" t="str">
        <f>HYPERLINK("http://www.worldcat.org/oclc/29466050","WorldCat Record")</f>
        <v>WorldCat Record</v>
      </c>
      <c r="AW18" s="2" t="s">
        <v>263</v>
      </c>
      <c r="AX18" s="2" t="s">
        <v>264</v>
      </c>
      <c r="AY18" s="2" t="s">
        <v>265</v>
      </c>
      <c r="AZ18" s="2" t="s">
        <v>265</v>
      </c>
      <c r="BA18" s="2" t="s">
        <v>266</v>
      </c>
      <c r="BB18" s="2" t="s">
        <v>19</v>
      </c>
      <c r="BD18" s="2" t="s">
        <v>267</v>
      </c>
      <c r="BE18" s="2" t="s">
        <v>268</v>
      </c>
      <c r="BF18" s="2" t="s">
        <v>269</v>
      </c>
    </row>
    <row r="19" spans="1:58" ht="50.25" customHeight="1" x14ac:dyDescent="0.25">
      <c r="A19" s="8" t="s">
        <v>5</v>
      </c>
      <c r="B19" s="1" t="s">
        <v>0</v>
      </c>
      <c r="C19" s="1" t="s">
        <v>1</v>
      </c>
      <c r="D19" s="1" t="s">
        <v>270</v>
      </c>
      <c r="E19" s="1" t="s">
        <v>271</v>
      </c>
      <c r="F19" s="1" t="s">
        <v>272</v>
      </c>
      <c r="H19" s="2" t="s">
        <v>5</v>
      </c>
      <c r="I19" s="2" t="s">
        <v>6</v>
      </c>
      <c r="J19" s="2" t="s">
        <v>5</v>
      </c>
      <c r="K19" s="2" t="s">
        <v>5</v>
      </c>
      <c r="L19" s="2" t="s">
        <v>7</v>
      </c>
      <c r="N19" s="1" t="s">
        <v>273</v>
      </c>
      <c r="O19" s="2" t="s">
        <v>274</v>
      </c>
      <c r="Q19" s="2" t="s">
        <v>10</v>
      </c>
      <c r="R19" s="2" t="s">
        <v>77</v>
      </c>
      <c r="T19" s="2" t="s">
        <v>12</v>
      </c>
      <c r="U19" s="3">
        <v>4</v>
      </c>
      <c r="V19" s="3">
        <v>4</v>
      </c>
      <c r="W19" s="4" t="s">
        <v>275</v>
      </c>
      <c r="X19" s="4" t="s">
        <v>275</v>
      </c>
      <c r="Y19" s="4" t="s">
        <v>276</v>
      </c>
      <c r="Z19" s="4" t="s">
        <v>276</v>
      </c>
      <c r="AA19" s="3">
        <v>318</v>
      </c>
      <c r="AB19" s="3">
        <v>221</v>
      </c>
      <c r="AC19" s="3">
        <v>228</v>
      </c>
      <c r="AD19" s="3">
        <v>2</v>
      </c>
      <c r="AE19" s="3">
        <v>2</v>
      </c>
      <c r="AF19" s="3">
        <v>9</v>
      </c>
      <c r="AG19" s="3">
        <v>9</v>
      </c>
      <c r="AH19" s="3">
        <v>2</v>
      </c>
      <c r="AI19" s="3">
        <v>2</v>
      </c>
      <c r="AJ19" s="3">
        <v>2</v>
      </c>
      <c r="AK19" s="3">
        <v>2</v>
      </c>
      <c r="AL19" s="3">
        <v>3</v>
      </c>
      <c r="AM19" s="3">
        <v>3</v>
      </c>
      <c r="AN19" s="3">
        <v>1</v>
      </c>
      <c r="AO19" s="3">
        <v>1</v>
      </c>
      <c r="AP19" s="3">
        <v>1</v>
      </c>
      <c r="AQ19" s="3">
        <v>1</v>
      </c>
      <c r="AR19" s="2" t="s">
        <v>5</v>
      </c>
      <c r="AS19" s="2" t="s">
        <v>90</v>
      </c>
      <c r="AT19" s="5" t="str">
        <f>HYPERLINK("http://catalog.hathitrust.org/Record/004512370","HathiTrust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HYPERLINK("https://creighton-primo.hosted.exlibrisgroup.com/primo-explore/search?tab=default_tab&amp;search_scope=EVERYTHING&amp;vid=01CRU&amp;lang=en_US&amp;offset=0&amp;query=any,contains,991000942349702656","Catalog Record")</f>
        <v>Catalog Record</v>
      </c>
      <c r="AV19" s="5" t="str">
        <f>HYPERLINK("http://www.worldcat.org/oclc/21974847","WorldCat Record")</f>
        <v>WorldCat Record</v>
      </c>
      <c r="AW19" s="2" t="s">
        <v>277</v>
      </c>
      <c r="AX19" s="2" t="s">
        <v>278</v>
      </c>
      <c r="AY19" s="2" t="s">
        <v>279</v>
      </c>
      <c r="AZ19" s="2" t="s">
        <v>279</v>
      </c>
      <c r="BA19" s="2" t="s">
        <v>280</v>
      </c>
      <c r="BB19" s="2" t="s">
        <v>19</v>
      </c>
      <c r="BD19" s="2" t="s">
        <v>281</v>
      </c>
      <c r="BE19" s="2" t="s">
        <v>282</v>
      </c>
      <c r="BF19" s="2" t="s">
        <v>283</v>
      </c>
    </row>
    <row r="20" spans="1:58" ht="50.25" customHeight="1" x14ac:dyDescent="0.25">
      <c r="A20" s="8" t="s">
        <v>5</v>
      </c>
      <c r="B20" s="1" t="s">
        <v>0</v>
      </c>
      <c r="C20" s="1" t="s">
        <v>1</v>
      </c>
      <c r="D20" s="1" t="s">
        <v>284</v>
      </c>
      <c r="E20" s="1" t="s">
        <v>285</v>
      </c>
      <c r="F20" s="1" t="s">
        <v>286</v>
      </c>
      <c r="H20" s="2" t="s">
        <v>5</v>
      </c>
      <c r="I20" s="2" t="s">
        <v>6</v>
      </c>
      <c r="J20" s="2" t="s">
        <v>5</v>
      </c>
      <c r="K20" s="2" t="s">
        <v>5</v>
      </c>
      <c r="L20" s="2" t="s">
        <v>7</v>
      </c>
      <c r="M20" s="1" t="s">
        <v>287</v>
      </c>
      <c r="N20" s="1" t="s">
        <v>288</v>
      </c>
      <c r="O20" s="2" t="s">
        <v>289</v>
      </c>
      <c r="Q20" s="2" t="s">
        <v>10</v>
      </c>
      <c r="R20" s="2" t="s">
        <v>290</v>
      </c>
      <c r="T20" s="2" t="s">
        <v>12</v>
      </c>
      <c r="U20" s="3">
        <v>0</v>
      </c>
      <c r="V20" s="3">
        <v>0</v>
      </c>
      <c r="W20" s="4" t="s">
        <v>291</v>
      </c>
      <c r="X20" s="4" t="s">
        <v>291</v>
      </c>
      <c r="Y20" s="4" t="s">
        <v>292</v>
      </c>
      <c r="Z20" s="4" t="s">
        <v>292</v>
      </c>
      <c r="AA20" s="3">
        <v>88</v>
      </c>
      <c r="AB20" s="3">
        <v>67</v>
      </c>
      <c r="AC20" s="3">
        <v>106</v>
      </c>
      <c r="AD20" s="3">
        <v>1</v>
      </c>
      <c r="AE20" s="3">
        <v>1</v>
      </c>
      <c r="AF20" s="3">
        <v>2</v>
      </c>
      <c r="AG20" s="3">
        <v>2</v>
      </c>
      <c r="AH20" s="3">
        <v>0</v>
      </c>
      <c r="AI20" s="3">
        <v>0</v>
      </c>
      <c r="AJ20" s="3">
        <v>1</v>
      </c>
      <c r="AK20" s="3">
        <v>1</v>
      </c>
      <c r="AL20" s="3">
        <v>1</v>
      </c>
      <c r="AM20" s="3">
        <v>1</v>
      </c>
      <c r="AN20" s="3">
        <v>0</v>
      </c>
      <c r="AO20" s="3">
        <v>0</v>
      </c>
      <c r="AP20" s="3">
        <v>1</v>
      </c>
      <c r="AQ20" s="3">
        <v>1</v>
      </c>
      <c r="AR20" s="2" t="s">
        <v>5</v>
      </c>
      <c r="AS20" s="2" t="s">
        <v>5</v>
      </c>
      <c r="AU20" s="5" t="str">
        <f>HYPERLINK("https://creighton-primo.hosted.exlibrisgroup.com/primo-explore/search?tab=default_tab&amp;search_scope=EVERYTHING&amp;vid=01CRU&amp;lang=en_US&amp;offset=0&amp;query=any,contains,991000359169702656","Catalog Record")</f>
        <v>Catalog Record</v>
      </c>
      <c r="AV20" s="5" t="str">
        <f>HYPERLINK("http://www.worldcat.org/oclc/47522115","WorldCat Record")</f>
        <v>WorldCat Record</v>
      </c>
      <c r="AW20" s="2" t="s">
        <v>293</v>
      </c>
      <c r="AX20" s="2" t="s">
        <v>294</v>
      </c>
      <c r="AY20" s="2" t="s">
        <v>295</v>
      </c>
      <c r="AZ20" s="2" t="s">
        <v>295</v>
      </c>
      <c r="BA20" s="2" t="s">
        <v>296</v>
      </c>
      <c r="BB20" s="2" t="s">
        <v>19</v>
      </c>
      <c r="BD20" s="2" t="s">
        <v>297</v>
      </c>
      <c r="BE20" s="2" t="s">
        <v>298</v>
      </c>
      <c r="BF20" s="2" t="s">
        <v>299</v>
      </c>
    </row>
    <row r="21" spans="1:58" ht="50.25" customHeight="1" x14ac:dyDescent="0.25">
      <c r="A21" s="8" t="s">
        <v>5</v>
      </c>
      <c r="B21" s="1" t="s">
        <v>0</v>
      </c>
      <c r="C21" s="1" t="s">
        <v>1</v>
      </c>
      <c r="D21" s="1" t="s">
        <v>300</v>
      </c>
      <c r="E21" s="1" t="s">
        <v>301</v>
      </c>
      <c r="F21" s="1" t="s">
        <v>302</v>
      </c>
      <c r="H21" s="2" t="s">
        <v>5</v>
      </c>
      <c r="I21" s="2" t="s">
        <v>6</v>
      </c>
      <c r="J21" s="2" t="s">
        <v>5</v>
      </c>
      <c r="K21" s="2" t="s">
        <v>5</v>
      </c>
      <c r="L21" s="2" t="s">
        <v>7</v>
      </c>
      <c r="N21" s="1" t="s">
        <v>303</v>
      </c>
      <c r="O21" s="2" t="s">
        <v>274</v>
      </c>
      <c r="Q21" s="2" t="s">
        <v>10</v>
      </c>
      <c r="R21" s="2" t="s">
        <v>304</v>
      </c>
      <c r="S21" s="1" t="s">
        <v>305</v>
      </c>
      <c r="T21" s="2" t="s">
        <v>12</v>
      </c>
      <c r="U21" s="3">
        <v>10</v>
      </c>
      <c r="V21" s="3">
        <v>10</v>
      </c>
      <c r="W21" s="4" t="s">
        <v>306</v>
      </c>
      <c r="X21" s="4" t="s">
        <v>306</v>
      </c>
      <c r="Y21" s="4" t="s">
        <v>307</v>
      </c>
      <c r="Z21" s="4" t="s">
        <v>307</v>
      </c>
      <c r="AA21" s="3">
        <v>150</v>
      </c>
      <c r="AB21" s="3">
        <v>38</v>
      </c>
      <c r="AC21" s="3">
        <v>40</v>
      </c>
      <c r="AD21" s="3">
        <v>1</v>
      </c>
      <c r="AE21" s="3">
        <v>1</v>
      </c>
      <c r="AF21" s="3">
        <v>2</v>
      </c>
      <c r="AG21" s="3">
        <v>2</v>
      </c>
      <c r="AH21" s="3">
        <v>0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2" t="s">
        <v>5</v>
      </c>
      <c r="AS21" s="2" t="s">
        <v>5</v>
      </c>
      <c r="AU21" s="5" t="str">
        <f>HYPERLINK("https://creighton-primo.hosted.exlibrisgroup.com/primo-explore/search?tab=default_tab&amp;search_scope=EVERYTHING&amp;vid=01CRU&amp;lang=en_US&amp;offset=0&amp;query=any,contains,991001305159702656","Catalog Record")</f>
        <v>Catalog Record</v>
      </c>
      <c r="AV21" s="5" t="str">
        <f>HYPERLINK("http://www.worldcat.org/oclc/25825774","WorldCat Record")</f>
        <v>WorldCat Record</v>
      </c>
      <c r="AW21" s="2" t="s">
        <v>308</v>
      </c>
      <c r="AX21" s="2" t="s">
        <v>309</v>
      </c>
      <c r="AY21" s="2" t="s">
        <v>310</v>
      </c>
      <c r="AZ21" s="2" t="s">
        <v>310</v>
      </c>
      <c r="BA21" s="2" t="s">
        <v>311</v>
      </c>
      <c r="BB21" s="2" t="s">
        <v>19</v>
      </c>
      <c r="BD21" s="2" t="s">
        <v>312</v>
      </c>
      <c r="BE21" s="2" t="s">
        <v>313</v>
      </c>
      <c r="BF21" s="2" t="s">
        <v>314</v>
      </c>
    </row>
    <row r="22" spans="1:58" ht="50.25" customHeight="1" x14ac:dyDescent="0.25">
      <c r="A22" s="8" t="s">
        <v>5</v>
      </c>
      <c r="B22" s="1" t="s">
        <v>0</v>
      </c>
      <c r="C22" s="1" t="s">
        <v>1</v>
      </c>
      <c r="D22" s="1" t="s">
        <v>315</v>
      </c>
      <c r="E22" s="1" t="s">
        <v>316</v>
      </c>
      <c r="F22" s="1" t="s">
        <v>317</v>
      </c>
      <c r="H22" s="2" t="s">
        <v>5</v>
      </c>
      <c r="I22" s="2" t="s">
        <v>6</v>
      </c>
      <c r="J22" s="2" t="s">
        <v>5</v>
      </c>
      <c r="K22" s="2" t="s">
        <v>5</v>
      </c>
      <c r="L22" s="2" t="s">
        <v>7</v>
      </c>
      <c r="N22" s="1" t="s">
        <v>318</v>
      </c>
      <c r="O22" s="2" t="s">
        <v>319</v>
      </c>
      <c r="P22" s="1" t="s">
        <v>320</v>
      </c>
      <c r="Q22" s="2" t="s">
        <v>10</v>
      </c>
      <c r="R22" s="2" t="s">
        <v>11</v>
      </c>
      <c r="T22" s="2" t="s">
        <v>12</v>
      </c>
      <c r="U22" s="3">
        <v>3</v>
      </c>
      <c r="V22" s="3">
        <v>3</v>
      </c>
      <c r="W22" s="4" t="s">
        <v>321</v>
      </c>
      <c r="X22" s="4" t="s">
        <v>321</v>
      </c>
      <c r="Y22" s="4" t="s">
        <v>322</v>
      </c>
      <c r="Z22" s="4" t="s">
        <v>322</v>
      </c>
      <c r="AA22" s="3">
        <v>167</v>
      </c>
      <c r="AB22" s="3">
        <v>72</v>
      </c>
      <c r="AC22" s="3">
        <v>93</v>
      </c>
      <c r="AD22" s="3">
        <v>1</v>
      </c>
      <c r="AE22" s="3">
        <v>1</v>
      </c>
      <c r="AF22" s="3">
        <v>2</v>
      </c>
      <c r="AG22" s="3">
        <v>2</v>
      </c>
      <c r="AH22" s="3">
        <v>1</v>
      </c>
      <c r="AI22" s="3">
        <v>1</v>
      </c>
      <c r="AJ22" s="3">
        <v>1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2" t="s">
        <v>5</v>
      </c>
      <c r="AS22" s="2" t="s">
        <v>5</v>
      </c>
      <c r="AU22" s="5" t="str">
        <f>HYPERLINK("https://creighton-primo.hosted.exlibrisgroup.com/primo-explore/search?tab=default_tab&amp;search_scope=EVERYTHING&amp;vid=01CRU&amp;lang=en_US&amp;offset=0&amp;query=any,contains,991001488219702656","Catalog Record")</f>
        <v>Catalog Record</v>
      </c>
      <c r="AV22" s="5" t="str">
        <f>HYPERLINK("http://www.worldcat.org/oclc/27727026","WorldCat Record")</f>
        <v>WorldCat Record</v>
      </c>
      <c r="AW22" s="2" t="s">
        <v>323</v>
      </c>
      <c r="AX22" s="2" t="s">
        <v>324</v>
      </c>
      <c r="AY22" s="2" t="s">
        <v>325</v>
      </c>
      <c r="AZ22" s="2" t="s">
        <v>325</v>
      </c>
      <c r="BA22" s="2" t="s">
        <v>326</v>
      </c>
      <c r="BB22" s="2" t="s">
        <v>19</v>
      </c>
      <c r="BD22" s="2" t="s">
        <v>327</v>
      </c>
      <c r="BE22" s="2" t="s">
        <v>328</v>
      </c>
      <c r="BF22" s="2" t="s">
        <v>329</v>
      </c>
    </row>
    <row r="23" spans="1:58" ht="50.25" customHeight="1" x14ac:dyDescent="0.25">
      <c r="A23" s="8" t="s">
        <v>5</v>
      </c>
      <c r="B23" s="1" t="s">
        <v>0</v>
      </c>
      <c r="C23" s="1" t="s">
        <v>1</v>
      </c>
      <c r="D23" s="1" t="s">
        <v>330</v>
      </c>
      <c r="E23" s="1" t="s">
        <v>331</v>
      </c>
      <c r="F23" s="1" t="s">
        <v>332</v>
      </c>
      <c r="H23" s="2" t="s">
        <v>5</v>
      </c>
      <c r="I23" s="2" t="s">
        <v>6</v>
      </c>
      <c r="J23" s="2" t="s">
        <v>5</v>
      </c>
      <c r="K23" s="2" t="s">
        <v>5</v>
      </c>
      <c r="L23" s="2" t="s">
        <v>7</v>
      </c>
      <c r="M23" s="1" t="s">
        <v>333</v>
      </c>
      <c r="N23" s="1" t="s">
        <v>334</v>
      </c>
      <c r="O23" s="2" t="s">
        <v>289</v>
      </c>
      <c r="Q23" s="2" t="s">
        <v>10</v>
      </c>
      <c r="R23" s="2" t="s">
        <v>11</v>
      </c>
      <c r="T23" s="2" t="s">
        <v>12</v>
      </c>
      <c r="U23" s="3">
        <v>4</v>
      </c>
      <c r="V23" s="3">
        <v>4</v>
      </c>
      <c r="W23" s="4" t="s">
        <v>335</v>
      </c>
      <c r="X23" s="4" t="s">
        <v>335</v>
      </c>
      <c r="Y23" s="4" t="s">
        <v>336</v>
      </c>
      <c r="Z23" s="4" t="s">
        <v>336</v>
      </c>
      <c r="AA23" s="3">
        <v>424</v>
      </c>
      <c r="AB23" s="3">
        <v>349</v>
      </c>
      <c r="AC23" s="3">
        <v>466</v>
      </c>
      <c r="AD23" s="3">
        <v>1</v>
      </c>
      <c r="AE23" s="3">
        <v>1</v>
      </c>
      <c r="AF23" s="3">
        <v>15</v>
      </c>
      <c r="AG23" s="3">
        <v>19</v>
      </c>
      <c r="AH23" s="3">
        <v>3</v>
      </c>
      <c r="AI23" s="3">
        <v>5</v>
      </c>
      <c r="AJ23" s="3">
        <v>5</v>
      </c>
      <c r="AK23" s="3">
        <v>6</v>
      </c>
      <c r="AL23" s="3">
        <v>12</v>
      </c>
      <c r="AM23" s="3">
        <v>14</v>
      </c>
      <c r="AN23" s="3">
        <v>0</v>
      </c>
      <c r="AO23" s="3">
        <v>0</v>
      </c>
      <c r="AP23" s="3">
        <v>0</v>
      </c>
      <c r="AQ23" s="3">
        <v>0</v>
      </c>
      <c r="AR23" s="2" t="s">
        <v>5</v>
      </c>
      <c r="AS23" s="2" t="s">
        <v>5</v>
      </c>
      <c r="AU23" s="5" t="str">
        <f>HYPERLINK("https://creighton-primo.hosted.exlibrisgroup.com/primo-explore/search?tab=default_tab&amp;search_scope=EVERYTHING&amp;vid=01CRU&amp;lang=en_US&amp;offset=0&amp;query=any,contains,991000371199702656","Catalog Record")</f>
        <v>Catalog Record</v>
      </c>
      <c r="AV23" s="5" t="str">
        <f>HYPERLINK("http://www.worldcat.org/oclc/41649617","WorldCat Record")</f>
        <v>WorldCat Record</v>
      </c>
      <c r="AW23" s="2" t="s">
        <v>337</v>
      </c>
      <c r="AX23" s="2" t="s">
        <v>338</v>
      </c>
      <c r="AY23" s="2" t="s">
        <v>339</v>
      </c>
      <c r="AZ23" s="2" t="s">
        <v>339</v>
      </c>
      <c r="BA23" s="2" t="s">
        <v>340</v>
      </c>
      <c r="BB23" s="2" t="s">
        <v>19</v>
      </c>
      <c r="BD23" s="2" t="s">
        <v>341</v>
      </c>
      <c r="BE23" s="2" t="s">
        <v>342</v>
      </c>
      <c r="BF23" s="2" t="s">
        <v>343</v>
      </c>
    </row>
    <row r="24" spans="1:58" ht="50.25" customHeight="1" x14ac:dyDescent="0.25">
      <c r="A24" s="8" t="s">
        <v>5</v>
      </c>
      <c r="B24" s="1" t="s">
        <v>0</v>
      </c>
      <c r="C24" s="1" t="s">
        <v>1</v>
      </c>
      <c r="D24" s="1" t="s">
        <v>344</v>
      </c>
      <c r="E24" s="1" t="s">
        <v>345</v>
      </c>
      <c r="F24" s="1" t="s">
        <v>346</v>
      </c>
      <c r="H24" s="2" t="s">
        <v>5</v>
      </c>
      <c r="I24" s="2" t="s">
        <v>6</v>
      </c>
      <c r="J24" s="2" t="s">
        <v>5</v>
      </c>
      <c r="K24" s="2" t="s">
        <v>5</v>
      </c>
      <c r="L24" s="2" t="s">
        <v>7</v>
      </c>
      <c r="M24" s="1" t="s">
        <v>347</v>
      </c>
      <c r="N24" s="1" t="s">
        <v>348</v>
      </c>
      <c r="O24" s="2" t="s">
        <v>349</v>
      </c>
      <c r="Q24" s="2" t="s">
        <v>10</v>
      </c>
      <c r="R24" s="2" t="s">
        <v>11</v>
      </c>
      <c r="T24" s="2" t="s">
        <v>12</v>
      </c>
      <c r="U24" s="3">
        <v>4</v>
      </c>
      <c r="V24" s="3">
        <v>4</v>
      </c>
      <c r="W24" s="4" t="s">
        <v>350</v>
      </c>
      <c r="X24" s="4" t="s">
        <v>350</v>
      </c>
      <c r="Y24" s="4" t="s">
        <v>351</v>
      </c>
      <c r="Z24" s="4" t="s">
        <v>351</v>
      </c>
      <c r="AA24" s="3">
        <v>253</v>
      </c>
      <c r="AB24" s="3">
        <v>183</v>
      </c>
      <c r="AC24" s="3">
        <v>670</v>
      </c>
      <c r="AD24" s="3">
        <v>1</v>
      </c>
      <c r="AE24" s="3">
        <v>26</v>
      </c>
      <c r="AF24" s="3">
        <v>7</v>
      </c>
      <c r="AG24" s="3">
        <v>28</v>
      </c>
      <c r="AH24" s="3">
        <v>1</v>
      </c>
      <c r="AI24" s="3">
        <v>6</v>
      </c>
      <c r="AJ24" s="3">
        <v>3</v>
      </c>
      <c r="AK24" s="3">
        <v>5</v>
      </c>
      <c r="AL24" s="3">
        <v>4</v>
      </c>
      <c r="AM24" s="3">
        <v>9</v>
      </c>
      <c r="AN24" s="3">
        <v>0</v>
      </c>
      <c r="AO24" s="3">
        <v>11</v>
      </c>
      <c r="AP24" s="3">
        <v>0</v>
      </c>
      <c r="AQ24" s="3">
        <v>0</v>
      </c>
      <c r="AR24" s="2" t="s">
        <v>5</v>
      </c>
      <c r="AS24" s="2" t="s">
        <v>5</v>
      </c>
      <c r="AU24" s="5" t="str">
        <f>HYPERLINK("https://creighton-primo.hosted.exlibrisgroup.com/primo-explore/search?tab=default_tab&amp;search_scope=EVERYTHING&amp;vid=01CRU&amp;lang=en_US&amp;offset=0&amp;query=any,contains,991000293059702656","Catalog Record")</f>
        <v>Catalog Record</v>
      </c>
      <c r="AV24" s="5" t="str">
        <f>HYPERLINK("http://www.worldcat.org/oclc/45363980","WorldCat Record")</f>
        <v>WorldCat Record</v>
      </c>
      <c r="AW24" s="2" t="s">
        <v>352</v>
      </c>
      <c r="AX24" s="2" t="s">
        <v>353</v>
      </c>
      <c r="AY24" s="2" t="s">
        <v>354</v>
      </c>
      <c r="AZ24" s="2" t="s">
        <v>354</v>
      </c>
      <c r="BA24" s="2" t="s">
        <v>355</v>
      </c>
      <c r="BB24" s="2" t="s">
        <v>19</v>
      </c>
      <c r="BD24" s="2" t="s">
        <v>356</v>
      </c>
      <c r="BE24" s="2" t="s">
        <v>357</v>
      </c>
      <c r="BF24" s="2" t="s">
        <v>358</v>
      </c>
    </row>
    <row r="25" spans="1:58" ht="50.25" customHeight="1" x14ac:dyDescent="0.25">
      <c r="A25" s="8" t="s">
        <v>5</v>
      </c>
      <c r="B25" s="1" t="s">
        <v>0</v>
      </c>
      <c r="C25" s="1" t="s">
        <v>1</v>
      </c>
      <c r="D25" s="1" t="s">
        <v>359</v>
      </c>
      <c r="E25" s="1" t="s">
        <v>360</v>
      </c>
      <c r="F25" s="1" t="s">
        <v>361</v>
      </c>
      <c r="H25" s="2" t="s">
        <v>5</v>
      </c>
      <c r="I25" s="2" t="s">
        <v>6</v>
      </c>
      <c r="J25" s="2" t="s">
        <v>5</v>
      </c>
      <c r="K25" s="2" t="s">
        <v>5</v>
      </c>
      <c r="L25" s="2" t="s">
        <v>7</v>
      </c>
      <c r="N25" s="1" t="s">
        <v>362</v>
      </c>
      <c r="O25" s="2" t="s">
        <v>349</v>
      </c>
      <c r="Q25" s="2" t="s">
        <v>10</v>
      </c>
      <c r="R25" s="2" t="s">
        <v>11</v>
      </c>
      <c r="T25" s="2" t="s">
        <v>12</v>
      </c>
      <c r="U25" s="3">
        <v>7</v>
      </c>
      <c r="V25" s="3">
        <v>7</v>
      </c>
      <c r="W25" s="4" t="s">
        <v>363</v>
      </c>
      <c r="X25" s="4" t="s">
        <v>363</v>
      </c>
      <c r="Y25" s="4" t="s">
        <v>364</v>
      </c>
      <c r="Z25" s="4" t="s">
        <v>364</v>
      </c>
      <c r="AA25" s="3">
        <v>392</v>
      </c>
      <c r="AB25" s="3">
        <v>266</v>
      </c>
      <c r="AC25" s="3">
        <v>1058</v>
      </c>
      <c r="AD25" s="3">
        <v>1</v>
      </c>
      <c r="AE25" s="3">
        <v>19</v>
      </c>
      <c r="AF25" s="3">
        <v>16</v>
      </c>
      <c r="AG25" s="3">
        <v>43</v>
      </c>
      <c r="AH25" s="3">
        <v>2</v>
      </c>
      <c r="AI25" s="3">
        <v>12</v>
      </c>
      <c r="AJ25" s="3">
        <v>5</v>
      </c>
      <c r="AK25" s="3">
        <v>10</v>
      </c>
      <c r="AL25" s="3">
        <v>11</v>
      </c>
      <c r="AM25" s="3">
        <v>14</v>
      </c>
      <c r="AN25" s="3">
        <v>0</v>
      </c>
      <c r="AO25" s="3">
        <v>11</v>
      </c>
      <c r="AP25" s="3">
        <v>2</v>
      </c>
      <c r="AQ25" s="3">
        <v>3</v>
      </c>
      <c r="AR25" s="2" t="s">
        <v>5</v>
      </c>
      <c r="AS25" s="2" t="s">
        <v>5</v>
      </c>
      <c r="AU25" s="5" t="str">
        <f>HYPERLINK("https://creighton-primo.hosted.exlibrisgroup.com/primo-explore/search?tab=default_tab&amp;search_scope=EVERYTHING&amp;vid=01CRU&amp;lang=en_US&amp;offset=0&amp;query=any,contains,991000320499702656","Catalog Record")</f>
        <v>Catalog Record</v>
      </c>
      <c r="AV25" s="5" t="str">
        <f>HYPERLINK("http://www.worldcat.org/oclc/44775424","WorldCat Record")</f>
        <v>WorldCat Record</v>
      </c>
      <c r="AW25" s="2" t="s">
        <v>365</v>
      </c>
      <c r="AX25" s="2" t="s">
        <v>366</v>
      </c>
      <c r="AY25" s="2" t="s">
        <v>367</v>
      </c>
      <c r="AZ25" s="2" t="s">
        <v>367</v>
      </c>
      <c r="BA25" s="2" t="s">
        <v>368</v>
      </c>
      <c r="BB25" s="2" t="s">
        <v>19</v>
      </c>
      <c r="BD25" s="2" t="s">
        <v>369</v>
      </c>
      <c r="BE25" s="2" t="s">
        <v>370</v>
      </c>
      <c r="BF25" s="2" t="s">
        <v>371</v>
      </c>
    </row>
    <row r="26" spans="1:58" ht="50.25" customHeight="1" x14ac:dyDescent="0.25">
      <c r="A26" s="8" t="s">
        <v>5</v>
      </c>
      <c r="B26" s="1" t="s">
        <v>0</v>
      </c>
      <c r="C26" s="1" t="s">
        <v>1</v>
      </c>
      <c r="D26" s="1" t="s">
        <v>372</v>
      </c>
      <c r="E26" s="1" t="s">
        <v>373</v>
      </c>
      <c r="F26" s="1" t="s">
        <v>374</v>
      </c>
      <c r="H26" s="2" t="s">
        <v>5</v>
      </c>
      <c r="I26" s="2" t="s">
        <v>6</v>
      </c>
      <c r="J26" s="2" t="s">
        <v>5</v>
      </c>
      <c r="K26" s="2" t="s">
        <v>5</v>
      </c>
      <c r="L26" s="2" t="s">
        <v>7</v>
      </c>
      <c r="N26" s="1" t="s">
        <v>375</v>
      </c>
      <c r="O26" s="2" t="s">
        <v>141</v>
      </c>
      <c r="Q26" s="2" t="s">
        <v>10</v>
      </c>
      <c r="R26" s="2" t="s">
        <v>77</v>
      </c>
      <c r="T26" s="2" t="s">
        <v>12</v>
      </c>
      <c r="U26" s="3">
        <v>4</v>
      </c>
      <c r="V26" s="3">
        <v>4</v>
      </c>
      <c r="W26" s="4" t="s">
        <v>376</v>
      </c>
      <c r="X26" s="4" t="s">
        <v>376</v>
      </c>
      <c r="Y26" s="4" t="s">
        <v>377</v>
      </c>
      <c r="Z26" s="4" t="s">
        <v>377</v>
      </c>
      <c r="AA26" s="3">
        <v>278</v>
      </c>
      <c r="AB26" s="3">
        <v>144</v>
      </c>
      <c r="AC26" s="3">
        <v>152</v>
      </c>
      <c r="AD26" s="3">
        <v>1</v>
      </c>
      <c r="AE26" s="3">
        <v>1</v>
      </c>
      <c r="AF26" s="3">
        <v>5</v>
      </c>
      <c r="AG26" s="3">
        <v>5</v>
      </c>
      <c r="AH26" s="3">
        <v>1</v>
      </c>
      <c r="AI26" s="3">
        <v>1</v>
      </c>
      <c r="AJ26" s="3">
        <v>2</v>
      </c>
      <c r="AK26" s="3">
        <v>2</v>
      </c>
      <c r="AL26" s="3">
        <v>4</v>
      </c>
      <c r="AM26" s="3">
        <v>4</v>
      </c>
      <c r="AN26" s="3">
        <v>0</v>
      </c>
      <c r="AO26" s="3">
        <v>0</v>
      </c>
      <c r="AP26" s="3">
        <v>0</v>
      </c>
      <c r="AQ26" s="3">
        <v>0</v>
      </c>
      <c r="AR26" s="2" t="s">
        <v>5</v>
      </c>
      <c r="AS26" s="2" t="s">
        <v>5</v>
      </c>
      <c r="AU26" s="5" t="str">
        <f>HYPERLINK("https://creighton-primo.hosted.exlibrisgroup.com/primo-explore/search?tab=default_tab&amp;search_scope=EVERYTHING&amp;vid=01CRU&amp;lang=en_US&amp;offset=0&amp;query=any,contains,991001241839702656","Catalog Record")</f>
        <v>Catalog Record</v>
      </c>
      <c r="AV26" s="5" t="str">
        <f>HYPERLINK("http://www.worldcat.org/oclc/12669529","WorldCat Record")</f>
        <v>WorldCat Record</v>
      </c>
      <c r="AW26" s="2" t="s">
        <v>378</v>
      </c>
      <c r="AX26" s="2" t="s">
        <v>379</v>
      </c>
      <c r="AY26" s="2" t="s">
        <v>380</v>
      </c>
      <c r="AZ26" s="2" t="s">
        <v>380</v>
      </c>
      <c r="BA26" s="2" t="s">
        <v>381</v>
      </c>
      <c r="BB26" s="2" t="s">
        <v>19</v>
      </c>
      <c r="BD26" s="2" t="s">
        <v>382</v>
      </c>
      <c r="BE26" s="2" t="s">
        <v>383</v>
      </c>
      <c r="BF26" s="2" t="s">
        <v>384</v>
      </c>
    </row>
    <row r="27" spans="1:58" ht="50.25" customHeight="1" x14ac:dyDescent="0.25">
      <c r="A27" s="8" t="s">
        <v>5</v>
      </c>
      <c r="B27" s="1" t="s">
        <v>0</v>
      </c>
      <c r="C27" s="1" t="s">
        <v>1</v>
      </c>
      <c r="D27" s="1" t="s">
        <v>385</v>
      </c>
      <c r="E27" s="1" t="s">
        <v>386</v>
      </c>
      <c r="F27" s="1" t="s">
        <v>387</v>
      </c>
      <c r="H27" s="2" t="s">
        <v>5</v>
      </c>
      <c r="I27" s="2" t="s">
        <v>6</v>
      </c>
      <c r="J27" s="2" t="s">
        <v>5</v>
      </c>
      <c r="K27" s="2" t="s">
        <v>5</v>
      </c>
      <c r="L27" s="2" t="s">
        <v>6</v>
      </c>
      <c r="N27" s="1" t="s">
        <v>388</v>
      </c>
      <c r="O27" s="2" t="s">
        <v>389</v>
      </c>
      <c r="Q27" s="2" t="s">
        <v>10</v>
      </c>
      <c r="R27" s="2" t="s">
        <v>77</v>
      </c>
      <c r="T27" s="2" t="s">
        <v>12</v>
      </c>
      <c r="U27" s="3">
        <v>0</v>
      </c>
      <c r="V27" s="3">
        <v>0</v>
      </c>
      <c r="W27" s="4" t="s">
        <v>390</v>
      </c>
      <c r="X27" s="4" t="s">
        <v>390</v>
      </c>
      <c r="Y27" s="4" t="s">
        <v>391</v>
      </c>
      <c r="Z27" s="4" t="s">
        <v>391</v>
      </c>
      <c r="AA27" s="3">
        <v>243</v>
      </c>
      <c r="AB27" s="3">
        <v>170</v>
      </c>
      <c r="AC27" s="3">
        <v>1048</v>
      </c>
      <c r="AD27" s="3">
        <v>2</v>
      </c>
      <c r="AE27" s="3">
        <v>15</v>
      </c>
      <c r="AF27" s="3">
        <v>4</v>
      </c>
      <c r="AG27" s="3">
        <v>42</v>
      </c>
      <c r="AH27" s="3">
        <v>2</v>
      </c>
      <c r="AI27" s="3">
        <v>13</v>
      </c>
      <c r="AJ27" s="3">
        <v>0</v>
      </c>
      <c r="AK27" s="3">
        <v>9</v>
      </c>
      <c r="AL27" s="3">
        <v>2</v>
      </c>
      <c r="AM27" s="3">
        <v>12</v>
      </c>
      <c r="AN27" s="3">
        <v>1</v>
      </c>
      <c r="AO27" s="3">
        <v>13</v>
      </c>
      <c r="AP27" s="3">
        <v>0</v>
      </c>
      <c r="AQ27" s="3">
        <v>2</v>
      </c>
      <c r="AR27" s="2" t="s">
        <v>5</v>
      </c>
      <c r="AS27" s="2" t="s">
        <v>5</v>
      </c>
      <c r="AU27" s="5" t="str">
        <f>HYPERLINK("https://creighton-primo.hosted.exlibrisgroup.com/primo-explore/search?tab=default_tab&amp;search_scope=EVERYTHING&amp;vid=01CRU&amp;lang=en_US&amp;offset=0&amp;query=any,contains,991000368929702656","Catalog Record")</f>
        <v>Catalog Record</v>
      </c>
      <c r="AV27" s="5" t="str">
        <f>HYPERLINK("http://www.worldcat.org/oclc/47705894","WorldCat Record")</f>
        <v>WorldCat Record</v>
      </c>
      <c r="AW27" s="2" t="s">
        <v>392</v>
      </c>
      <c r="AX27" s="2" t="s">
        <v>393</v>
      </c>
      <c r="AY27" s="2" t="s">
        <v>394</v>
      </c>
      <c r="AZ27" s="2" t="s">
        <v>394</v>
      </c>
      <c r="BA27" s="2" t="s">
        <v>395</v>
      </c>
      <c r="BB27" s="2" t="s">
        <v>19</v>
      </c>
      <c r="BD27" s="2" t="s">
        <v>396</v>
      </c>
      <c r="BE27" s="2" t="s">
        <v>397</v>
      </c>
      <c r="BF27" s="2" t="s">
        <v>398</v>
      </c>
    </row>
    <row r="28" spans="1:58" ht="50.25" customHeight="1" x14ac:dyDescent="0.25">
      <c r="A28" s="8" t="s">
        <v>5</v>
      </c>
      <c r="B28" s="1" t="s">
        <v>0</v>
      </c>
      <c r="C28" s="1" t="s">
        <v>1</v>
      </c>
      <c r="D28" s="1" t="s">
        <v>399</v>
      </c>
      <c r="E28" s="1" t="s">
        <v>400</v>
      </c>
      <c r="F28" s="1" t="s">
        <v>401</v>
      </c>
      <c r="H28" s="2" t="s">
        <v>5</v>
      </c>
      <c r="I28" s="2" t="s">
        <v>6</v>
      </c>
      <c r="J28" s="2" t="s">
        <v>5</v>
      </c>
      <c r="K28" s="2" t="s">
        <v>5</v>
      </c>
      <c r="L28" s="2" t="s">
        <v>7</v>
      </c>
      <c r="M28" s="1" t="s">
        <v>402</v>
      </c>
      <c r="N28" s="1" t="s">
        <v>403</v>
      </c>
      <c r="O28" s="2" t="s">
        <v>44</v>
      </c>
      <c r="P28" s="1" t="s">
        <v>404</v>
      </c>
      <c r="Q28" s="2" t="s">
        <v>10</v>
      </c>
      <c r="R28" s="2" t="s">
        <v>405</v>
      </c>
      <c r="T28" s="2" t="s">
        <v>12</v>
      </c>
      <c r="U28" s="3">
        <v>3</v>
      </c>
      <c r="V28" s="3">
        <v>3</v>
      </c>
      <c r="W28" s="4" t="s">
        <v>406</v>
      </c>
      <c r="X28" s="4" t="s">
        <v>406</v>
      </c>
      <c r="Y28" s="4" t="s">
        <v>407</v>
      </c>
      <c r="Z28" s="4" t="s">
        <v>407</v>
      </c>
      <c r="AA28" s="3">
        <v>229</v>
      </c>
      <c r="AB28" s="3">
        <v>158</v>
      </c>
      <c r="AC28" s="3">
        <v>566</v>
      </c>
      <c r="AD28" s="3">
        <v>1</v>
      </c>
      <c r="AE28" s="3">
        <v>6</v>
      </c>
      <c r="AF28" s="3">
        <v>5</v>
      </c>
      <c r="AG28" s="3">
        <v>24</v>
      </c>
      <c r="AH28" s="3">
        <v>1</v>
      </c>
      <c r="AI28" s="3">
        <v>7</v>
      </c>
      <c r="AJ28" s="3">
        <v>0</v>
      </c>
      <c r="AK28" s="3">
        <v>3</v>
      </c>
      <c r="AL28" s="3">
        <v>4</v>
      </c>
      <c r="AM28" s="3">
        <v>12</v>
      </c>
      <c r="AN28" s="3">
        <v>0</v>
      </c>
      <c r="AO28" s="3">
        <v>5</v>
      </c>
      <c r="AP28" s="3">
        <v>0</v>
      </c>
      <c r="AQ28" s="3">
        <v>1</v>
      </c>
      <c r="AR28" s="2" t="s">
        <v>5</v>
      </c>
      <c r="AS28" s="2" t="s">
        <v>5</v>
      </c>
      <c r="AU28" s="5" t="str">
        <f>HYPERLINK("https://creighton-primo.hosted.exlibrisgroup.com/primo-explore/search?tab=default_tab&amp;search_scope=EVERYTHING&amp;vid=01CRU&amp;lang=en_US&amp;offset=0&amp;query=any,contains,991000692909702656","Catalog Record")</f>
        <v>Catalog Record</v>
      </c>
      <c r="AV28" s="5" t="str">
        <f>HYPERLINK("http://www.worldcat.org/oclc/70852625","WorldCat Record")</f>
        <v>WorldCat Record</v>
      </c>
      <c r="AW28" s="2" t="s">
        <v>408</v>
      </c>
      <c r="AX28" s="2" t="s">
        <v>409</v>
      </c>
      <c r="AY28" s="2" t="s">
        <v>410</v>
      </c>
      <c r="AZ28" s="2" t="s">
        <v>410</v>
      </c>
      <c r="BA28" s="2" t="s">
        <v>411</v>
      </c>
      <c r="BB28" s="2" t="s">
        <v>19</v>
      </c>
      <c r="BD28" s="2" t="s">
        <v>412</v>
      </c>
      <c r="BE28" s="2" t="s">
        <v>413</v>
      </c>
      <c r="BF28" s="2" t="s">
        <v>414</v>
      </c>
    </row>
    <row r="29" spans="1:58" ht="50.25" customHeight="1" x14ac:dyDescent="0.25">
      <c r="A29" s="8" t="s">
        <v>5</v>
      </c>
      <c r="B29" s="1" t="s">
        <v>0</v>
      </c>
      <c r="C29" s="1" t="s">
        <v>1</v>
      </c>
      <c r="D29" s="1" t="s">
        <v>415</v>
      </c>
      <c r="E29" s="1" t="s">
        <v>416</v>
      </c>
      <c r="F29" s="1" t="s">
        <v>417</v>
      </c>
      <c r="H29" s="2" t="s">
        <v>5</v>
      </c>
      <c r="I29" s="2" t="s">
        <v>6</v>
      </c>
      <c r="J29" s="2" t="s">
        <v>5</v>
      </c>
      <c r="K29" s="2" t="s">
        <v>5</v>
      </c>
      <c r="L29" s="2" t="s">
        <v>7</v>
      </c>
      <c r="N29" s="1" t="s">
        <v>418</v>
      </c>
      <c r="O29" s="2" t="s">
        <v>349</v>
      </c>
      <c r="Q29" s="2" t="s">
        <v>10</v>
      </c>
      <c r="R29" s="2" t="s">
        <v>184</v>
      </c>
      <c r="S29" s="1" t="s">
        <v>419</v>
      </c>
      <c r="T29" s="2" t="s">
        <v>12</v>
      </c>
      <c r="U29" s="3">
        <v>1</v>
      </c>
      <c r="V29" s="3">
        <v>1</v>
      </c>
      <c r="W29" s="4" t="s">
        <v>420</v>
      </c>
      <c r="X29" s="4" t="s">
        <v>420</v>
      </c>
      <c r="Y29" s="4" t="s">
        <v>421</v>
      </c>
      <c r="Z29" s="4" t="s">
        <v>421</v>
      </c>
      <c r="AA29" s="3">
        <v>104</v>
      </c>
      <c r="AB29" s="3">
        <v>63</v>
      </c>
      <c r="AC29" s="3">
        <v>148</v>
      </c>
      <c r="AD29" s="3">
        <v>1</v>
      </c>
      <c r="AE29" s="3">
        <v>1</v>
      </c>
      <c r="AF29" s="3">
        <v>2</v>
      </c>
      <c r="AG29" s="3">
        <v>4</v>
      </c>
      <c r="AH29" s="3">
        <v>0</v>
      </c>
      <c r="AI29" s="3">
        <v>2</v>
      </c>
      <c r="AJ29" s="3">
        <v>2</v>
      </c>
      <c r="AK29" s="3">
        <v>3</v>
      </c>
      <c r="AL29" s="3">
        <v>1</v>
      </c>
      <c r="AM29" s="3">
        <v>1</v>
      </c>
      <c r="AN29" s="3">
        <v>0</v>
      </c>
      <c r="AO29" s="3">
        <v>0</v>
      </c>
      <c r="AP29" s="3">
        <v>0</v>
      </c>
      <c r="AQ29" s="3">
        <v>0</v>
      </c>
      <c r="AR29" s="2" t="s">
        <v>5</v>
      </c>
      <c r="AS29" s="2" t="s">
        <v>90</v>
      </c>
      <c r="AT29" s="5" t="str">
        <f>HYPERLINK("http://catalog.hathitrust.org/Record/004313529","HathiTrust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HYPERLINK("https://creighton-primo.hosted.exlibrisgroup.com/primo-explore/search?tab=default_tab&amp;search_scope=EVERYTHING&amp;vid=01CRU&amp;lang=en_US&amp;offset=0&amp;query=any,contains,991000361149702656","Catalog Record")</f>
        <v>Catalog Record</v>
      </c>
      <c r="AV29" s="5" t="str">
        <f>HYPERLINK("http://www.worldcat.org/oclc/49224034","WorldCat Record")</f>
        <v>WorldCat Record</v>
      </c>
      <c r="AW29" s="2" t="s">
        <v>422</v>
      </c>
      <c r="AX29" s="2" t="s">
        <v>423</v>
      </c>
      <c r="AY29" s="2" t="s">
        <v>424</v>
      </c>
      <c r="AZ29" s="2" t="s">
        <v>424</v>
      </c>
      <c r="BA29" s="2" t="s">
        <v>425</v>
      </c>
      <c r="BB29" s="2" t="s">
        <v>19</v>
      </c>
      <c r="BD29" s="2" t="s">
        <v>426</v>
      </c>
      <c r="BE29" s="2" t="s">
        <v>427</v>
      </c>
      <c r="BF29" s="2" t="s">
        <v>428</v>
      </c>
    </row>
    <row r="30" spans="1:58" ht="50.25" customHeight="1" x14ac:dyDescent="0.25">
      <c r="A30" s="8" t="s">
        <v>5</v>
      </c>
      <c r="B30" s="1" t="s">
        <v>0</v>
      </c>
      <c r="C30" s="1" t="s">
        <v>1</v>
      </c>
      <c r="D30" s="1" t="s">
        <v>429</v>
      </c>
      <c r="E30" s="1" t="s">
        <v>430</v>
      </c>
      <c r="F30" s="1" t="s">
        <v>431</v>
      </c>
      <c r="H30" s="2" t="s">
        <v>5</v>
      </c>
      <c r="I30" s="2" t="s">
        <v>6</v>
      </c>
      <c r="J30" s="2" t="s">
        <v>5</v>
      </c>
      <c r="K30" s="2" t="s">
        <v>5</v>
      </c>
      <c r="L30" s="2" t="s">
        <v>7</v>
      </c>
      <c r="M30" s="1" t="s">
        <v>432</v>
      </c>
      <c r="N30" s="1" t="s">
        <v>433</v>
      </c>
      <c r="O30" s="2" t="s">
        <v>213</v>
      </c>
      <c r="Q30" s="2" t="s">
        <v>10</v>
      </c>
      <c r="R30" s="2" t="s">
        <v>405</v>
      </c>
      <c r="T30" s="2" t="s">
        <v>12</v>
      </c>
      <c r="U30" s="3">
        <v>19</v>
      </c>
      <c r="V30" s="3">
        <v>19</v>
      </c>
      <c r="W30" s="4" t="s">
        <v>434</v>
      </c>
      <c r="X30" s="4" t="s">
        <v>434</v>
      </c>
      <c r="Y30" s="4" t="s">
        <v>435</v>
      </c>
      <c r="Z30" s="4" t="s">
        <v>435</v>
      </c>
      <c r="AA30" s="3">
        <v>643</v>
      </c>
      <c r="AB30" s="3">
        <v>517</v>
      </c>
      <c r="AC30" s="3">
        <v>524</v>
      </c>
      <c r="AD30" s="3">
        <v>5</v>
      </c>
      <c r="AE30" s="3">
        <v>5</v>
      </c>
      <c r="AF30" s="3">
        <v>26</v>
      </c>
      <c r="AG30" s="3">
        <v>26</v>
      </c>
      <c r="AH30" s="3">
        <v>11</v>
      </c>
      <c r="AI30" s="3">
        <v>11</v>
      </c>
      <c r="AJ30" s="3">
        <v>4</v>
      </c>
      <c r="AK30" s="3">
        <v>4</v>
      </c>
      <c r="AL30" s="3">
        <v>14</v>
      </c>
      <c r="AM30" s="3">
        <v>14</v>
      </c>
      <c r="AN30" s="3">
        <v>4</v>
      </c>
      <c r="AO30" s="3">
        <v>4</v>
      </c>
      <c r="AP30" s="3">
        <v>1</v>
      </c>
      <c r="AQ30" s="3">
        <v>1</v>
      </c>
      <c r="AR30" s="2" t="s">
        <v>5</v>
      </c>
      <c r="AS30" s="2" t="s">
        <v>90</v>
      </c>
      <c r="AT30" s="5" t="str">
        <f>HYPERLINK("http://catalog.hathitrust.org/Record/002568776","HathiTrust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HYPERLINK("https://creighton-primo.hosted.exlibrisgroup.com/primo-explore/search?tab=default_tab&amp;search_scope=EVERYTHING&amp;vid=01CRU&amp;lang=en_US&amp;offset=0&amp;query=any,contains,991001340399702656","Catalog Record")</f>
        <v>Catalog Record</v>
      </c>
      <c r="AV30" s="5" t="str">
        <f>HYPERLINK("http://www.worldcat.org/oclc/25630291","WorldCat Record")</f>
        <v>WorldCat Record</v>
      </c>
      <c r="AW30" s="2" t="s">
        <v>436</v>
      </c>
      <c r="AX30" s="2" t="s">
        <v>437</v>
      </c>
      <c r="AY30" s="2" t="s">
        <v>438</v>
      </c>
      <c r="AZ30" s="2" t="s">
        <v>438</v>
      </c>
      <c r="BA30" s="2" t="s">
        <v>439</v>
      </c>
      <c r="BB30" s="2" t="s">
        <v>19</v>
      </c>
      <c r="BD30" s="2" t="s">
        <v>440</v>
      </c>
      <c r="BE30" s="2" t="s">
        <v>441</v>
      </c>
      <c r="BF30" s="2" t="s">
        <v>442</v>
      </c>
    </row>
    <row r="31" spans="1:58" ht="50.25" customHeight="1" x14ac:dyDescent="0.25">
      <c r="A31" s="8" t="s">
        <v>5</v>
      </c>
      <c r="B31" s="1" t="s">
        <v>0</v>
      </c>
      <c r="C31" s="1" t="s">
        <v>1</v>
      </c>
      <c r="D31" s="1" t="s">
        <v>443</v>
      </c>
      <c r="E31" s="1" t="s">
        <v>444</v>
      </c>
      <c r="F31" s="1" t="s">
        <v>445</v>
      </c>
      <c r="H31" s="2" t="s">
        <v>5</v>
      </c>
      <c r="I31" s="2" t="s">
        <v>6</v>
      </c>
      <c r="J31" s="2" t="s">
        <v>90</v>
      </c>
      <c r="K31" s="2" t="s">
        <v>5</v>
      </c>
      <c r="L31" s="2" t="s">
        <v>6</v>
      </c>
      <c r="M31" s="1" t="s">
        <v>446</v>
      </c>
      <c r="N31" s="1" t="s">
        <v>447</v>
      </c>
      <c r="O31" s="2" t="s">
        <v>213</v>
      </c>
      <c r="Q31" s="2" t="s">
        <v>10</v>
      </c>
      <c r="R31" s="2" t="s">
        <v>29</v>
      </c>
      <c r="T31" s="2" t="s">
        <v>12</v>
      </c>
      <c r="U31" s="3">
        <v>7</v>
      </c>
      <c r="V31" s="3">
        <v>7</v>
      </c>
      <c r="W31" s="4" t="s">
        <v>448</v>
      </c>
      <c r="X31" s="4" t="s">
        <v>448</v>
      </c>
      <c r="Y31" s="4" t="s">
        <v>449</v>
      </c>
      <c r="Z31" s="4" t="s">
        <v>449</v>
      </c>
      <c r="AA31" s="3">
        <v>676</v>
      </c>
      <c r="AB31" s="3">
        <v>574</v>
      </c>
      <c r="AC31" s="3">
        <v>1593</v>
      </c>
      <c r="AD31" s="3">
        <v>4</v>
      </c>
      <c r="AE31" s="3">
        <v>14</v>
      </c>
      <c r="AF31" s="3">
        <v>23</v>
      </c>
      <c r="AG31" s="3">
        <v>58</v>
      </c>
      <c r="AH31" s="3">
        <v>4</v>
      </c>
      <c r="AI31" s="3">
        <v>19</v>
      </c>
      <c r="AJ31" s="3">
        <v>6</v>
      </c>
      <c r="AK31" s="3">
        <v>11</v>
      </c>
      <c r="AL31" s="3">
        <v>8</v>
      </c>
      <c r="AM31" s="3">
        <v>20</v>
      </c>
      <c r="AN31" s="3">
        <v>2</v>
      </c>
      <c r="AO31" s="3">
        <v>12</v>
      </c>
      <c r="AP31" s="3">
        <v>6</v>
      </c>
      <c r="AQ31" s="3">
        <v>6</v>
      </c>
      <c r="AR31" s="2" t="s">
        <v>5</v>
      </c>
      <c r="AS31" s="2" t="s">
        <v>90</v>
      </c>
      <c r="AT31" s="5" t="str">
        <f>HYPERLINK("http://catalog.hathitrust.org/Record/002518562","HathiTrust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HYPERLINK("https://creighton-primo.hosted.exlibrisgroup.com/primo-explore/search?tab=default_tab&amp;search_scope=EVERYTHING&amp;vid=01CRU&amp;lang=en_US&amp;offset=0&amp;query=any,contains,991001032749702656","Catalog Record")</f>
        <v>Catalog Record</v>
      </c>
      <c r="AV31" s="5" t="str">
        <f>HYPERLINK("http://www.worldcat.org/oclc/24067734","WorldCat Record")</f>
        <v>WorldCat Record</v>
      </c>
      <c r="AW31" s="2" t="s">
        <v>450</v>
      </c>
      <c r="AX31" s="2" t="s">
        <v>451</v>
      </c>
      <c r="AY31" s="2" t="s">
        <v>452</v>
      </c>
      <c r="AZ31" s="2" t="s">
        <v>452</v>
      </c>
      <c r="BA31" s="2" t="s">
        <v>453</v>
      </c>
      <c r="BB31" s="2" t="s">
        <v>19</v>
      </c>
      <c r="BD31" s="2" t="s">
        <v>454</v>
      </c>
      <c r="BE31" s="2" t="s">
        <v>455</v>
      </c>
      <c r="BF31" s="2" t="s">
        <v>456</v>
      </c>
    </row>
    <row r="32" spans="1:58" ht="50.25" customHeight="1" x14ac:dyDescent="0.25">
      <c r="A32" s="8" t="s">
        <v>5</v>
      </c>
      <c r="B32" s="1" t="s">
        <v>0</v>
      </c>
      <c r="C32" s="1" t="s">
        <v>1</v>
      </c>
      <c r="D32" s="1" t="s">
        <v>457</v>
      </c>
      <c r="E32" s="1" t="s">
        <v>458</v>
      </c>
      <c r="F32" s="1" t="s">
        <v>459</v>
      </c>
      <c r="H32" s="2" t="s">
        <v>5</v>
      </c>
      <c r="I32" s="2" t="s">
        <v>6</v>
      </c>
      <c r="J32" s="2" t="s">
        <v>5</v>
      </c>
      <c r="K32" s="2" t="s">
        <v>5</v>
      </c>
      <c r="L32" s="2" t="s">
        <v>7</v>
      </c>
      <c r="N32" s="1" t="s">
        <v>460</v>
      </c>
      <c r="O32" s="2" t="s">
        <v>259</v>
      </c>
      <c r="Q32" s="2" t="s">
        <v>10</v>
      </c>
      <c r="R32" s="2" t="s">
        <v>405</v>
      </c>
      <c r="T32" s="2" t="s">
        <v>12</v>
      </c>
      <c r="U32" s="3">
        <v>7</v>
      </c>
      <c r="V32" s="3">
        <v>7</v>
      </c>
      <c r="W32" s="4" t="s">
        <v>461</v>
      </c>
      <c r="X32" s="4" t="s">
        <v>461</v>
      </c>
      <c r="Y32" s="4" t="s">
        <v>462</v>
      </c>
      <c r="Z32" s="4" t="s">
        <v>462</v>
      </c>
      <c r="AA32" s="3">
        <v>130</v>
      </c>
      <c r="AB32" s="3">
        <v>117</v>
      </c>
      <c r="AC32" s="3">
        <v>117</v>
      </c>
      <c r="AD32" s="3">
        <v>0</v>
      </c>
      <c r="AE32" s="3">
        <v>0</v>
      </c>
      <c r="AF32" s="3">
        <v>7</v>
      </c>
      <c r="AG32" s="3">
        <v>7</v>
      </c>
      <c r="AH32" s="3">
        <v>1</v>
      </c>
      <c r="AI32" s="3">
        <v>1</v>
      </c>
      <c r="AJ32" s="3">
        <v>3</v>
      </c>
      <c r="AK32" s="3">
        <v>3</v>
      </c>
      <c r="AL32" s="3">
        <v>6</v>
      </c>
      <c r="AM32" s="3">
        <v>6</v>
      </c>
      <c r="AN32" s="3">
        <v>0</v>
      </c>
      <c r="AO32" s="3">
        <v>0</v>
      </c>
      <c r="AP32" s="3">
        <v>0</v>
      </c>
      <c r="AQ32" s="3">
        <v>0</v>
      </c>
      <c r="AR32" s="2" t="s">
        <v>5</v>
      </c>
      <c r="AS32" s="2" t="s">
        <v>5</v>
      </c>
      <c r="AU32" s="5" t="str">
        <f>HYPERLINK("https://creighton-primo.hosted.exlibrisgroup.com/primo-explore/search?tab=default_tab&amp;search_scope=EVERYTHING&amp;vid=01CRU&amp;lang=en_US&amp;offset=0&amp;query=any,contains,991000682419702656","Catalog Record")</f>
        <v>Catalog Record</v>
      </c>
      <c r="AV32" s="5" t="str">
        <f>HYPERLINK("http://www.worldcat.org/oclc/32161713","WorldCat Record")</f>
        <v>WorldCat Record</v>
      </c>
      <c r="AW32" s="2" t="s">
        <v>463</v>
      </c>
      <c r="AX32" s="2" t="s">
        <v>464</v>
      </c>
      <c r="AY32" s="2" t="s">
        <v>465</v>
      </c>
      <c r="AZ32" s="2" t="s">
        <v>465</v>
      </c>
      <c r="BA32" s="2" t="s">
        <v>466</v>
      </c>
      <c r="BB32" s="2" t="s">
        <v>19</v>
      </c>
      <c r="BD32" s="2" t="s">
        <v>467</v>
      </c>
      <c r="BE32" s="2" t="s">
        <v>468</v>
      </c>
      <c r="BF32" s="2" t="s">
        <v>469</v>
      </c>
    </row>
    <row r="33" spans="1:58" ht="50.25" customHeight="1" x14ac:dyDescent="0.25">
      <c r="A33" s="8" t="s">
        <v>5</v>
      </c>
      <c r="B33" s="1" t="s">
        <v>0</v>
      </c>
      <c r="C33" s="1" t="s">
        <v>1</v>
      </c>
      <c r="D33" s="1" t="s">
        <v>470</v>
      </c>
      <c r="E33" s="1" t="s">
        <v>471</v>
      </c>
      <c r="F33" s="1" t="s">
        <v>472</v>
      </c>
      <c r="H33" s="2" t="s">
        <v>5</v>
      </c>
      <c r="I33" s="2" t="s">
        <v>6</v>
      </c>
      <c r="J33" s="2" t="s">
        <v>5</v>
      </c>
      <c r="K33" s="2" t="s">
        <v>5</v>
      </c>
      <c r="L33" s="2" t="s">
        <v>7</v>
      </c>
      <c r="N33" s="1" t="s">
        <v>473</v>
      </c>
      <c r="O33" s="2" t="s">
        <v>474</v>
      </c>
      <c r="Q33" s="2" t="s">
        <v>10</v>
      </c>
      <c r="R33" s="2" t="s">
        <v>29</v>
      </c>
      <c r="T33" s="2" t="s">
        <v>12</v>
      </c>
      <c r="U33" s="3">
        <v>23</v>
      </c>
      <c r="V33" s="3">
        <v>23</v>
      </c>
      <c r="W33" s="4" t="s">
        <v>475</v>
      </c>
      <c r="X33" s="4" t="s">
        <v>475</v>
      </c>
      <c r="Y33" s="4" t="s">
        <v>476</v>
      </c>
      <c r="Z33" s="4" t="s">
        <v>476</v>
      </c>
      <c r="AA33" s="3">
        <v>229</v>
      </c>
      <c r="AB33" s="3">
        <v>150</v>
      </c>
      <c r="AC33" s="3">
        <v>157</v>
      </c>
      <c r="AD33" s="3">
        <v>1</v>
      </c>
      <c r="AE33" s="3">
        <v>1</v>
      </c>
      <c r="AF33" s="3">
        <v>4</v>
      </c>
      <c r="AG33" s="3">
        <v>4</v>
      </c>
      <c r="AH33" s="3">
        <v>1</v>
      </c>
      <c r="AI33" s="3">
        <v>1</v>
      </c>
      <c r="AJ33" s="3">
        <v>2</v>
      </c>
      <c r="AK33" s="3">
        <v>2</v>
      </c>
      <c r="AL33" s="3">
        <v>1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2" t="s">
        <v>5</v>
      </c>
      <c r="AS33" s="2" t="s">
        <v>90</v>
      </c>
      <c r="AT33" s="5" t="str">
        <f>HYPERLINK("http://catalog.hathitrust.org/Record/001948931","HathiTrust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HYPERLINK("https://creighton-primo.hosted.exlibrisgroup.com/primo-explore/search?tab=default_tab&amp;search_scope=EVERYTHING&amp;vid=01CRU&amp;lang=en_US&amp;offset=0&amp;query=any,contains,991001454489702656","Catalog Record")</f>
        <v>Catalog Record</v>
      </c>
      <c r="AV33" s="5" t="str">
        <f>HYPERLINK("http://www.worldcat.org/oclc/20691886","WorldCat Record")</f>
        <v>WorldCat Record</v>
      </c>
      <c r="AW33" s="2" t="s">
        <v>477</v>
      </c>
      <c r="AX33" s="2" t="s">
        <v>478</v>
      </c>
      <c r="AY33" s="2" t="s">
        <v>479</v>
      </c>
      <c r="AZ33" s="2" t="s">
        <v>479</v>
      </c>
      <c r="BA33" s="2" t="s">
        <v>480</v>
      </c>
      <c r="BB33" s="2" t="s">
        <v>19</v>
      </c>
      <c r="BD33" s="2" t="s">
        <v>481</v>
      </c>
      <c r="BE33" s="2" t="s">
        <v>482</v>
      </c>
      <c r="BF33" s="2" t="s">
        <v>483</v>
      </c>
    </row>
    <row r="34" spans="1:58" ht="50.25" customHeight="1" x14ac:dyDescent="0.25">
      <c r="A34" s="8" t="s">
        <v>5</v>
      </c>
      <c r="B34" s="1" t="s">
        <v>0</v>
      </c>
      <c r="C34" s="1" t="s">
        <v>1</v>
      </c>
      <c r="D34" s="1" t="s">
        <v>484</v>
      </c>
      <c r="E34" s="1" t="s">
        <v>485</v>
      </c>
      <c r="F34" s="1" t="s">
        <v>486</v>
      </c>
      <c r="H34" s="2" t="s">
        <v>5</v>
      </c>
      <c r="I34" s="2" t="s">
        <v>6</v>
      </c>
      <c r="J34" s="2" t="s">
        <v>5</v>
      </c>
      <c r="K34" s="2" t="s">
        <v>5</v>
      </c>
      <c r="L34" s="2" t="s">
        <v>7</v>
      </c>
      <c r="M34" s="1" t="s">
        <v>487</v>
      </c>
      <c r="N34" s="1" t="s">
        <v>488</v>
      </c>
      <c r="O34" s="2" t="s">
        <v>489</v>
      </c>
      <c r="Q34" s="2" t="s">
        <v>10</v>
      </c>
      <c r="R34" s="2" t="s">
        <v>184</v>
      </c>
      <c r="T34" s="2" t="s">
        <v>12</v>
      </c>
      <c r="U34" s="3">
        <v>0</v>
      </c>
      <c r="V34" s="3">
        <v>0</v>
      </c>
      <c r="W34" s="4" t="s">
        <v>490</v>
      </c>
      <c r="X34" s="4" t="s">
        <v>490</v>
      </c>
      <c r="Y34" s="4" t="s">
        <v>491</v>
      </c>
      <c r="Z34" s="4" t="s">
        <v>491</v>
      </c>
      <c r="AA34" s="3">
        <v>229</v>
      </c>
      <c r="AB34" s="3">
        <v>208</v>
      </c>
      <c r="AC34" s="3">
        <v>215</v>
      </c>
      <c r="AD34" s="3">
        <v>2</v>
      </c>
      <c r="AE34" s="3">
        <v>2</v>
      </c>
      <c r="AF34" s="3">
        <v>9</v>
      </c>
      <c r="AG34" s="3">
        <v>9</v>
      </c>
      <c r="AH34" s="3">
        <v>3</v>
      </c>
      <c r="AI34" s="3">
        <v>3</v>
      </c>
      <c r="AJ34" s="3">
        <v>1</v>
      </c>
      <c r="AK34" s="3">
        <v>1</v>
      </c>
      <c r="AL34" s="3">
        <v>5</v>
      </c>
      <c r="AM34" s="3">
        <v>5</v>
      </c>
      <c r="AN34" s="3">
        <v>1</v>
      </c>
      <c r="AO34" s="3">
        <v>1</v>
      </c>
      <c r="AP34" s="3">
        <v>0</v>
      </c>
      <c r="AQ34" s="3">
        <v>0</v>
      </c>
      <c r="AR34" s="2" t="s">
        <v>5</v>
      </c>
      <c r="AS34" s="2" t="s">
        <v>5</v>
      </c>
      <c r="AU34" s="5" t="str">
        <f>HYPERLINK("https://creighton-primo.hosted.exlibrisgroup.com/primo-explore/search?tab=default_tab&amp;search_scope=EVERYTHING&amp;vid=01CRU&amp;lang=en_US&amp;offset=0&amp;query=any,contains,991000320979702656","Catalog Record")</f>
        <v>Catalog Record</v>
      </c>
      <c r="AV34" s="5" t="str">
        <f>HYPERLINK("http://www.worldcat.org/oclc/45673731","WorldCat Record")</f>
        <v>WorldCat Record</v>
      </c>
      <c r="AW34" s="2" t="s">
        <v>492</v>
      </c>
      <c r="AX34" s="2" t="s">
        <v>493</v>
      </c>
      <c r="AY34" s="2" t="s">
        <v>494</v>
      </c>
      <c r="AZ34" s="2" t="s">
        <v>494</v>
      </c>
      <c r="BA34" s="2" t="s">
        <v>495</v>
      </c>
      <c r="BB34" s="2" t="s">
        <v>19</v>
      </c>
      <c r="BD34" s="2" t="s">
        <v>496</v>
      </c>
      <c r="BE34" s="2" t="s">
        <v>497</v>
      </c>
      <c r="BF34" s="2" t="s">
        <v>498</v>
      </c>
    </row>
    <row r="35" spans="1:58" ht="50.25" customHeight="1" x14ac:dyDescent="0.25">
      <c r="A35" s="8" t="s">
        <v>5</v>
      </c>
      <c r="B35" s="1" t="s">
        <v>0</v>
      </c>
      <c r="C35" s="1" t="s">
        <v>1</v>
      </c>
      <c r="D35" s="1" t="s">
        <v>499</v>
      </c>
      <c r="E35" s="1" t="s">
        <v>500</v>
      </c>
      <c r="F35" s="1" t="s">
        <v>501</v>
      </c>
      <c r="H35" s="2" t="s">
        <v>5</v>
      </c>
      <c r="I35" s="2" t="s">
        <v>6</v>
      </c>
      <c r="J35" s="2" t="s">
        <v>5</v>
      </c>
      <c r="K35" s="2" t="s">
        <v>90</v>
      </c>
      <c r="L35" s="2" t="s">
        <v>6</v>
      </c>
      <c r="M35" s="1" t="s">
        <v>502</v>
      </c>
      <c r="N35" s="1" t="s">
        <v>503</v>
      </c>
      <c r="O35" s="2" t="s">
        <v>504</v>
      </c>
      <c r="Q35" s="2" t="s">
        <v>10</v>
      </c>
      <c r="R35" s="2" t="s">
        <v>11</v>
      </c>
      <c r="T35" s="2" t="s">
        <v>12</v>
      </c>
      <c r="U35" s="3">
        <v>5</v>
      </c>
      <c r="V35" s="3">
        <v>5</v>
      </c>
      <c r="W35" s="4" t="s">
        <v>505</v>
      </c>
      <c r="X35" s="4" t="s">
        <v>505</v>
      </c>
      <c r="Y35" s="4" t="s">
        <v>506</v>
      </c>
      <c r="Z35" s="4" t="s">
        <v>506</v>
      </c>
      <c r="AA35" s="3">
        <v>327</v>
      </c>
      <c r="AB35" s="3">
        <v>280</v>
      </c>
      <c r="AC35" s="3">
        <v>1836</v>
      </c>
      <c r="AD35" s="3">
        <v>1</v>
      </c>
      <c r="AE35" s="3">
        <v>9</v>
      </c>
      <c r="AF35" s="3">
        <v>7</v>
      </c>
      <c r="AG35" s="3">
        <v>52</v>
      </c>
      <c r="AH35" s="3">
        <v>1</v>
      </c>
      <c r="AI35" s="3">
        <v>22</v>
      </c>
      <c r="AJ35" s="3">
        <v>2</v>
      </c>
      <c r="AK35" s="3">
        <v>8</v>
      </c>
      <c r="AL35" s="3">
        <v>6</v>
      </c>
      <c r="AM35" s="3">
        <v>23</v>
      </c>
      <c r="AN35" s="3">
        <v>0</v>
      </c>
      <c r="AO35" s="3">
        <v>8</v>
      </c>
      <c r="AP35" s="3">
        <v>0</v>
      </c>
      <c r="AQ35" s="3">
        <v>0</v>
      </c>
      <c r="AR35" s="2" t="s">
        <v>5</v>
      </c>
      <c r="AS35" s="2" t="s">
        <v>90</v>
      </c>
      <c r="AT35" s="5" t="str">
        <f>HYPERLINK("http://catalog.hathitrust.org/Record/000266321","HathiTrust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HYPERLINK("https://creighton-primo.hosted.exlibrisgroup.com/primo-explore/search?tab=default_tab&amp;search_scope=EVERYTHING&amp;vid=01CRU&amp;lang=en_US&amp;offset=0&amp;query=any,contains,991001545339702656","Catalog Record")</f>
        <v>Catalog Record</v>
      </c>
      <c r="AV35" s="5" t="str">
        <f>HYPERLINK("http://www.worldcat.org/oclc/4776850","WorldCat Record")</f>
        <v>WorldCat Record</v>
      </c>
      <c r="AW35" s="2" t="s">
        <v>507</v>
      </c>
      <c r="AX35" s="2" t="s">
        <v>508</v>
      </c>
      <c r="AY35" s="2" t="s">
        <v>509</v>
      </c>
      <c r="AZ35" s="2" t="s">
        <v>509</v>
      </c>
      <c r="BA35" s="2" t="s">
        <v>510</v>
      </c>
      <c r="BB35" s="2" t="s">
        <v>19</v>
      </c>
      <c r="BD35" s="2" t="s">
        <v>511</v>
      </c>
      <c r="BE35" s="2" t="s">
        <v>512</v>
      </c>
      <c r="BF35" s="2" t="s">
        <v>513</v>
      </c>
    </row>
    <row r="36" spans="1:58" ht="50.25" customHeight="1" x14ac:dyDescent="0.25">
      <c r="A36" s="8" t="s">
        <v>5</v>
      </c>
      <c r="B36" s="1" t="s">
        <v>0</v>
      </c>
      <c r="C36" s="1" t="s">
        <v>1</v>
      </c>
      <c r="D36" s="1" t="s">
        <v>514</v>
      </c>
      <c r="E36" s="1" t="s">
        <v>515</v>
      </c>
      <c r="F36" s="1" t="s">
        <v>516</v>
      </c>
      <c r="H36" s="2" t="s">
        <v>5</v>
      </c>
      <c r="I36" s="2" t="s">
        <v>6</v>
      </c>
      <c r="J36" s="2" t="s">
        <v>5</v>
      </c>
      <c r="K36" s="2" t="s">
        <v>90</v>
      </c>
      <c r="L36" s="2" t="s">
        <v>6</v>
      </c>
      <c r="M36" s="1" t="s">
        <v>502</v>
      </c>
      <c r="N36" s="1" t="s">
        <v>517</v>
      </c>
      <c r="O36" s="2" t="s">
        <v>198</v>
      </c>
      <c r="Q36" s="2" t="s">
        <v>10</v>
      </c>
      <c r="R36" s="2" t="s">
        <v>29</v>
      </c>
      <c r="T36" s="2" t="s">
        <v>12</v>
      </c>
      <c r="U36" s="3">
        <v>11</v>
      </c>
      <c r="V36" s="3">
        <v>11</v>
      </c>
      <c r="W36" s="4" t="s">
        <v>518</v>
      </c>
      <c r="X36" s="4" t="s">
        <v>518</v>
      </c>
      <c r="Y36" s="4" t="s">
        <v>519</v>
      </c>
      <c r="Z36" s="4" t="s">
        <v>519</v>
      </c>
      <c r="AA36" s="3">
        <v>277</v>
      </c>
      <c r="AB36" s="3">
        <v>232</v>
      </c>
      <c r="AC36" s="3">
        <v>1836</v>
      </c>
      <c r="AD36" s="3">
        <v>2</v>
      </c>
      <c r="AE36" s="3">
        <v>9</v>
      </c>
      <c r="AF36" s="3">
        <v>11</v>
      </c>
      <c r="AG36" s="3">
        <v>52</v>
      </c>
      <c r="AH36" s="3">
        <v>4</v>
      </c>
      <c r="AI36" s="3">
        <v>22</v>
      </c>
      <c r="AJ36" s="3">
        <v>2</v>
      </c>
      <c r="AK36" s="3">
        <v>8</v>
      </c>
      <c r="AL36" s="3">
        <v>7</v>
      </c>
      <c r="AM36" s="3">
        <v>23</v>
      </c>
      <c r="AN36" s="3">
        <v>1</v>
      </c>
      <c r="AO36" s="3">
        <v>8</v>
      </c>
      <c r="AP36" s="3">
        <v>0</v>
      </c>
      <c r="AQ36" s="3">
        <v>0</v>
      </c>
      <c r="AR36" s="2" t="s">
        <v>5</v>
      </c>
      <c r="AS36" s="2" t="s">
        <v>90</v>
      </c>
      <c r="AT36" s="5" t="str">
        <f>HYPERLINK("http://catalog.hathitrust.org/Record/000475394","HathiTrust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HYPERLINK("https://creighton-primo.hosted.exlibrisgroup.com/primo-explore/search?tab=default_tab&amp;search_scope=EVERYTHING&amp;vid=01CRU&amp;lang=en_US&amp;offset=0&amp;query=any,contains,991000753889702656","Catalog Record")</f>
        <v>Catalog Record</v>
      </c>
      <c r="AV36" s="5" t="str">
        <f>HYPERLINK("http://www.worldcat.org/oclc/12162610","WorldCat Record")</f>
        <v>WorldCat Record</v>
      </c>
      <c r="AW36" s="2" t="s">
        <v>507</v>
      </c>
      <c r="AX36" s="2" t="s">
        <v>520</v>
      </c>
      <c r="AY36" s="2" t="s">
        <v>521</v>
      </c>
      <c r="AZ36" s="2" t="s">
        <v>521</v>
      </c>
      <c r="BA36" s="2" t="s">
        <v>522</v>
      </c>
      <c r="BB36" s="2" t="s">
        <v>19</v>
      </c>
      <c r="BD36" s="2" t="s">
        <v>523</v>
      </c>
      <c r="BE36" s="2" t="s">
        <v>524</v>
      </c>
      <c r="BF36" s="2" t="s">
        <v>525</v>
      </c>
    </row>
    <row r="37" spans="1:58" ht="50.25" customHeight="1" x14ac:dyDescent="0.25">
      <c r="A37" s="8" t="s">
        <v>5</v>
      </c>
      <c r="B37" s="1" t="s">
        <v>0</v>
      </c>
      <c r="C37" s="1" t="s">
        <v>1</v>
      </c>
      <c r="D37" s="1" t="s">
        <v>526</v>
      </c>
      <c r="E37" s="1" t="s">
        <v>527</v>
      </c>
      <c r="F37" s="1" t="s">
        <v>516</v>
      </c>
      <c r="H37" s="2" t="s">
        <v>5</v>
      </c>
      <c r="I37" s="2" t="s">
        <v>6</v>
      </c>
      <c r="J37" s="2" t="s">
        <v>5</v>
      </c>
      <c r="K37" s="2" t="s">
        <v>90</v>
      </c>
      <c r="L37" s="2" t="s">
        <v>6</v>
      </c>
      <c r="M37" s="1" t="s">
        <v>502</v>
      </c>
      <c r="N37" s="1" t="s">
        <v>528</v>
      </c>
      <c r="O37" s="2" t="s">
        <v>274</v>
      </c>
      <c r="P37" s="1" t="s">
        <v>404</v>
      </c>
      <c r="Q37" s="2" t="s">
        <v>10</v>
      </c>
      <c r="R37" s="2" t="s">
        <v>529</v>
      </c>
      <c r="T37" s="2" t="s">
        <v>12</v>
      </c>
      <c r="U37" s="3">
        <v>20</v>
      </c>
      <c r="V37" s="3">
        <v>20</v>
      </c>
      <c r="W37" s="4" t="s">
        <v>530</v>
      </c>
      <c r="X37" s="4" t="s">
        <v>530</v>
      </c>
      <c r="Y37" s="4" t="s">
        <v>531</v>
      </c>
      <c r="Z37" s="4" t="s">
        <v>531</v>
      </c>
      <c r="AA37" s="3">
        <v>425</v>
      </c>
      <c r="AB37" s="3">
        <v>354</v>
      </c>
      <c r="AC37" s="3">
        <v>1836</v>
      </c>
      <c r="AD37" s="3">
        <v>1</v>
      </c>
      <c r="AE37" s="3">
        <v>9</v>
      </c>
      <c r="AF37" s="3">
        <v>9</v>
      </c>
      <c r="AG37" s="3">
        <v>52</v>
      </c>
      <c r="AH37" s="3">
        <v>3</v>
      </c>
      <c r="AI37" s="3">
        <v>22</v>
      </c>
      <c r="AJ37" s="3">
        <v>3</v>
      </c>
      <c r="AK37" s="3">
        <v>8</v>
      </c>
      <c r="AL37" s="3">
        <v>6</v>
      </c>
      <c r="AM37" s="3">
        <v>23</v>
      </c>
      <c r="AN37" s="3">
        <v>0</v>
      </c>
      <c r="AO37" s="3">
        <v>8</v>
      </c>
      <c r="AP37" s="3">
        <v>0</v>
      </c>
      <c r="AQ37" s="3">
        <v>0</v>
      </c>
      <c r="AR37" s="2" t="s">
        <v>5</v>
      </c>
      <c r="AS37" s="2" t="s">
        <v>90</v>
      </c>
      <c r="AT37" s="5" t="str">
        <f>HYPERLINK("http://catalog.hathitrust.org/Record/002471589","HathiTrust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HYPERLINK("https://creighton-primo.hosted.exlibrisgroup.com/primo-explore/search?tab=default_tab&amp;search_scope=EVERYTHING&amp;vid=01CRU&amp;lang=en_US&amp;offset=0&amp;query=any,contains,991001476819702656","Catalog Record")</f>
        <v>Catalog Record</v>
      </c>
      <c r="AV37" s="5" t="str">
        <f>HYPERLINK("http://www.worldcat.org/oclc/23254640","WorldCat Record")</f>
        <v>WorldCat Record</v>
      </c>
      <c r="AW37" s="2" t="s">
        <v>507</v>
      </c>
      <c r="AX37" s="2" t="s">
        <v>532</v>
      </c>
      <c r="AY37" s="2" t="s">
        <v>533</v>
      </c>
      <c r="AZ37" s="2" t="s">
        <v>533</v>
      </c>
      <c r="BA37" s="2" t="s">
        <v>534</v>
      </c>
      <c r="BB37" s="2" t="s">
        <v>19</v>
      </c>
      <c r="BD37" s="2" t="s">
        <v>535</v>
      </c>
      <c r="BE37" s="2" t="s">
        <v>536</v>
      </c>
      <c r="BF37" s="2" t="s">
        <v>537</v>
      </c>
    </row>
    <row r="38" spans="1:58" ht="50.25" customHeight="1" x14ac:dyDescent="0.25">
      <c r="A38" s="8" t="s">
        <v>5</v>
      </c>
      <c r="B38" s="1" t="s">
        <v>0</v>
      </c>
      <c r="C38" s="1" t="s">
        <v>1</v>
      </c>
      <c r="D38" s="1" t="s">
        <v>538</v>
      </c>
      <c r="E38" s="1" t="s">
        <v>539</v>
      </c>
      <c r="F38" s="1" t="s">
        <v>516</v>
      </c>
      <c r="H38" s="2" t="s">
        <v>5</v>
      </c>
      <c r="I38" s="2" t="s">
        <v>6</v>
      </c>
      <c r="J38" s="2" t="s">
        <v>5</v>
      </c>
      <c r="K38" s="2" t="s">
        <v>90</v>
      </c>
      <c r="L38" s="2" t="s">
        <v>6</v>
      </c>
      <c r="M38" s="1" t="s">
        <v>502</v>
      </c>
      <c r="N38" s="1" t="s">
        <v>540</v>
      </c>
      <c r="O38" s="2" t="s">
        <v>125</v>
      </c>
      <c r="P38" s="1" t="s">
        <v>541</v>
      </c>
      <c r="Q38" s="2" t="s">
        <v>10</v>
      </c>
      <c r="R38" s="2" t="s">
        <v>529</v>
      </c>
      <c r="T38" s="2" t="s">
        <v>12</v>
      </c>
      <c r="U38" s="3">
        <v>16</v>
      </c>
      <c r="V38" s="3">
        <v>16</v>
      </c>
      <c r="W38" s="4" t="s">
        <v>542</v>
      </c>
      <c r="X38" s="4" t="s">
        <v>542</v>
      </c>
      <c r="Y38" s="4" t="s">
        <v>543</v>
      </c>
      <c r="Z38" s="4" t="s">
        <v>543</v>
      </c>
      <c r="AA38" s="3">
        <v>486</v>
      </c>
      <c r="AB38" s="3">
        <v>415</v>
      </c>
      <c r="AC38" s="3">
        <v>1836</v>
      </c>
      <c r="AD38" s="3">
        <v>1</v>
      </c>
      <c r="AE38" s="3">
        <v>9</v>
      </c>
      <c r="AF38" s="3">
        <v>13</v>
      </c>
      <c r="AG38" s="3">
        <v>52</v>
      </c>
      <c r="AH38" s="3">
        <v>8</v>
      </c>
      <c r="AI38" s="3">
        <v>22</v>
      </c>
      <c r="AJ38" s="3">
        <v>2</v>
      </c>
      <c r="AK38" s="3">
        <v>8</v>
      </c>
      <c r="AL38" s="3">
        <v>8</v>
      </c>
      <c r="AM38" s="3">
        <v>23</v>
      </c>
      <c r="AN38" s="3">
        <v>0</v>
      </c>
      <c r="AO38" s="3">
        <v>8</v>
      </c>
      <c r="AP38" s="3">
        <v>0</v>
      </c>
      <c r="AQ38" s="3">
        <v>0</v>
      </c>
      <c r="AR38" s="2" t="s">
        <v>5</v>
      </c>
      <c r="AS38" s="2" t="s">
        <v>90</v>
      </c>
      <c r="AT38" s="5" t="str">
        <f>HYPERLINK("http://catalog.hathitrust.org/Record/003077666","HathiTrust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HYPERLINK("https://creighton-primo.hosted.exlibrisgroup.com/primo-explore/search?tab=default_tab&amp;search_scope=EVERYTHING&amp;vid=01CRU&amp;lang=en_US&amp;offset=0&amp;query=any,contains,991001505399702656","Catalog Record")</f>
        <v>Catalog Record</v>
      </c>
      <c r="AV38" s="5" t="str">
        <f>HYPERLINK("http://www.worldcat.org/oclc/33246962","WorldCat Record")</f>
        <v>WorldCat Record</v>
      </c>
      <c r="AW38" s="2" t="s">
        <v>507</v>
      </c>
      <c r="AX38" s="2" t="s">
        <v>544</v>
      </c>
      <c r="AY38" s="2" t="s">
        <v>545</v>
      </c>
      <c r="AZ38" s="2" t="s">
        <v>545</v>
      </c>
      <c r="BA38" s="2" t="s">
        <v>546</v>
      </c>
      <c r="BB38" s="2" t="s">
        <v>19</v>
      </c>
      <c r="BD38" s="2" t="s">
        <v>547</v>
      </c>
      <c r="BE38" s="2" t="s">
        <v>548</v>
      </c>
      <c r="BF38" s="2" t="s">
        <v>549</v>
      </c>
    </row>
    <row r="39" spans="1:58" ht="50.25" customHeight="1" x14ac:dyDescent="0.25">
      <c r="A39" s="8" t="s">
        <v>5</v>
      </c>
      <c r="B39" s="1" t="s">
        <v>0</v>
      </c>
      <c r="C39" s="1" t="s">
        <v>1</v>
      </c>
      <c r="D39" s="1" t="s">
        <v>550</v>
      </c>
      <c r="E39" s="1" t="s">
        <v>551</v>
      </c>
      <c r="F39" s="1" t="s">
        <v>552</v>
      </c>
      <c r="H39" s="2" t="s">
        <v>5</v>
      </c>
      <c r="I39" s="2" t="s">
        <v>6</v>
      </c>
      <c r="J39" s="2" t="s">
        <v>5</v>
      </c>
      <c r="K39" s="2" t="s">
        <v>5</v>
      </c>
      <c r="L39" s="2" t="s">
        <v>7</v>
      </c>
      <c r="M39" s="1" t="s">
        <v>502</v>
      </c>
      <c r="N39" s="1" t="s">
        <v>553</v>
      </c>
      <c r="O39" s="2" t="s">
        <v>489</v>
      </c>
      <c r="Q39" s="2" t="s">
        <v>10</v>
      </c>
      <c r="R39" s="2" t="s">
        <v>45</v>
      </c>
      <c r="T39" s="2" t="s">
        <v>12</v>
      </c>
      <c r="U39" s="3">
        <v>2</v>
      </c>
      <c r="V39" s="3">
        <v>2</v>
      </c>
      <c r="W39" s="4" t="s">
        <v>554</v>
      </c>
      <c r="X39" s="4" t="s">
        <v>554</v>
      </c>
      <c r="Y39" s="4" t="s">
        <v>555</v>
      </c>
      <c r="Z39" s="4" t="s">
        <v>555</v>
      </c>
      <c r="AA39" s="3">
        <v>478</v>
      </c>
      <c r="AB39" s="3">
        <v>434</v>
      </c>
      <c r="AC39" s="3">
        <v>445</v>
      </c>
      <c r="AD39" s="3">
        <v>2</v>
      </c>
      <c r="AE39" s="3">
        <v>2</v>
      </c>
      <c r="AF39" s="3">
        <v>16</v>
      </c>
      <c r="AG39" s="3">
        <v>16</v>
      </c>
      <c r="AH39" s="3">
        <v>7</v>
      </c>
      <c r="AI39" s="3">
        <v>7</v>
      </c>
      <c r="AJ39" s="3">
        <v>1</v>
      </c>
      <c r="AK39" s="3">
        <v>1</v>
      </c>
      <c r="AL39" s="3">
        <v>9</v>
      </c>
      <c r="AM39" s="3">
        <v>9</v>
      </c>
      <c r="AN39" s="3">
        <v>1</v>
      </c>
      <c r="AO39" s="3">
        <v>1</v>
      </c>
      <c r="AP39" s="3">
        <v>0</v>
      </c>
      <c r="AQ39" s="3">
        <v>0</v>
      </c>
      <c r="AR39" s="2" t="s">
        <v>5</v>
      </c>
      <c r="AS39" s="2" t="s">
        <v>5</v>
      </c>
      <c r="AU39" s="5" t="str">
        <f>HYPERLINK("https://creighton-primo.hosted.exlibrisgroup.com/primo-explore/search?tab=default_tab&amp;search_scope=EVERYTHING&amp;vid=01CRU&amp;lang=en_US&amp;offset=0&amp;query=any,contains,991001406569702656","Catalog Record")</f>
        <v>Catalog Record</v>
      </c>
      <c r="AV39" s="5" t="str">
        <f>HYPERLINK("http://www.worldcat.org/oclc/43383790","WorldCat Record")</f>
        <v>WorldCat Record</v>
      </c>
      <c r="AW39" s="2" t="s">
        <v>556</v>
      </c>
      <c r="AX39" s="2" t="s">
        <v>557</v>
      </c>
      <c r="AY39" s="2" t="s">
        <v>558</v>
      </c>
      <c r="AZ39" s="2" t="s">
        <v>558</v>
      </c>
      <c r="BA39" s="2" t="s">
        <v>559</v>
      </c>
      <c r="BB39" s="2" t="s">
        <v>19</v>
      </c>
      <c r="BD39" s="2" t="s">
        <v>560</v>
      </c>
      <c r="BE39" s="2" t="s">
        <v>561</v>
      </c>
      <c r="BF39" s="2" t="s">
        <v>562</v>
      </c>
    </row>
    <row r="40" spans="1:58" ht="50.25" customHeight="1" x14ac:dyDescent="0.25">
      <c r="A40" s="8" t="s">
        <v>5</v>
      </c>
      <c r="B40" s="1" t="s">
        <v>0</v>
      </c>
      <c r="C40" s="1" t="s">
        <v>1</v>
      </c>
      <c r="D40" s="1" t="s">
        <v>563</v>
      </c>
      <c r="E40" s="1" t="s">
        <v>564</v>
      </c>
      <c r="F40" s="1" t="s">
        <v>565</v>
      </c>
      <c r="H40" s="2" t="s">
        <v>5</v>
      </c>
      <c r="I40" s="2" t="s">
        <v>6</v>
      </c>
      <c r="J40" s="2" t="s">
        <v>5</v>
      </c>
      <c r="K40" s="2" t="s">
        <v>5</v>
      </c>
      <c r="L40" s="2" t="s">
        <v>6</v>
      </c>
      <c r="M40" s="1" t="s">
        <v>566</v>
      </c>
      <c r="N40" s="1" t="s">
        <v>567</v>
      </c>
      <c r="O40" s="2" t="s">
        <v>109</v>
      </c>
      <c r="P40" s="1" t="s">
        <v>568</v>
      </c>
      <c r="Q40" s="2" t="s">
        <v>10</v>
      </c>
      <c r="R40" s="2" t="s">
        <v>184</v>
      </c>
      <c r="T40" s="2" t="s">
        <v>12</v>
      </c>
      <c r="U40" s="3">
        <v>0</v>
      </c>
      <c r="V40" s="3">
        <v>0</v>
      </c>
      <c r="W40" s="4" t="s">
        <v>569</v>
      </c>
      <c r="X40" s="4" t="s">
        <v>569</v>
      </c>
      <c r="Y40" s="4" t="s">
        <v>569</v>
      </c>
      <c r="Z40" s="4" t="s">
        <v>569</v>
      </c>
      <c r="AA40" s="3">
        <v>157</v>
      </c>
      <c r="AB40" s="3">
        <v>130</v>
      </c>
      <c r="AC40" s="3">
        <v>983</v>
      </c>
      <c r="AD40" s="3">
        <v>1</v>
      </c>
      <c r="AE40" s="3">
        <v>15</v>
      </c>
      <c r="AF40" s="3">
        <v>5</v>
      </c>
      <c r="AG40" s="3">
        <v>37</v>
      </c>
      <c r="AH40" s="3">
        <v>1</v>
      </c>
      <c r="AI40" s="3">
        <v>10</v>
      </c>
      <c r="AJ40" s="3">
        <v>1</v>
      </c>
      <c r="AK40" s="3">
        <v>8</v>
      </c>
      <c r="AL40" s="3">
        <v>2</v>
      </c>
      <c r="AM40" s="3">
        <v>9</v>
      </c>
      <c r="AN40" s="3">
        <v>0</v>
      </c>
      <c r="AO40" s="3">
        <v>13</v>
      </c>
      <c r="AP40" s="3">
        <v>1</v>
      </c>
      <c r="AQ40" s="3">
        <v>2</v>
      </c>
      <c r="AR40" s="2" t="s">
        <v>5</v>
      </c>
      <c r="AS40" s="2" t="s">
        <v>90</v>
      </c>
      <c r="AT40" s="5" t="str">
        <f>HYPERLINK("http://catalog.hathitrust.org/Record/004370063","HathiTrust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HYPERLINK("https://creighton-primo.hosted.exlibrisgroup.com/primo-explore/search?tab=default_tab&amp;search_scope=EVERYTHING&amp;vid=01CRU&amp;lang=en_US&amp;offset=0&amp;query=any,contains,991000370169702656","Catalog Record")</f>
        <v>Catalog Record</v>
      </c>
      <c r="AV40" s="5" t="str">
        <f>HYPERLINK("http://www.worldcat.org/oclc/55037551","WorldCat Record")</f>
        <v>WorldCat Record</v>
      </c>
      <c r="AW40" s="2" t="s">
        <v>570</v>
      </c>
      <c r="AX40" s="2" t="s">
        <v>571</v>
      </c>
      <c r="AY40" s="2" t="s">
        <v>572</v>
      </c>
      <c r="AZ40" s="2" t="s">
        <v>572</v>
      </c>
      <c r="BA40" s="2" t="s">
        <v>573</v>
      </c>
      <c r="BB40" s="2" t="s">
        <v>19</v>
      </c>
      <c r="BD40" s="2" t="s">
        <v>574</v>
      </c>
      <c r="BE40" s="2" t="s">
        <v>575</v>
      </c>
      <c r="BF40" s="2" t="s">
        <v>576</v>
      </c>
    </row>
    <row r="41" spans="1:58" ht="50.25" customHeight="1" x14ac:dyDescent="0.25">
      <c r="A41" s="8" t="s">
        <v>5</v>
      </c>
      <c r="B41" s="1" t="s">
        <v>0</v>
      </c>
      <c r="C41" s="1" t="s">
        <v>1</v>
      </c>
      <c r="D41" s="1" t="s">
        <v>577</v>
      </c>
      <c r="E41" s="1" t="s">
        <v>578</v>
      </c>
      <c r="F41" s="1" t="s">
        <v>579</v>
      </c>
      <c r="H41" s="2" t="s">
        <v>5</v>
      </c>
      <c r="I41" s="2" t="s">
        <v>6</v>
      </c>
      <c r="J41" s="2" t="s">
        <v>5</v>
      </c>
      <c r="K41" s="2" t="s">
        <v>5</v>
      </c>
      <c r="L41" s="2" t="s">
        <v>7</v>
      </c>
      <c r="N41" s="1" t="s">
        <v>580</v>
      </c>
      <c r="O41" s="2" t="s">
        <v>389</v>
      </c>
      <c r="Q41" s="2" t="s">
        <v>10</v>
      </c>
      <c r="R41" s="2" t="s">
        <v>581</v>
      </c>
      <c r="T41" s="2" t="s">
        <v>12</v>
      </c>
      <c r="U41" s="3">
        <v>0</v>
      </c>
      <c r="V41" s="3">
        <v>0</v>
      </c>
      <c r="W41" s="4" t="s">
        <v>582</v>
      </c>
      <c r="X41" s="4" t="s">
        <v>582</v>
      </c>
      <c r="Y41" s="4" t="s">
        <v>583</v>
      </c>
      <c r="Z41" s="4" t="s">
        <v>583</v>
      </c>
      <c r="AA41" s="3">
        <v>134</v>
      </c>
      <c r="AB41" s="3">
        <v>82</v>
      </c>
      <c r="AC41" s="3">
        <v>133</v>
      </c>
      <c r="AD41" s="3">
        <v>2</v>
      </c>
      <c r="AE41" s="3">
        <v>2</v>
      </c>
      <c r="AF41" s="3">
        <v>3</v>
      </c>
      <c r="AG41" s="3">
        <v>3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0</v>
      </c>
      <c r="AQ41" s="3">
        <v>0</v>
      </c>
      <c r="AR41" s="2" t="s">
        <v>5</v>
      </c>
      <c r="AS41" s="2" t="s">
        <v>5</v>
      </c>
      <c r="AU41" s="5" t="str">
        <f>HYPERLINK("https://creighton-primo.hosted.exlibrisgroup.com/primo-explore/search?tab=default_tab&amp;search_scope=EVERYTHING&amp;vid=01CRU&amp;lang=en_US&amp;offset=0&amp;query=any,contains,991000393699702656","Catalog Record")</f>
        <v>Catalog Record</v>
      </c>
      <c r="AV41" s="5" t="str">
        <f>HYPERLINK("http://www.worldcat.org/oclc/48817698","WorldCat Record")</f>
        <v>WorldCat Record</v>
      </c>
      <c r="AW41" s="2" t="s">
        <v>584</v>
      </c>
      <c r="AX41" s="2" t="s">
        <v>585</v>
      </c>
      <c r="AY41" s="2" t="s">
        <v>586</v>
      </c>
      <c r="AZ41" s="2" t="s">
        <v>586</v>
      </c>
      <c r="BA41" s="2" t="s">
        <v>587</v>
      </c>
      <c r="BB41" s="2" t="s">
        <v>19</v>
      </c>
      <c r="BD41" s="2" t="s">
        <v>588</v>
      </c>
      <c r="BE41" s="2" t="s">
        <v>589</v>
      </c>
      <c r="BF41" s="2" t="s">
        <v>590</v>
      </c>
    </row>
    <row r="42" spans="1:58" ht="50.25" customHeight="1" x14ac:dyDescent="0.25">
      <c r="A42" s="8" t="s">
        <v>5</v>
      </c>
      <c r="B42" s="1" t="s">
        <v>0</v>
      </c>
      <c r="C42" s="1" t="s">
        <v>1</v>
      </c>
      <c r="D42" s="1" t="s">
        <v>591</v>
      </c>
      <c r="E42" s="1" t="s">
        <v>592</v>
      </c>
      <c r="F42" s="1" t="s">
        <v>593</v>
      </c>
      <c r="H42" s="2" t="s">
        <v>5</v>
      </c>
      <c r="I42" s="2" t="s">
        <v>6</v>
      </c>
      <c r="J42" s="2" t="s">
        <v>5</v>
      </c>
      <c r="K42" s="2" t="s">
        <v>5</v>
      </c>
      <c r="L42" s="2" t="s">
        <v>7</v>
      </c>
      <c r="M42" s="1" t="s">
        <v>594</v>
      </c>
      <c r="N42" s="1" t="s">
        <v>595</v>
      </c>
      <c r="O42" s="2" t="s">
        <v>596</v>
      </c>
      <c r="Q42" s="2" t="s">
        <v>10</v>
      </c>
      <c r="R42" s="2" t="s">
        <v>29</v>
      </c>
      <c r="T42" s="2" t="s">
        <v>12</v>
      </c>
      <c r="U42" s="3">
        <v>2</v>
      </c>
      <c r="V42" s="3">
        <v>2</v>
      </c>
      <c r="W42" s="4" t="s">
        <v>597</v>
      </c>
      <c r="X42" s="4" t="s">
        <v>597</v>
      </c>
      <c r="Y42" s="4" t="s">
        <v>598</v>
      </c>
      <c r="Z42" s="4" t="s">
        <v>598</v>
      </c>
      <c r="AA42" s="3">
        <v>217</v>
      </c>
      <c r="AB42" s="3">
        <v>182</v>
      </c>
      <c r="AC42" s="3">
        <v>184</v>
      </c>
      <c r="AD42" s="3">
        <v>1</v>
      </c>
      <c r="AE42" s="3">
        <v>1</v>
      </c>
      <c r="AF42" s="3">
        <v>6</v>
      </c>
      <c r="AG42" s="3">
        <v>6</v>
      </c>
      <c r="AH42" s="3">
        <v>2</v>
      </c>
      <c r="AI42" s="3">
        <v>2</v>
      </c>
      <c r="AJ42" s="3">
        <v>2</v>
      </c>
      <c r="AK42" s="3">
        <v>2</v>
      </c>
      <c r="AL42" s="3">
        <v>4</v>
      </c>
      <c r="AM42" s="3">
        <v>4</v>
      </c>
      <c r="AN42" s="3">
        <v>0</v>
      </c>
      <c r="AO42" s="3">
        <v>0</v>
      </c>
      <c r="AP42" s="3">
        <v>0</v>
      </c>
      <c r="AQ42" s="3">
        <v>0</v>
      </c>
      <c r="AR42" s="2" t="s">
        <v>5</v>
      </c>
      <c r="AS42" s="2" t="s">
        <v>90</v>
      </c>
      <c r="AT42" s="5" t="str">
        <f>HYPERLINK("http://catalog.hathitrust.org/Record/000810021","HathiTrust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HYPERLINK("https://creighton-primo.hosted.exlibrisgroup.com/primo-explore/search?tab=default_tab&amp;search_scope=EVERYTHING&amp;vid=01CRU&amp;lang=en_US&amp;offset=0&amp;query=any,contains,991001375759702656","Catalog Record")</f>
        <v>Catalog Record</v>
      </c>
      <c r="AV42" s="5" t="str">
        <f>HYPERLINK("http://www.worldcat.org/oclc/14214741","WorldCat Record")</f>
        <v>WorldCat Record</v>
      </c>
      <c r="AW42" s="2" t="s">
        <v>599</v>
      </c>
      <c r="AX42" s="2" t="s">
        <v>600</v>
      </c>
      <c r="AY42" s="2" t="s">
        <v>601</v>
      </c>
      <c r="AZ42" s="2" t="s">
        <v>601</v>
      </c>
      <c r="BA42" s="2" t="s">
        <v>602</v>
      </c>
      <c r="BB42" s="2" t="s">
        <v>19</v>
      </c>
      <c r="BE42" s="2" t="s">
        <v>603</v>
      </c>
      <c r="BF42" s="2" t="s">
        <v>604</v>
      </c>
    </row>
    <row r="43" spans="1:58" ht="50.25" customHeight="1" x14ac:dyDescent="0.25">
      <c r="A43" s="8" t="s">
        <v>5</v>
      </c>
      <c r="B43" s="1" t="s">
        <v>0</v>
      </c>
      <c r="C43" s="1" t="s">
        <v>1</v>
      </c>
      <c r="D43" s="1" t="s">
        <v>605</v>
      </c>
      <c r="E43" s="1" t="s">
        <v>606</v>
      </c>
      <c r="F43" s="1" t="s">
        <v>607</v>
      </c>
      <c r="H43" s="2" t="s">
        <v>5</v>
      </c>
      <c r="I43" s="2" t="s">
        <v>6</v>
      </c>
      <c r="J43" s="2" t="s">
        <v>5</v>
      </c>
      <c r="K43" s="2" t="s">
        <v>5</v>
      </c>
      <c r="L43" s="2" t="s">
        <v>7</v>
      </c>
      <c r="M43" s="1" t="s">
        <v>608</v>
      </c>
      <c r="N43" s="1" t="s">
        <v>609</v>
      </c>
      <c r="O43" s="2" t="s">
        <v>274</v>
      </c>
      <c r="Q43" s="2" t="s">
        <v>10</v>
      </c>
      <c r="R43" s="2" t="s">
        <v>77</v>
      </c>
      <c r="T43" s="2" t="s">
        <v>12</v>
      </c>
      <c r="U43" s="3">
        <v>8</v>
      </c>
      <c r="V43" s="3">
        <v>8</v>
      </c>
      <c r="W43" s="4" t="s">
        <v>610</v>
      </c>
      <c r="X43" s="4" t="s">
        <v>610</v>
      </c>
      <c r="Y43" s="4" t="s">
        <v>611</v>
      </c>
      <c r="Z43" s="4" t="s">
        <v>611</v>
      </c>
      <c r="AA43" s="3">
        <v>260</v>
      </c>
      <c r="AB43" s="3">
        <v>99</v>
      </c>
      <c r="AC43" s="3">
        <v>107</v>
      </c>
      <c r="AD43" s="3">
        <v>1</v>
      </c>
      <c r="AE43" s="3">
        <v>1</v>
      </c>
      <c r="AF43" s="3">
        <v>6</v>
      </c>
      <c r="AG43" s="3">
        <v>6</v>
      </c>
      <c r="AH43" s="3">
        <v>1</v>
      </c>
      <c r="AI43" s="3">
        <v>1</v>
      </c>
      <c r="AJ43" s="3">
        <v>5</v>
      </c>
      <c r="AK43" s="3">
        <v>5</v>
      </c>
      <c r="AL43" s="3">
        <v>3</v>
      </c>
      <c r="AM43" s="3">
        <v>3</v>
      </c>
      <c r="AN43" s="3">
        <v>0</v>
      </c>
      <c r="AO43" s="3">
        <v>0</v>
      </c>
      <c r="AP43" s="3">
        <v>0</v>
      </c>
      <c r="AQ43" s="3">
        <v>0</v>
      </c>
      <c r="AR43" s="2" t="s">
        <v>5</v>
      </c>
      <c r="AS43" s="2" t="s">
        <v>90</v>
      </c>
      <c r="AT43" s="5" t="str">
        <f>HYPERLINK("http://catalog.hathitrust.org/Record/007987665","HathiTrust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HYPERLINK("https://creighton-primo.hosted.exlibrisgroup.com/primo-explore/search?tab=default_tab&amp;search_scope=EVERYTHING&amp;vid=01CRU&amp;lang=en_US&amp;offset=0&amp;query=any,contains,991001432059702656","Catalog Record")</f>
        <v>Catalog Record</v>
      </c>
      <c r="AV43" s="5" t="str">
        <f>HYPERLINK("http://www.worldcat.org/oclc/23971319","WorldCat Record")</f>
        <v>WorldCat Record</v>
      </c>
      <c r="AW43" s="2" t="s">
        <v>612</v>
      </c>
      <c r="AX43" s="2" t="s">
        <v>613</v>
      </c>
      <c r="AY43" s="2" t="s">
        <v>614</v>
      </c>
      <c r="AZ43" s="2" t="s">
        <v>614</v>
      </c>
      <c r="BA43" s="2" t="s">
        <v>615</v>
      </c>
      <c r="BB43" s="2" t="s">
        <v>19</v>
      </c>
      <c r="BD43" s="2" t="s">
        <v>616</v>
      </c>
      <c r="BE43" s="2" t="s">
        <v>617</v>
      </c>
      <c r="BF43" s="2" t="s">
        <v>618</v>
      </c>
    </row>
    <row r="44" spans="1:58" ht="50.25" customHeight="1" x14ac:dyDescent="0.25">
      <c r="A44" s="8" t="s">
        <v>5</v>
      </c>
      <c r="B44" s="1" t="s">
        <v>0</v>
      </c>
      <c r="C44" s="1" t="s">
        <v>1</v>
      </c>
      <c r="D44" s="1" t="s">
        <v>619</v>
      </c>
      <c r="E44" s="1" t="s">
        <v>620</v>
      </c>
      <c r="F44" s="1" t="s">
        <v>621</v>
      </c>
      <c r="H44" s="2" t="s">
        <v>5</v>
      </c>
      <c r="I44" s="2" t="s">
        <v>6</v>
      </c>
      <c r="J44" s="2" t="s">
        <v>5</v>
      </c>
      <c r="K44" s="2" t="s">
        <v>5</v>
      </c>
      <c r="L44" s="2" t="s">
        <v>7</v>
      </c>
      <c r="M44" s="1" t="s">
        <v>622</v>
      </c>
      <c r="N44" s="1" t="s">
        <v>623</v>
      </c>
      <c r="O44" s="2" t="s">
        <v>389</v>
      </c>
      <c r="Q44" s="2" t="s">
        <v>10</v>
      </c>
      <c r="R44" s="2" t="s">
        <v>45</v>
      </c>
      <c r="T44" s="2" t="s">
        <v>12</v>
      </c>
      <c r="U44" s="3">
        <v>10</v>
      </c>
      <c r="V44" s="3">
        <v>10</v>
      </c>
      <c r="W44" s="4" t="s">
        <v>624</v>
      </c>
      <c r="X44" s="4" t="s">
        <v>624</v>
      </c>
      <c r="Y44" s="4" t="s">
        <v>625</v>
      </c>
      <c r="Z44" s="4" t="s">
        <v>625</v>
      </c>
      <c r="AA44" s="3">
        <v>300</v>
      </c>
      <c r="AB44" s="3">
        <v>243</v>
      </c>
      <c r="AC44" s="3">
        <v>381</v>
      </c>
      <c r="AD44" s="3">
        <v>3</v>
      </c>
      <c r="AE44" s="3">
        <v>3</v>
      </c>
      <c r="AF44" s="3">
        <v>10</v>
      </c>
      <c r="AG44" s="3">
        <v>13</v>
      </c>
      <c r="AH44" s="3">
        <v>3</v>
      </c>
      <c r="AI44" s="3">
        <v>6</v>
      </c>
      <c r="AJ44" s="3">
        <v>3</v>
      </c>
      <c r="AK44" s="3">
        <v>3</v>
      </c>
      <c r="AL44" s="3">
        <v>5</v>
      </c>
      <c r="AM44" s="3">
        <v>5</v>
      </c>
      <c r="AN44" s="3">
        <v>2</v>
      </c>
      <c r="AO44" s="3">
        <v>2</v>
      </c>
      <c r="AP44" s="3">
        <v>0</v>
      </c>
      <c r="AQ44" s="3">
        <v>0</v>
      </c>
      <c r="AR44" s="2" t="s">
        <v>5</v>
      </c>
      <c r="AS44" s="2" t="s">
        <v>90</v>
      </c>
      <c r="AT44" s="5" t="str">
        <f>HYPERLINK("http://catalog.hathitrust.org/Record/004220421","HathiTrust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HYPERLINK("https://creighton-primo.hosted.exlibrisgroup.com/primo-explore/search?tab=default_tab&amp;search_scope=EVERYTHING&amp;vid=01CRU&amp;lang=en_US&amp;offset=0&amp;query=any,contains,991000304009702656","Catalog Record")</f>
        <v>Catalog Record</v>
      </c>
      <c r="AV44" s="5" t="str">
        <f>HYPERLINK("http://www.worldcat.org/oclc/47013229","WorldCat Record")</f>
        <v>WorldCat Record</v>
      </c>
      <c r="AW44" s="2" t="s">
        <v>626</v>
      </c>
      <c r="AX44" s="2" t="s">
        <v>627</v>
      </c>
      <c r="AY44" s="2" t="s">
        <v>628</v>
      </c>
      <c r="AZ44" s="2" t="s">
        <v>628</v>
      </c>
      <c r="BA44" s="2" t="s">
        <v>629</v>
      </c>
      <c r="BB44" s="2" t="s">
        <v>19</v>
      </c>
      <c r="BD44" s="2" t="s">
        <v>630</v>
      </c>
      <c r="BE44" s="2" t="s">
        <v>631</v>
      </c>
      <c r="BF44" s="2" t="s">
        <v>632</v>
      </c>
    </row>
    <row r="45" spans="1:58" ht="50.25" customHeight="1" x14ac:dyDescent="0.25">
      <c r="A45" s="8" t="s">
        <v>5</v>
      </c>
      <c r="B45" s="1" t="s">
        <v>0</v>
      </c>
      <c r="C45" s="1" t="s">
        <v>1</v>
      </c>
      <c r="D45" s="1" t="s">
        <v>633</v>
      </c>
      <c r="E45" s="1" t="s">
        <v>634</v>
      </c>
      <c r="F45" s="1" t="s">
        <v>635</v>
      </c>
      <c r="H45" s="2" t="s">
        <v>5</v>
      </c>
      <c r="I45" s="2" t="s">
        <v>6</v>
      </c>
      <c r="J45" s="2" t="s">
        <v>5</v>
      </c>
      <c r="K45" s="2" t="s">
        <v>5</v>
      </c>
      <c r="L45" s="2" t="s">
        <v>7</v>
      </c>
      <c r="N45" s="1" t="s">
        <v>636</v>
      </c>
      <c r="O45" s="2" t="s">
        <v>637</v>
      </c>
      <c r="Q45" s="2" t="s">
        <v>10</v>
      </c>
      <c r="R45" s="2" t="s">
        <v>11</v>
      </c>
      <c r="T45" s="2" t="s">
        <v>12</v>
      </c>
      <c r="U45" s="3">
        <v>7</v>
      </c>
      <c r="V45" s="3">
        <v>7</v>
      </c>
      <c r="W45" s="4" t="s">
        <v>638</v>
      </c>
      <c r="X45" s="4" t="s">
        <v>638</v>
      </c>
      <c r="Y45" s="4" t="s">
        <v>639</v>
      </c>
      <c r="Z45" s="4" t="s">
        <v>639</v>
      </c>
      <c r="AA45" s="3">
        <v>437</v>
      </c>
      <c r="AB45" s="3">
        <v>319</v>
      </c>
      <c r="AC45" s="3">
        <v>335</v>
      </c>
      <c r="AD45" s="3">
        <v>4</v>
      </c>
      <c r="AE45" s="3">
        <v>4</v>
      </c>
      <c r="AF45" s="3">
        <v>17</v>
      </c>
      <c r="AG45" s="3">
        <v>19</v>
      </c>
      <c r="AH45" s="3">
        <v>7</v>
      </c>
      <c r="AI45" s="3">
        <v>8</v>
      </c>
      <c r="AJ45" s="3">
        <v>3</v>
      </c>
      <c r="AK45" s="3">
        <v>4</v>
      </c>
      <c r="AL45" s="3">
        <v>7</v>
      </c>
      <c r="AM45" s="3">
        <v>7</v>
      </c>
      <c r="AN45" s="3">
        <v>3</v>
      </c>
      <c r="AO45" s="3">
        <v>3</v>
      </c>
      <c r="AP45" s="3">
        <v>1</v>
      </c>
      <c r="AQ45" s="3">
        <v>1</v>
      </c>
      <c r="AR45" s="2" t="s">
        <v>5</v>
      </c>
      <c r="AS45" s="2" t="s">
        <v>90</v>
      </c>
      <c r="AT45" s="5" t="str">
        <f>HYPERLINK("http://catalog.hathitrust.org/Record/000226387","HathiTrust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HYPERLINK("https://creighton-primo.hosted.exlibrisgroup.com/primo-explore/search?tab=default_tab&amp;search_scope=EVERYTHING&amp;vid=01CRU&amp;lang=en_US&amp;offset=0&amp;query=any,contains,991000902419702656","Catalog Record")</f>
        <v>Catalog Record</v>
      </c>
      <c r="AV45" s="5" t="str">
        <f>HYPERLINK("http://www.worldcat.org/oclc/3627806","WorldCat Record")</f>
        <v>WorldCat Record</v>
      </c>
      <c r="AW45" s="2" t="s">
        <v>640</v>
      </c>
      <c r="AX45" s="2" t="s">
        <v>641</v>
      </c>
      <c r="AY45" s="2" t="s">
        <v>642</v>
      </c>
      <c r="AZ45" s="2" t="s">
        <v>642</v>
      </c>
      <c r="BA45" s="2" t="s">
        <v>643</v>
      </c>
      <c r="BB45" s="2" t="s">
        <v>19</v>
      </c>
      <c r="BD45" s="2" t="s">
        <v>644</v>
      </c>
      <c r="BE45" s="2" t="s">
        <v>645</v>
      </c>
      <c r="BF45" s="2" t="s">
        <v>646</v>
      </c>
    </row>
    <row r="46" spans="1:58" ht="50.25" customHeight="1" x14ac:dyDescent="0.25">
      <c r="A46" s="8" t="s">
        <v>5</v>
      </c>
      <c r="B46" s="1" t="s">
        <v>0</v>
      </c>
      <c r="C46" s="1" t="s">
        <v>1</v>
      </c>
      <c r="D46" s="1" t="s">
        <v>647</v>
      </c>
      <c r="E46" s="1" t="s">
        <v>648</v>
      </c>
      <c r="F46" s="1" t="s">
        <v>649</v>
      </c>
      <c r="H46" s="2" t="s">
        <v>5</v>
      </c>
      <c r="I46" s="2" t="s">
        <v>6</v>
      </c>
      <c r="J46" s="2" t="s">
        <v>90</v>
      </c>
      <c r="K46" s="2" t="s">
        <v>5</v>
      </c>
      <c r="L46" s="2" t="s">
        <v>7</v>
      </c>
      <c r="M46" s="1" t="s">
        <v>650</v>
      </c>
      <c r="N46" s="1" t="s">
        <v>651</v>
      </c>
      <c r="O46" s="2" t="s">
        <v>9</v>
      </c>
      <c r="Q46" s="2" t="s">
        <v>10</v>
      </c>
      <c r="R46" s="2" t="s">
        <v>11</v>
      </c>
      <c r="T46" s="2" t="s">
        <v>12</v>
      </c>
      <c r="U46" s="3">
        <v>10</v>
      </c>
      <c r="V46" s="3">
        <v>11</v>
      </c>
      <c r="W46" s="4" t="s">
        <v>652</v>
      </c>
      <c r="X46" s="4" t="s">
        <v>653</v>
      </c>
      <c r="Y46" s="4" t="s">
        <v>654</v>
      </c>
      <c r="Z46" s="4" t="s">
        <v>653</v>
      </c>
      <c r="AA46" s="3">
        <v>274</v>
      </c>
      <c r="AB46" s="3">
        <v>205</v>
      </c>
      <c r="AC46" s="3">
        <v>210</v>
      </c>
      <c r="AD46" s="3">
        <v>4</v>
      </c>
      <c r="AE46" s="3">
        <v>4</v>
      </c>
      <c r="AF46" s="3">
        <v>16</v>
      </c>
      <c r="AG46" s="3">
        <v>16</v>
      </c>
      <c r="AH46" s="3">
        <v>5</v>
      </c>
      <c r="AI46" s="3">
        <v>5</v>
      </c>
      <c r="AJ46" s="3">
        <v>7</v>
      </c>
      <c r="AK46" s="3">
        <v>7</v>
      </c>
      <c r="AL46" s="3">
        <v>6</v>
      </c>
      <c r="AM46" s="3">
        <v>6</v>
      </c>
      <c r="AN46" s="3">
        <v>2</v>
      </c>
      <c r="AO46" s="3">
        <v>2</v>
      </c>
      <c r="AP46" s="3">
        <v>0</v>
      </c>
      <c r="AQ46" s="3">
        <v>0</v>
      </c>
      <c r="AR46" s="2" t="s">
        <v>5</v>
      </c>
      <c r="AS46" s="2" t="s">
        <v>5</v>
      </c>
      <c r="AU46" s="5" t="str">
        <f>HYPERLINK("https://creighton-primo.hosted.exlibrisgroup.com/primo-explore/search?tab=default_tab&amp;search_scope=EVERYTHING&amp;vid=01CRU&amp;lang=en_US&amp;offset=0&amp;query=any,contains,991001747139702656","Catalog Record")</f>
        <v>Catalog Record</v>
      </c>
      <c r="AV46" s="5" t="str">
        <f>HYPERLINK("http://www.worldcat.org/oclc/70929227","WorldCat Record")</f>
        <v>WorldCat Record</v>
      </c>
      <c r="AW46" s="2" t="s">
        <v>655</v>
      </c>
      <c r="AX46" s="2" t="s">
        <v>656</v>
      </c>
      <c r="AY46" s="2" t="s">
        <v>657</v>
      </c>
      <c r="AZ46" s="2" t="s">
        <v>657</v>
      </c>
      <c r="BA46" s="2" t="s">
        <v>658</v>
      </c>
      <c r="BB46" s="2" t="s">
        <v>19</v>
      </c>
      <c r="BD46" s="2" t="s">
        <v>659</v>
      </c>
      <c r="BE46" s="2" t="s">
        <v>660</v>
      </c>
      <c r="BF46" s="2" t="s">
        <v>661</v>
      </c>
    </row>
    <row r="47" spans="1:58" ht="50.25" customHeight="1" x14ac:dyDescent="0.25">
      <c r="A47" s="8" t="s">
        <v>5</v>
      </c>
      <c r="B47" s="1" t="s">
        <v>0</v>
      </c>
      <c r="C47" s="1" t="s">
        <v>1</v>
      </c>
      <c r="D47" s="1" t="s">
        <v>662</v>
      </c>
      <c r="E47" s="1" t="s">
        <v>663</v>
      </c>
      <c r="F47" s="1" t="s">
        <v>664</v>
      </c>
      <c r="H47" s="2" t="s">
        <v>5</v>
      </c>
      <c r="I47" s="2" t="s">
        <v>6</v>
      </c>
      <c r="J47" s="2" t="s">
        <v>5</v>
      </c>
      <c r="K47" s="2" t="s">
        <v>5</v>
      </c>
      <c r="L47" s="2" t="s">
        <v>7</v>
      </c>
      <c r="N47" s="1" t="s">
        <v>665</v>
      </c>
      <c r="O47" s="2" t="s">
        <v>109</v>
      </c>
      <c r="Q47" s="2" t="s">
        <v>10</v>
      </c>
      <c r="R47" s="2" t="s">
        <v>77</v>
      </c>
      <c r="S47" s="1" t="s">
        <v>666</v>
      </c>
      <c r="T47" s="2" t="s">
        <v>12</v>
      </c>
      <c r="U47" s="3">
        <v>1</v>
      </c>
      <c r="V47" s="3">
        <v>1</v>
      </c>
      <c r="W47" s="4" t="s">
        <v>667</v>
      </c>
      <c r="X47" s="4" t="s">
        <v>667</v>
      </c>
      <c r="Y47" s="4" t="s">
        <v>668</v>
      </c>
      <c r="Z47" s="4" t="s">
        <v>668</v>
      </c>
      <c r="AA47" s="3">
        <v>184</v>
      </c>
      <c r="AB47" s="3">
        <v>75</v>
      </c>
      <c r="AC47" s="3">
        <v>79</v>
      </c>
      <c r="AD47" s="3">
        <v>1</v>
      </c>
      <c r="AE47" s="3">
        <v>1</v>
      </c>
      <c r="AF47" s="3">
        <v>3</v>
      </c>
      <c r="AG47" s="3">
        <v>3</v>
      </c>
      <c r="AH47" s="3">
        <v>2</v>
      </c>
      <c r="AI47" s="3">
        <v>2</v>
      </c>
      <c r="AJ47" s="3">
        <v>1</v>
      </c>
      <c r="AK47" s="3">
        <v>1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2" t="s">
        <v>5</v>
      </c>
      <c r="AS47" s="2" t="s">
        <v>5</v>
      </c>
      <c r="AU47" s="5" t="str">
        <f>HYPERLINK("https://creighton-primo.hosted.exlibrisgroup.com/primo-explore/search?tab=default_tab&amp;search_scope=EVERYTHING&amp;vid=01CRU&amp;lang=en_US&amp;offset=0&amp;query=any,contains,991000379659702656","Catalog Record")</f>
        <v>Catalog Record</v>
      </c>
      <c r="AV47" s="5" t="str">
        <f>HYPERLINK("http://www.worldcat.org/oclc/52639252","WorldCat Record")</f>
        <v>WorldCat Record</v>
      </c>
      <c r="AW47" s="2" t="s">
        <v>669</v>
      </c>
      <c r="AX47" s="2" t="s">
        <v>670</v>
      </c>
      <c r="AY47" s="2" t="s">
        <v>671</v>
      </c>
      <c r="AZ47" s="2" t="s">
        <v>671</v>
      </c>
      <c r="BA47" s="2" t="s">
        <v>672</v>
      </c>
      <c r="BB47" s="2" t="s">
        <v>19</v>
      </c>
      <c r="BD47" s="2" t="s">
        <v>673</v>
      </c>
      <c r="BE47" s="2" t="s">
        <v>674</v>
      </c>
      <c r="BF47" s="2" t="s">
        <v>675</v>
      </c>
    </row>
    <row r="48" spans="1:58" ht="50.25" customHeight="1" x14ac:dyDescent="0.25">
      <c r="A48" s="8" t="s">
        <v>5</v>
      </c>
      <c r="B48" s="1" t="s">
        <v>0</v>
      </c>
      <c r="C48" s="1" t="s">
        <v>1</v>
      </c>
      <c r="D48" s="1" t="s">
        <v>676</v>
      </c>
      <c r="E48" s="1" t="s">
        <v>677</v>
      </c>
      <c r="F48" s="1" t="s">
        <v>678</v>
      </c>
      <c r="H48" s="2" t="s">
        <v>90</v>
      </c>
      <c r="I48" s="2" t="s">
        <v>6</v>
      </c>
      <c r="J48" s="2" t="s">
        <v>5</v>
      </c>
      <c r="K48" s="2" t="s">
        <v>5</v>
      </c>
      <c r="L48" s="2" t="s">
        <v>7</v>
      </c>
      <c r="N48" s="1" t="s">
        <v>679</v>
      </c>
      <c r="O48" s="2" t="s">
        <v>680</v>
      </c>
      <c r="P48" s="1" t="s">
        <v>568</v>
      </c>
      <c r="Q48" s="2" t="s">
        <v>10</v>
      </c>
      <c r="R48" s="2" t="s">
        <v>199</v>
      </c>
      <c r="T48" s="2" t="s">
        <v>12</v>
      </c>
      <c r="U48" s="3">
        <v>0</v>
      </c>
      <c r="V48" s="3">
        <v>0</v>
      </c>
      <c r="W48" s="4" t="s">
        <v>681</v>
      </c>
      <c r="X48" s="4" t="s">
        <v>681</v>
      </c>
      <c r="Y48" s="4" t="s">
        <v>681</v>
      </c>
      <c r="Z48" s="4" t="s">
        <v>681</v>
      </c>
      <c r="AA48" s="3">
        <v>473</v>
      </c>
      <c r="AB48" s="3">
        <v>409</v>
      </c>
      <c r="AC48" s="3">
        <v>412</v>
      </c>
      <c r="AD48" s="3">
        <v>3</v>
      </c>
      <c r="AE48" s="3">
        <v>3</v>
      </c>
      <c r="AF48" s="3">
        <v>21</v>
      </c>
      <c r="AG48" s="3">
        <v>21</v>
      </c>
      <c r="AH48" s="3">
        <v>9</v>
      </c>
      <c r="AI48" s="3">
        <v>9</v>
      </c>
      <c r="AJ48" s="3">
        <v>2</v>
      </c>
      <c r="AK48" s="3">
        <v>2</v>
      </c>
      <c r="AL48" s="3">
        <v>12</v>
      </c>
      <c r="AM48" s="3">
        <v>12</v>
      </c>
      <c r="AN48" s="3">
        <v>2</v>
      </c>
      <c r="AO48" s="3">
        <v>2</v>
      </c>
      <c r="AP48" s="3">
        <v>1</v>
      </c>
      <c r="AQ48" s="3">
        <v>1</v>
      </c>
      <c r="AR48" s="2" t="s">
        <v>5</v>
      </c>
      <c r="AS48" s="2" t="s">
        <v>90</v>
      </c>
      <c r="AT48" s="5" t="str">
        <f>HYPERLINK("http://catalog.hathitrust.org/Record/005071235","HathiTrust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HYPERLINK("https://creighton-primo.hosted.exlibrisgroup.com/primo-explore/search?tab=default_tab&amp;search_scope=EVERYTHING&amp;vid=01CRU&amp;lang=en_US&amp;offset=0&amp;query=any,contains,991000908029702656","Catalog Record")</f>
        <v>Catalog Record</v>
      </c>
      <c r="AV48" s="5" t="str">
        <f>HYPERLINK("http://www.worldcat.org/oclc/59148079","WorldCat Record")</f>
        <v>WorldCat Record</v>
      </c>
      <c r="AW48" s="2" t="s">
        <v>682</v>
      </c>
      <c r="AX48" s="2" t="s">
        <v>683</v>
      </c>
      <c r="AY48" s="2" t="s">
        <v>684</v>
      </c>
      <c r="AZ48" s="2" t="s">
        <v>684</v>
      </c>
      <c r="BA48" s="2" t="s">
        <v>685</v>
      </c>
      <c r="BB48" s="2" t="s">
        <v>19</v>
      </c>
      <c r="BD48" s="2" t="s">
        <v>686</v>
      </c>
      <c r="BE48" s="2" t="s">
        <v>687</v>
      </c>
      <c r="BF48" s="2" t="s">
        <v>688</v>
      </c>
    </row>
    <row r="49" spans="1:58" ht="50.25" customHeight="1" x14ac:dyDescent="0.25">
      <c r="A49" s="8" t="s">
        <v>5</v>
      </c>
      <c r="B49" s="1" t="s">
        <v>0</v>
      </c>
      <c r="C49" s="1" t="s">
        <v>1</v>
      </c>
      <c r="D49" s="1" t="s">
        <v>689</v>
      </c>
      <c r="E49" s="1" t="s">
        <v>690</v>
      </c>
      <c r="F49" s="1" t="s">
        <v>691</v>
      </c>
      <c r="H49" s="2" t="s">
        <v>5</v>
      </c>
      <c r="I49" s="2" t="s">
        <v>6</v>
      </c>
      <c r="J49" s="2" t="s">
        <v>5</v>
      </c>
      <c r="K49" s="2" t="s">
        <v>5</v>
      </c>
      <c r="L49" s="2" t="s">
        <v>6</v>
      </c>
      <c r="N49" s="1" t="s">
        <v>692</v>
      </c>
      <c r="O49" s="2" t="s">
        <v>9</v>
      </c>
      <c r="Q49" s="2" t="s">
        <v>10</v>
      </c>
      <c r="R49" s="2" t="s">
        <v>290</v>
      </c>
      <c r="S49" s="1" t="s">
        <v>693</v>
      </c>
      <c r="T49" s="2" t="s">
        <v>12</v>
      </c>
      <c r="U49" s="3">
        <v>4</v>
      </c>
      <c r="V49" s="3">
        <v>4</v>
      </c>
      <c r="W49" s="4" t="s">
        <v>694</v>
      </c>
      <c r="X49" s="4" t="s">
        <v>694</v>
      </c>
      <c r="Y49" s="4" t="s">
        <v>695</v>
      </c>
      <c r="Z49" s="4" t="s">
        <v>695</v>
      </c>
      <c r="AA49" s="3">
        <v>110</v>
      </c>
      <c r="AB49" s="3">
        <v>69</v>
      </c>
      <c r="AC49" s="3">
        <v>262</v>
      </c>
      <c r="AD49" s="3">
        <v>1</v>
      </c>
      <c r="AE49" s="3">
        <v>3</v>
      </c>
      <c r="AF49" s="3">
        <v>6</v>
      </c>
      <c r="AG49" s="3">
        <v>12</v>
      </c>
      <c r="AH49" s="3">
        <v>2</v>
      </c>
      <c r="AI49" s="3">
        <v>5</v>
      </c>
      <c r="AJ49" s="3">
        <v>2</v>
      </c>
      <c r="AK49" s="3">
        <v>3</v>
      </c>
      <c r="AL49" s="3">
        <v>6</v>
      </c>
      <c r="AM49" s="3">
        <v>10</v>
      </c>
      <c r="AN49" s="3">
        <v>0</v>
      </c>
      <c r="AO49" s="3">
        <v>1</v>
      </c>
      <c r="AP49" s="3">
        <v>0</v>
      </c>
      <c r="AQ49" s="3">
        <v>0</v>
      </c>
      <c r="AR49" s="2" t="s">
        <v>5</v>
      </c>
      <c r="AS49" s="2" t="s">
        <v>5</v>
      </c>
      <c r="AU49" s="5" t="str">
        <f>HYPERLINK("https://creighton-primo.hosted.exlibrisgroup.com/primo-explore/search?tab=default_tab&amp;search_scope=EVERYTHING&amp;vid=01CRU&amp;lang=en_US&amp;offset=0&amp;query=any,contains,991000547249702656","Catalog Record")</f>
        <v>Catalog Record</v>
      </c>
      <c r="AV49" s="5" t="str">
        <f>HYPERLINK("http://www.worldcat.org/oclc/69983230","WorldCat Record")</f>
        <v>WorldCat Record</v>
      </c>
      <c r="AW49" s="2" t="s">
        <v>696</v>
      </c>
      <c r="AX49" s="2" t="s">
        <v>697</v>
      </c>
      <c r="AY49" s="2" t="s">
        <v>698</v>
      </c>
      <c r="AZ49" s="2" t="s">
        <v>698</v>
      </c>
      <c r="BA49" s="2" t="s">
        <v>699</v>
      </c>
      <c r="BB49" s="2" t="s">
        <v>19</v>
      </c>
      <c r="BD49" s="2" t="s">
        <v>700</v>
      </c>
      <c r="BE49" s="2" t="s">
        <v>701</v>
      </c>
      <c r="BF49" s="2" t="s">
        <v>702</v>
      </c>
    </row>
    <row r="50" spans="1:58" ht="50.25" customHeight="1" x14ac:dyDescent="0.25">
      <c r="A50" s="8" t="s">
        <v>5</v>
      </c>
      <c r="B50" s="1" t="s">
        <v>0</v>
      </c>
      <c r="C50" s="1" t="s">
        <v>1</v>
      </c>
      <c r="D50" s="1" t="s">
        <v>703</v>
      </c>
      <c r="E50" s="1" t="s">
        <v>704</v>
      </c>
      <c r="F50" s="1" t="s">
        <v>705</v>
      </c>
      <c r="H50" s="2" t="s">
        <v>5</v>
      </c>
      <c r="I50" s="2" t="s">
        <v>6</v>
      </c>
      <c r="J50" s="2" t="s">
        <v>5</v>
      </c>
      <c r="K50" s="2" t="s">
        <v>5</v>
      </c>
      <c r="L50" s="2" t="s">
        <v>7</v>
      </c>
      <c r="N50" s="1" t="s">
        <v>706</v>
      </c>
      <c r="O50" s="2" t="s">
        <v>9</v>
      </c>
      <c r="Q50" s="2" t="s">
        <v>10</v>
      </c>
      <c r="R50" s="2" t="s">
        <v>11</v>
      </c>
      <c r="T50" s="2" t="s">
        <v>12</v>
      </c>
      <c r="U50" s="3">
        <v>1</v>
      </c>
      <c r="V50" s="3">
        <v>1</v>
      </c>
      <c r="W50" s="4" t="s">
        <v>707</v>
      </c>
      <c r="X50" s="4" t="s">
        <v>707</v>
      </c>
      <c r="Y50" s="4" t="s">
        <v>708</v>
      </c>
      <c r="Z50" s="4" t="s">
        <v>708</v>
      </c>
      <c r="AA50" s="3">
        <v>91</v>
      </c>
      <c r="AB50" s="3">
        <v>55</v>
      </c>
      <c r="AC50" s="3">
        <v>56</v>
      </c>
      <c r="AD50" s="3">
        <v>1</v>
      </c>
      <c r="AE50" s="3">
        <v>1</v>
      </c>
      <c r="AF50" s="3">
        <v>2</v>
      </c>
      <c r="AG50" s="3">
        <v>2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2" t="s">
        <v>5</v>
      </c>
      <c r="AS50" s="2" t="s">
        <v>90</v>
      </c>
      <c r="AT50" s="5" t="str">
        <f>HYPERLINK("http://catalog.hathitrust.org/Record/005421729","HathiTrust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HYPERLINK("https://creighton-primo.hosted.exlibrisgroup.com/primo-explore/search?tab=default_tab&amp;search_scope=EVERYTHING&amp;vid=01CRU&amp;lang=en_US&amp;offset=0&amp;query=any,contains,991000909129702656","Catalog Record")</f>
        <v>Catalog Record</v>
      </c>
      <c r="AV50" s="5" t="str">
        <f>HYPERLINK("http://www.worldcat.org/oclc/62878422","WorldCat Record")</f>
        <v>WorldCat Record</v>
      </c>
      <c r="AW50" s="2" t="s">
        <v>709</v>
      </c>
      <c r="AX50" s="2" t="s">
        <v>710</v>
      </c>
      <c r="AY50" s="2" t="s">
        <v>711</v>
      </c>
      <c r="AZ50" s="2" t="s">
        <v>711</v>
      </c>
      <c r="BA50" s="2" t="s">
        <v>712</v>
      </c>
      <c r="BB50" s="2" t="s">
        <v>19</v>
      </c>
      <c r="BD50" s="2" t="s">
        <v>713</v>
      </c>
      <c r="BE50" s="2" t="s">
        <v>714</v>
      </c>
      <c r="BF50" s="2" t="s">
        <v>715</v>
      </c>
    </row>
    <row r="51" spans="1:58" ht="50.25" customHeight="1" x14ac:dyDescent="0.25">
      <c r="A51" s="8" t="s">
        <v>5</v>
      </c>
      <c r="B51" s="1" t="s">
        <v>0</v>
      </c>
      <c r="C51" s="1" t="s">
        <v>1</v>
      </c>
      <c r="D51" s="1" t="s">
        <v>716</v>
      </c>
      <c r="E51" s="1" t="s">
        <v>717</v>
      </c>
      <c r="F51" s="1" t="s">
        <v>718</v>
      </c>
      <c r="H51" s="2" t="s">
        <v>5</v>
      </c>
      <c r="I51" s="2" t="s">
        <v>6</v>
      </c>
      <c r="J51" s="2" t="s">
        <v>90</v>
      </c>
      <c r="K51" s="2" t="s">
        <v>5</v>
      </c>
      <c r="L51" s="2" t="s">
        <v>7</v>
      </c>
      <c r="N51" s="1" t="s">
        <v>719</v>
      </c>
      <c r="O51" s="2" t="s">
        <v>169</v>
      </c>
      <c r="Q51" s="2" t="s">
        <v>10</v>
      </c>
      <c r="R51" s="2" t="s">
        <v>11</v>
      </c>
      <c r="T51" s="2" t="s">
        <v>12</v>
      </c>
      <c r="U51" s="3">
        <v>2</v>
      </c>
      <c r="V51" s="3">
        <v>2</v>
      </c>
      <c r="W51" s="4" t="s">
        <v>720</v>
      </c>
      <c r="X51" s="4" t="s">
        <v>720</v>
      </c>
      <c r="Y51" s="4" t="s">
        <v>721</v>
      </c>
      <c r="Z51" s="4" t="s">
        <v>721</v>
      </c>
      <c r="AA51" s="3">
        <v>160</v>
      </c>
      <c r="AB51" s="3">
        <v>159</v>
      </c>
      <c r="AC51" s="3">
        <v>159</v>
      </c>
      <c r="AD51" s="3">
        <v>2</v>
      </c>
      <c r="AE51" s="3">
        <v>2</v>
      </c>
      <c r="AF51" s="3">
        <v>15</v>
      </c>
      <c r="AG51" s="3">
        <v>15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0</v>
      </c>
      <c r="AO51" s="3">
        <v>0</v>
      </c>
      <c r="AP51" s="3">
        <v>14</v>
      </c>
      <c r="AQ51" s="3">
        <v>14</v>
      </c>
      <c r="AR51" s="2" t="s">
        <v>5</v>
      </c>
      <c r="AS51" s="2" t="s">
        <v>5</v>
      </c>
      <c r="AU51" s="5" t="str">
        <f>HYPERLINK("https://creighton-primo.hosted.exlibrisgroup.com/primo-explore/search?tab=default_tab&amp;search_scope=EVERYTHING&amp;vid=01CRU&amp;lang=en_US&amp;offset=0&amp;query=any,contains,991001677389702656","Catalog Record")</f>
        <v>Catalog Record</v>
      </c>
      <c r="AV51" s="5" t="str">
        <f>HYPERLINK("http://www.worldcat.org/oclc/38309869","WorldCat Record")</f>
        <v>WorldCat Record</v>
      </c>
      <c r="AW51" s="2" t="s">
        <v>722</v>
      </c>
      <c r="AX51" s="2" t="s">
        <v>723</v>
      </c>
      <c r="AY51" s="2" t="s">
        <v>724</v>
      </c>
      <c r="AZ51" s="2" t="s">
        <v>724</v>
      </c>
      <c r="BA51" s="2" t="s">
        <v>725</v>
      </c>
      <c r="BB51" s="2" t="s">
        <v>19</v>
      </c>
      <c r="BD51" s="2" t="s">
        <v>726</v>
      </c>
      <c r="BE51" s="2" t="s">
        <v>727</v>
      </c>
      <c r="BF51" s="2" t="s">
        <v>728</v>
      </c>
    </row>
    <row r="52" spans="1:58" ht="50.25" customHeight="1" x14ac:dyDescent="0.25">
      <c r="A52" s="8" t="s">
        <v>5</v>
      </c>
      <c r="B52" s="1" t="s">
        <v>0</v>
      </c>
      <c r="C52" s="1" t="s">
        <v>1</v>
      </c>
      <c r="D52" s="1" t="s">
        <v>729</v>
      </c>
      <c r="E52" s="1" t="s">
        <v>730</v>
      </c>
      <c r="F52" s="1" t="s">
        <v>731</v>
      </c>
      <c r="H52" s="2" t="s">
        <v>5</v>
      </c>
      <c r="I52" s="2" t="s">
        <v>6</v>
      </c>
      <c r="J52" s="2" t="s">
        <v>5</v>
      </c>
      <c r="K52" s="2" t="s">
        <v>5</v>
      </c>
      <c r="L52" s="2" t="s">
        <v>7</v>
      </c>
      <c r="M52" s="1" t="s">
        <v>608</v>
      </c>
      <c r="N52" s="1" t="s">
        <v>732</v>
      </c>
      <c r="O52" s="2" t="s">
        <v>213</v>
      </c>
      <c r="Q52" s="2" t="s">
        <v>10</v>
      </c>
      <c r="R52" s="2" t="s">
        <v>77</v>
      </c>
      <c r="T52" s="2" t="s">
        <v>12</v>
      </c>
      <c r="U52" s="3">
        <v>2</v>
      </c>
      <c r="V52" s="3">
        <v>2</v>
      </c>
      <c r="W52" s="4" t="s">
        <v>733</v>
      </c>
      <c r="X52" s="4" t="s">
        <v>733</v>
      </c>
      <c r="Y52" s="4" t="s">
        <v>611</v>
      </c>
      <c r="Z52" s="4" t="s">
        <v>611</v>
      </c>
      <c r="AA52" s="3">
        <v>181</v>
      </c>
      <c r="AB52" s="3">
        <v>75</v>
      </c>
      <c r="AC52" s="3">
        <v>76</v>
      </c>
      <c r="AD52" s="3">
        <v>1</v>
      </c>
      <c r="AE52" s="3">
        <v>1</v>
      </c>
      <c r="AF52" s="3">
        <v>3</v>
      </c>
      <c r="AG52" s="3">
        <v>3</v>
      </c>
      <c r="AH52" s="3">
        <v>0</v>
      </c>
      <c r="AI52" s="3">
        <v>0</v>
      </c>
      <c r="AJ52" s="3">
        <v>1</v>
      </c>
      <c r="AK52" s="3">
        <v>1</v>
      </c>
      <c r="AL52" s="3">
        <v>3</v>
      </c>
      <c r="AM52" s="3">
        <v>3</v>
      </c>
      <c r="AN52" s="3">
        <v>0</v>
      </c>
      <c r="AO52" s="3">
        <v>0</v>
      </c>
      <c r="AP52" s="3">
        <v>0</v>
      </c>
      <c r="AQ52" s="3">
        <v>0</v>
      </c>
      <c r="AR52" s="2" t="s">
        <v>5</v>
      </c>
      <c r="AS52" s="2" t="s">
        <v>5</v>
      </c>
      <c r="AU52" s="5" t="str">
        <f>HYPERLINK("https://creighton-primo.hosted.exlibrisgroup.com/primo-explore/search?tab=default_tab&amp;search_scope=EVERYTHING&amp;vid=01CRU&amp;lang=en_US&amp;offset=0&amp;query=any,contains,991001432039702656","Catalog Record")</f>
        <v>Catalog Record</v>
      </c>
      <c r="AV52" s="5" t="str">
        <f>HYPERLINK("http://www.worldcat.org/oclc/25050003","WorldCat Record")</f>
        <v>WorldCat Record</v>
      </c>
      <c r="AW52" s="2" t="s">
        <v>734</v>
      </c>
      <c r="AX52" s="2" t="s">
        <v>735</v>
      </c>
      <c r="AY52" s="2" t="s">
        <v>736</v>
      </c>
      <c r="AZ52" s="2" t="s">
        <v>736</v>
      </c>
      <c r="BA52" s="2" t="s">
        <v>737</v>
      </c>
      <c r="BB52" s="2" t="s">
        <v>19</v>
      </c>
      <c r="BD52" s="2" t="s">
        <v>738</v>
      </c>
      <c r="BE52" s="2" t="s">
        <v>739</v>
      </c>
      <c r="BF52" s="2" t="s">
        <v>740</v>
      </c>
    </row>
    <row r="53" spans="1:58" ht="50.25" customHeight="1" x14ac:dyDescent="0.25">
      <c r="A53" s="8" t="s">
        <v>5</v>
      </c>
      <c r="B53" s="1" t="s">
        <v>0</v>
      </c>
      <c r="C53" s="1" t="s">
        <v>1</v>
      </c>
      <c r="D53" s="1" t="s">
        <v>741</v>
      </c>
      <c r="E53" s="1" t="s">
        <v>742</v>
      </c>
      <c r="F53" s="1" t="s">
        <v>743</v>
      </c>
      <c r="H53" s="2" t="s">
        <v>5</v>
      </c>
      <c r="I53" s="2" t="s">
        <v>6</v>
      </c>
      <c r="J53" s="2" t="s">
        <v>5</v>
      </c>
      <c r="K53" s="2" t="s">
        <v>5</v>
      </c>
      <c r="L53" s="2" t="s">
        <v>7</v>
      </c>
      <c r="N53" s="1" t="s">
        <v>744</v>
      </c>
      <c r="O53" s="2" t="s">
        <v>109</v>
      </c>
      <c r="P53" s="1" t="s">
        <v>404</v>
      </c>
      <c r="Q53" s="2" t="s">
        <v>10</v>
      </c>
      <c r="R53" s="2" t="s">
        <v>110</v>
      </c>
      <c r="T53" s="2" t="s">
        <v>12</v>
      </c>
      <c r="U53" s="3">
        <v>0</v>
      </c>
      <c r="V53" s="3">
        <v>0</v>
      </c>
      <c r="W53" s="4" t="s">
        <v>745</v>
      </c>
      <c r="X53" s="4" t="s">
        <v>745</v>
      </c>
      <c r="Y53" s="4" t="s">
        <v>746</v>
      </c>
      <c r="Z53" s="4" t="s">
        <v>746</v>
      </c>
      <c r="AA53" s="3">
        <v>222</v>
      </c>
      <c r="AB53" s="3">
        <v>159</v>
      </c>
      <c r="AC53" s="3">
        <v>253</v>
      </c>
      <c r="AD53" s="3">
        <v>2</v>
      </c>
      <c r="AE53" s="3">
        <v>2</v>
      </c>
      <c r="AF53" s="3">
        <v>4</v>
      </c>
      <c r="AG53" s="3">
        <v>5</v>
      </c>
      <c r="AH53" s="3">
        <v>1</v>
      </c>
      <c r="AI53" s="3">
        <v>2</v>
      </c>
      <c r="AJ53" s="3">
        <v>2</v>
      </c>
      <c r="AK53" s="3">
        <v>2</v>
      </c>
      <c r="AL53" s="3">
        <v>1</v>
      </c>
      <c r="AM53" s="3">
        <v>1</v>
      </c>
      <c r="AN53" s="3">
        <v>1</v>
      </c>
      <c r="AO53" s="3">
        <v>1</v>
      </c>
      <c r="AP53" s="3">
        <v>0</v>
      </c>
      <c r="AQ53" s="3">
        <v>0</v>
      </c>
      <c r="AR53" s="2" t="s">
        <v>5</v>
      </c>
      <c r="AS53" s="2" t="s">
        <v>5</v>
      </c>
      <c r="AU53" s="5" t="str">
        <f>HYPERLINK("https://creighton-primo.hosted.exlibrisgroup.com/primo-explore/search?tab=default_tab&amp;search_scope=EVERYTHING&amp;vid=01CRU&amp;lang=en_US&amp;offset=0&amp;query=any,contains,991000364749702656","Catalog Record")</f>
        <v>Catalog Record</v>
      </c>
      <c r="AV53" s="5" t="str">
        <f>HYPERLINK("http://www.worldcat.org/oclc/50859183","WorldCat Record")</f>
        <v>WorldCat Record</v>
      </c>
      <c r="AW53" s="2" t="s">
        <v>747</v>
      </c>
      <c r="AX53" s="2" t="s">
        <v>748</v>
      </c>
      <c r="AY53" s="2" t="s">
        <v>749</v>
      </c>
      <c r="AZ53" s="2" t="s">
        <v>749</v>
      </c>
      <c r="BA53" s="2" t="s">
        <v>750</v>
      </c>
      <c r="BB53" s="2" t="s">
        <v>19</v>
      </c>
      <c r="BD53" s="2" t="s">
        <v>751</v>
      </c>
      <c r="BE53" s="2" t="s">
        <v>752</v>
      </c>
      <c r="BF53" s="2" t="s">
        <v>753</v>
      </c>
    </row>
    <row r="54" spans="1:58" ht="50.25" customHeight="1" x14ac:dyDescent="0.25">
      <c r="A54" s="8" t="s">
        <v>5</v>
      </c>
      <c r="B54" s="1" t="s">
        <v>0</v>
      </c>
      <c r="C54" s="1" t="s">
        <v>1</v>
      </c>
      <c r="D54" s="1" t="s">
        <v>754</v>
      </c>
      <c r="E54" s="1" t="s">
        <v>755</v>
      </c>
      <c r="F54" s="1" t="s">
        <v>756</v>
      </c>
      <c r="H54" s="2" t="s">
        <v>5</v>
      </c>
      <c r="I54" s="2" t="s">
        <v>6</v>
      </c>
      <c r="J54" s="2" t="s">
        <v>5</v>
      </c>
      <c r="K54" s="2" t="s">
        <v>5</v>
      </c>
      <c r="L54" s="2" t="s">
        <v>7</v>
      </c>
      <c r="N54" s="1" t="s">
        <v>757</v>
      </c>
      <c r="O54" s="2" t="s">
        <v>319</v>
      </c>
      <c r="Q54" s="2" t="s">
        <v>10</v>
      </c>
      <c r="R54" s="2" t="s">
        <v>29</v>
      </c>
      <c r="S54" s="1" t="s">
        <v>758</v>
      </c>
      <c r="T54" s="2" t="s">
        <v>12</v>
      </c>
      <c r="U54" s="3">
        <v>2</v>
      </c>
      <c r="V54" s="3">
        <v>2</v>
      </c>
      <c r="W54" s="4" t="s">
        <v>759</v>
      </c>
      <c r="X54" s="4" t="s">
        <v>759</v>
      </c>
      <c r="Y54" s="4" t="s">
        <v>760</v>
      </c>
      <c r="Z54" s="4" t="s">
        <v>760</v>
      </c>
      <c r="AA54" s="3">
        <v>433</v>
      </c>
      <c r="AB54" s="3">
        <v>388</v>
      </c>
      <c r="AC54" s="3">
        <v>558</v>
      </c>
      <c r="AD54" s="3">
        <v>2</v>
      </c>
      <c r="AE54" s="3">
        <v>2</v>
      </c>
      <c r="AF54" s="3">
        <v>8</v>
      </c>
      <c r="AG54" s="3">
        <v>9</v>
      </c>
      <c r="AH54" s="3">
        <v>0</v>
      </c>
      <c r="AI54" s="3">
        <v>0</v>
      </c>
      <c r="AJ54" s="3">
        <v>2</v>
      </c>
      <c r="AK54" s="3">
        <v>2</v>
      </c>
      <c r="AL54" s="3">
        <v>4</v>
      </c>
      <c r="AM54" s="3">
        <v>5</v>
      </c>
      <c r="AN54" s="3">
        <v>1</v>
      </c>
      <c r="AO54" s="3">
        <v>1</v>
      </c>
      <c r="AP54" s="3">
        <v>2</v>
      </c>
      <c r="AQ54" s="3">
        <v>2</v>
      </c>
      <c r="AR54" s="2" t="s">
        <v>5</v>
      </c>
      <c r="AS54" s="2" t="s">
        <v>90</v>
      </c>
      <c r="AT54" s="5" t="str">
        <f>HYPERLINK("http://catalog.hathitrust.org/Record/002620192","HathiTrust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HYPERLINK("https://creighton-primo.hosted.exlibrisgroup.com/primo-explore/search?tab=default_tab&amp;search_scope=EVERYTHING&amp;vid=01CRU&amp;lang=en_US&amp;offset=0&amp;query=any,contains,991001488089702656","Catalog Record")</f>
        <v>Catalog Record</v>
      </c>
      <c r="AV54" s="5" t="str">
        <f>HYPERLINK("http://www.worldcat.org/oclc/27179359","WorldCat Record")</f>
        <v>WorldCat Record</v>
      </c>
      <c r="AW54" s="2" t="s">
        <v>761</v>
      </c>
      <c r="AX54" s="2" t="s">
        <v>762</v>
      </c>
      <c r="AY54" s="2" t="s">
        <v>763</v>
      </c>
      <c r="AZ54" s="2" t="s">
        <v>763</v>
      </c>
      <c r="BA54" s="2" t="s">
        <v>764</v>
      </c>
      <c r="BB54" s="2" t="s">
        <v>19</v>
      </c>
      <c r="BE54" s="2" t="s">
        <v>765</v>
      </c>
      <c r="BF54" s="2" t="s">
        <v>766</v>
      </c>
    </row>
    <row r="55" spans="1:58" ht="50.25" customHeight="1" x14ac:dyDescent="0.25">
      <c r="A55" s="8" t="s">
        <v>5</v>
      </c>
      <c r="B55" s="1" t="s">
        <v>0</v>
      </c>
      <c r="C55" s="1" t="s">
        <v>1</v>
      </c>
      <c r="D55" s="1" t="s">
        <v>767</v>
      </c>
      <c r="E55" s="1" t="s">
        <v>768</v>
      </c>
      <c r="F55" s="1" t="s">
        <v>769</v>
      </c>
      <c r="H55" s="2" t="s">
        <v>5</v>
      </c>
      <c r="I55" s="2" t="s">
        <v>6</v>
      </c>
      <c r="J55" s="2" t="s">
        <v>5</v>
      </c>
      <c r="K55" s="2" t="s">
        <v>90</v>
      </c>
      <c r="L55" s="2" t="s">
        <v>770</v>
      </c>
      <c r="N55" s="1" t="s">
        <v>771</v>
      </c>
      <c r="O55" s="2" t="s">
        <v>349</v>
      </c>
      <c r="Q55" s="2" t="s">
        <v>10</v>
      </c>
      <c r="R55" s="2" t="s">
        <v>77</v>
      </c>
      <c r="T55" s="2" t="s">
        <v>12</v>
      </c>
      <c r="U55" s="3">
        <v>7</v>
      </c>
      <c r="V55" s="3">
        <v>7</v>
      </c>
      <c r="W55" s="4" t="s">
        <v>772</v>
      </c>
      <c r="X55" s="4" t="s">
        <v>772</v>
      </c>
      <c r="Y55" s="4" t="s">
        <v>364</v>
      </c>
      <c r="Z55" s="4" t="s">
        <v>364</v>
      </c>
      <c r="AA55" s="3">
        <v>250</v>
      </c>
      <c r="AB55" s="3">
        <v>124</v>
      </c>
      <c r="AC55" s="3">
        <v>1087</v>
      </c>
      <c r="AD55" s="3">
        <v>1</v>
      </c>
      <c r="AE55" s="3">
        <v>14</v>
      </c>
      <c r="AF55" s="3">
        <v>4</v>
      </c>
      <c r="AG55" s="3">
        <v>42</v>
      </c>
      <c r="AH55" s="3">
        <v>1</v>
      </c>
      <c r="AI55" s="3">
        <v>12</v>
      </c>
      <c r="AJ55" s="3">
        <v>0</v>
      </c>
      <c r="AK55" s="3">
        <v>9</v>
      </c>
      <c r="AL55" s="3">
        <v>3</v>
      </c>
      <c r="AM55" s="3">
        <v>13</v>
      </c>
      <c r="AN55" s="3">
        <v>0</v>
      </c>
      <c r="AO55" s="3">
        <v>12</v>
      </c>
      <c r="AP55" s="3">
        <v>0</v>
      </c>
      <c r="AQ55" s="3">
        <v>2</v>
      </c>
      <c r="AR55" s="2" t="s">
        <v>5</v>
      </c>
      <c r="AS55" s="2" t="s">
        <v>5</v>
      </c>
      <c r="AU55" s="5" t="str">
        <f>HYPERLINK("https://creighton-primo.hosted.exlibrisgroup.com/primo-explore/search?tab=default_tab&amp;search_scope=EVERYTHING&amp;vid=01CRU&amp;lang=en_US&amp;offset=0&amp;query=any,contains,991000320179702656","Catalog Record")</f>
        <v>Catalog Record</v>
      </c>
      <c r="AV55" s="5" t="str">
        <f>HYPERLINK("http://www.worldcat.org/oclc/47049955","WorldCat Record")</f>
        <v>WorldCat Record</v>
      </c>
      <c r="AW55" s="2" t="s">
        <v>773</v>
      </c>
      <c r="AX55" s="2" t="s">
        <v>774</v>
      </c>
      <c r="AY55" s="2" t="s">
        <v>775</v>
      </c>
      <c r="AZ55" s="2" t="s">
        <v>775</v>
      </c>
      <c r="BA55" s="2" t="s">
        <v>776</v>
      </c>
      <c r="BB55" s="2" t="s">
        <v>19</v>
      </c>
      <c r="BD55" s="2" t="s">
        <v>777</v>
      </c>
      <c r="BE55" s="2" t="s">
        <v>778</v>
      </c>
      <c r="BF55" s="2" t="s">
        <v>779</v>
      </c>
    </row>
    <row r="56" spans="1:58" ht="50.25" customHeight="1" x14ac:dyDescent="0.25">
      <c r="A56" s="8" t="s">
        <v>5</v>
      </c>
      <c r="B56" s="1" t="s">
        <v>0</v>
      </c>
      <c r="C56" s="1" t="s">
        <v>1</v>
      </c>
      <c r="D56" s="1" t="s">
        <v>780</v>
      </c>
      <c r="E56" s="1" t="s">
        <v>781</v>
      </c>
      <c r="F56" s="1" t="s">
        <v>782</v>
      </c>
      <c r="H56" s="2" t="s">
        <v>5</v>
      </c>
      <c r="I56" s="2" t="s">
        <v>6</v>
      </c>
      <c r="J56" s="2" t="s">
        <v>5</v>
      </c>
      <c r="K56" s="2" t="s">
        <v>5</v>
      </c>
      <c r="L56" s="2" t="s">
        <v>7</v>
      </c>
      <c r="N56" s="1" t="s">
        <v>783</v>
      </c>
      <c r="O56" s="2" t="s">
        <v>680</v>
      </c>
      <c r="Q56" s="2" t="s">
        <v>10</v>
      </c>
      <c r="R56" s="2" t="s">
        <v>45</v>
      </c>
      <c r="T56" s="2" t="s">
        <v>12</v>
      </c>
      <c r="U56" s="3">
        <v>3</v>
      </c>
      <c r="V56" s="3">
        <v>3</v>
      </c>
      <c r="W56" s="4" t="s">
        <v>784</v>
      </c>
      <c r="X56" s="4" t="s">
        <v>784</v>
      </c>
      <c r="Y56" s="4" t="s">
        <v>785</v>
      </c>
      <c r="Z56" s="4" t="s">
        <v>785</v>
      </c>
      <c r="AA56" s="3">
        <v>87</v>
      </c>
      <c r="AB56" s="3">
        <v>81</v>
      </c>
      <c r="AC56" s="3">
        <v>295</v>
      </c>
      <c r="AD56" s="3">
        <v>1</v>
      </c>
      <c r="AE56" s="3">
        <v>2</v>
      </c>
      <c r="AF56" s="3">
        <v>0</v>
      </c>
      <c r="AG56" s="3">
        <v>5</v>
      </c>
      <c r="AH56" s="3">
        <v>0</v>
      </c>
      <c r="AI56" s="3">
        <v>2</v>
      </c>
      <c r="AJ56" s="3">
        <v>0</v>
      </c>
      <c r="AK56" s="3">
        <v>0</v>
      </c>
      <c r="AL56" s="3">
        <v>0</v>
      </c>
      <c r="AM56" s="3">
        <v>2</v>
      </c>
      <c r="AN56" s="3">
        <v>0</v>
      </c>
      <c r="AO56" s="3">
        <v>1</v>
      </c>
      <c r="AP56" s="3">
        <v>0</v>
      </c>
      <c r="AQ56" s="3">
        <v>0</v>
      </c>
      <c r="AR56" s="2" t="s">
        <v>5</v>
      </c>
      <c r="AS56" s="2" t="s">
        <v>5</v>
      </c>
      <c r="AU56" s="5" t="str">
        <f>HYPERLINK("https://creighton-primo.hosted.exlibrisgroup.com/primo-explore/search?tab=default_tab&amp;search_scope=EVERYTHING&amp;vid=01CRU&amp;lang=en_US&amp;offset=0&amp;query=any,contains,991000533249702656","Catalog Record")</f>
        <v>Catalog Record</v>
      </c>
      <c r="AV56" s="5" t="str">
        <f>HYPERLINK("http://www.worldcat.org/oclc/68705547","WorldCat Record")</f>
        <v>WorldCat Record</v>
      </c>
      <c r="AW56" s="2" t="s">
        <v>786</v>
      </c>
      <c r="AX56" s="2" t="s">
        <v>787</v>
      </c>
      <c r="AY56" s="2" t="s">
        <v>788</v>
      </c>
      <c r="AZ56" s="2" t="s">
        <v>788</v>
      </c>
      <c r="BA56" s="2" t="s">
        <v>789</v>
      </c>
      <c r="BB56" s="2" t="s">
        <v>19</v>
      </c>
      <c r="BD56" s="2" t="s">
        <v>790</v>
      </c>
      <c r="BE56" s="2" t="s">
        <v>791</v>
      </c>
      <c r="BF56" s="2" t="s">
        <v>792</v>
      </c>
    </row>
    <row r="57" spans="1:58" ht="50.25" customHeight="1" x14ac:dyDescent="0.25">
      <c r="A57" s="8" t="s">
        <v>5</v>
      </c>
      <c r="B57" s="1" t="s">
        <v>0</v>
      </c>
      <c r="C57" s="1" t="s">
        <v>1</v>
      </c>
      <c r="D57" s="1" t="s">
        <v>793</v>
      </c>
      <c r="E57" s="1" t="s">
        <v>794</v>
      </c>
      <c r="F57" s="1" t="s">
        <v>795</v>
      </c>
      <c r="H57" s="2" t="s">
        <v>5</v>
      </c>
      <c r="I57" s="2" t="s">
        <v>6</v>
      </c>
      <c r="J57" s="2" t="s">
        <v>5</v>
      </c>
      <c r="K57" s="2" t="s">
        <v>5</v>
      </c>
      <c r="L57" s="2" t="s">
        <v>7</v>
      </c>
      <c r="N57" s="1" t="s">
        <v>796</v>
      </c>
      <c r="O57" s="2" t="s">
        <v>274</v>
      </c>
      <c r="Q57" s="2" t="s">
        <v>10</v>
      </c>
      <c r="R57" s="2" t="s">
        <v>29</v>
      </c>
      <c r="T57" s="2" t="s">
        <v>12</v>
      </c>
      <c r="U57" s="3">
        <v>48</v>
      </c>
      <c r="V57" s="3">
        <v>48</v>
      </c>
      <c r="W57" s="4" t="s">
        <v>797</v>
      </c>
      <c r="X57" s="4" t="s">
        <v>797</v>
      </c>
      <c r="Y57" s="4" t="s">
        <v>798</v>
      </c>
      <c r="Z57" s="4" t="s">
        <v>798</v>
      </c>
      <c r="AA57" s="3">
        <v>213</v>
      </c>
      <c r="AB57" s="3">
        <v>165</v>
      </c>
      <c r="AC57" s="3">
        <v>227</v>
      </c>
      <c r="AD57" s="3">
        <v>1</v>
      </c>
      <c r="AE57" s="3">
        <v>2</v>
      </c>
      <c r="AF57" s="3">
        <v>1</v>
      </c>
      <c r="AG57" s="3">
        <v>4</v>
      </c>
      <c r="AH57" s="3">
        <v>1</v>
      </c>
      <c r="AI57" s="3">
        <v>2</v>
      </c>
      <c r="AJ57" s="3">
        <v>0</v>
      </c>
      <c r="AK57" s="3">
        <v>1</v>
      </c>
      <c r="AL57" s="3">
        <v>1</v>
      </c>
      <c r="AM57" s="3">
        <v>2</v>
      </c>
      <c r="AN57" s="3">
        <v>0</v>
      </c>
      <c r="AO57" s="3">
        <v>1</v>
      </c>
      <c r="AP57" s="3">
        <v>0</v>
      </c>
      <c r="AQ57" s="3">
        <v>0</v>
      </c>
      <c r="AR57" s="2" t="s">
        <v>5</v>
      </c>
      <c r="AS57" s="2" t="s">
        <v>5</v>
      </c>
      <c r="AU57" s="5" t="str">
        <f>HYPERLINK("https://creighton-primo.hosted.exlibrisgroup.com/primo-explore/search?tab=default_tab&amp;search_scope=EVERYTHING&amp;vid=01CRU&amp;lang=en_US&amp;offset=0&amp;query=any,contains,991001486519702656","Catalog Record")</f>
        <v>Catalog Record</v>
      </c>
      <c r="AV57" s="5" t="str">
        <f>HYPERLINK("http://www.worldcat.org/oclc/28021134","WorldCat Record")</f>
        <v>WorldCat Record</v>
      </c>
      <c r="AW57" s="2" t="s">
        <v>799</v>
      </c>
      <c r="AX57" s="2" t="s">
        <v>800</v>
      </c>
      <c r="AY57" s="2" t="s">
        <v>801</v>
      </c>
      <c r="AZ57" s="2" t="s">
        <v>801</v>
      </c>
      <c r="BA57" s="2" t="s">
        <v>802</v>
      </c>
      <c r="BB57" s="2" t="s">
        <v>19</v>
      </c>
      <c r="BD57" s="2" t="s">
        <v>803</v>
      </c>
      <c r="BE57" s="2" t="s">
        <v>804</v>
      </c>
      <c r="BF57" s="2" t="s">
        <v>805</v>
      </c>
    </row>
    <row r="58" spans="1:58" ht="50.25" customHeight="1" x14ac:dyDescent="0.25">
      <c r="A58" s="8" t="s">
        <v>5</v>
      </c>
      <c r="B58" s="1" t="s">
        <v>0</v>
      </c>
      <c r="C58" s="1" t="s">
        <v>1</v>
      </c>
      <c r="D58" s="1" t="s">
        <v>806</v>
      </c>
      <c r="E58" s="1" t="s">
        <v>807</v>
      </c>
      <c r="F58" s="1" t="s">
        <v>808</v>
      </c>
      <c r="H58" s="2" t="s">
        <v>5</v>
      </c>
      <c r="I58" s="2" t="s">
        <v>6</v>
      </c>
      <c r="J58" s="2" t="s">
        <v>5</v>
      </c>
      <c r="K58" s="2" t="s">
        <v>5</v>
      </c>
      <c r="L58" s="2" t="s">
        <v>7</v>
      </c>
      <c r="N58" s="1" t="s">
        <v>809</v>
      </c>
      <c r="O58" s="2" t="s">
        <v>125</v>
      </c>
      <c r="Q58" s="2" t="s">
        <v>10</v>
      </c>
      <c r="R58" s="2" t="s">
        <v>110</v>
      </c>
      <c r="T58" s="2" t="s">
        <v>12</v>
      </c>
      <c r="U58" s="3">
        <v>7</v>
      </c>
      <c r="V58" s="3">
        <v>7</v>
      </c>
      <c r="W58" s="4" t="s">
        <v>810</v>
      </c>
      <c r="X58" s="4" t="s">
        <v>810</v>
      </c>
      <c r="Y58" s="4" t="s">
        <v>811</v>
      </c>
      <c r="Z58" s="4" t="s">
        <v>811</v>
      </c>
      <c r="AA58" s="3">
        <v>158</v>
      </c>
      <c r="AB58" s="3">
        <v>132</v>
      </c>
      <c r="AC58" s="3">
        <v>186</v>
      </c>
      <c r="AD58" s="3">
        <v>2</v>
      </c>
      <c r="AE58" s="3">
        <v>2</v>
      </c>
      <c r="AF58" s="3">
        <v>3</v>
      </c>
      <c r="AG58" s="3">
        <v>5</v>
      </c>
      <c r="AH58" s="3">
        <v>2</v>
      </c>
      <c r="AI58" s="3">
        <v>3</v>
      </c>
      <c r="AJ58" s="3">
        <v>0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0</v>
      </c>
      <c r="AQ58" s="3">
        <v>0</v>
      </c>
      <c r="AR58" s="2" t="s">
        <v>5</v>
      </c>
      <c r="AS58" s="2" t="s">
        <v>5</v>
      </c>
      <c r="AU58" s="5" t="str">
        <f>HYPERLINK("https://creighton-primo.hosted.exlibrisgroup.com/primo-explore/search?tab=default_tab&amp;search_scope=EVERYTHING&amp;vid=01CRU&amp;lang=en_US&amp;offset=0&amp;query=any,contains,991001552709702656","Catalog Record")</f>
        <v>Catalog Record</v>
      </c>
      <c r="AV58" s="5" t="str">
        <f>HYPERLINK("http://www.worldcat.org/oclc/34411058","WorldCat Record")</f>
        <v>WorldCat Record</v>
      </c>
      <c r="AW58" s="2" t="s">
        <v>812</v>
      </c>
      <c r="AX58" s="2" t="s">
        <v>813</v>
      </c>
      <c r="AY58" s="2" t="s">
        <v>814</v>
      </c>
      <c r="AZ58" s="2" t="s">
        <v>814</v>
      </c>
      <c r="BA58" s="2" t="s">
        <v>815</v>
      </c>
      <c r="BB58" s="2" t="s">
        <v>19</v>
      </c>
      <c r="BD58" s="2" t="s">
        <v>816</v>
      </c>
      <c r="BE58" s="2" t="s">
        <v>817</v>
      </c>
      <c r="BF58" s="2" t="s">
        <v>818</v>
      </c>
    </row>
    <row r="59" spans="1:58" ht="50.25" customHeight="1" x14ac:dyDescent="0.25">
      <c r="A59" s="8" t="s">
        <v>5</v>
      </c>
      <c r="B59" s="1" t="s">
        <v>0</v>
      </c>
      <c r="C59" s="1" t="s">
        <v>1</v>
      </c>
      <c r="D59" s="1" t="s">
        <v>819</v>
      </c>
      <c r="E59" s="1" t="s">
        <v>820</v>
      </c>
      <c r="F59" s="1" t="s">
        <v>821</v>
      </c>
      <c r="G59" s="2" t="s">
        <v>822</v>
      </c>
      <c r="H59" s="2" t="s">
        <v>90</v>
      </c>
      <c r="I59" s="2" t="s">
        <v>6</v>
      </c>
      <c r="J59" s="2" t="s">
        <v>5</v>
      </c>
      <c r="K59" s="2" t="s">
        <v>90</v>
      </c>
      <c r="L59" s="2" t="s">
        <v>7</v>
      </c>
      <c r="N59" s="1" t="s">
        <v>823</v>
      </c>
      <c r="O59" s="2" t="s">
        <v>155</v>
      </c>
      <c r="P59" s="1" t="s">
        <v>824</v>
      </c>
      <c r="Q59" s="2" t="s">
        <v>10</v>
      </c>
      <c r="R59" s="2" t="s">
        <v>77</v>
      </c>
      <c r="T59" s="2" t="s">
        <v>12</v>
      </c>
      <c r="U59" s="3">
        <v>2</v>
      </c>
      <c r="V59" s="3">
        <v>8</v>
      </c>
      <c r="W59" s="4" t="s">
        <v>825</v>
      </c>
      <c r="X59" s="4" t="s">
        <v>826</v>
      </c>
      <c r="Y59" s="4" t="s">
        <v>827</v>
      </c>
      <c r="Z59" s="4" t="s">
        <v>827</v>
      </c>
      <c r="AA59" s="3">
        <v>248</v>
      </c>
      <c r="AB59" s="3">
        <v>148</v>
      </c>
      <c r="AC59" s="3">
        <v>366</v>
      </c>
      <c r="AD59" s="3">
        <v>2</v>
      </c>
      <c r="AE59" s="3">
        <v>2</v>
      </c>
      <c r="AF59" s="3">
        <v>4</v>
      </c>
      <c r="AG59" s="3">
        <v>13</v>
      </c>
      <c r="AH59" s="3">
        <v>1</v>
      </c>
      <c r="AI59" s="3">
        <v>5</v>
      </c>
      <c r="AJ59" s="3">
        <v>0</v>
      </c>
      <c r="AK59" s="3">
        <v>4</v>
      </c>
      <c r="AL59" s="3">
        <v>2</v>
      </c>
      <c r="AM59" s="3">
        <v>6</v>
      </c>
      <c r="AN59" s="3">
        <v>1</v>
      </c>
      <c r="AO59" s="3">
        <v>1</v>
      </c>
      <c r="AP59" s="3">
        <v>0</v>
      </c>
      <c r="AQ59" s="3">
        <v>0</v>
      </c>
      <c r="AR59" s="2" t="s">
        <v>5</v>
      </c>
      <c r="AS59" s="2" t="s">
        <v>90</v>
      </c>
      <c r="AT59" s="5" t="str">
        <f>HYPERLINK("http://catalog.hathitrust.org/Record/003968448","HathiTrust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HYPERLINK("https://creighton-primo.hosted.exlibrisgroup.com/primo-explore/search?tab=default_tab&amp;search_scope=EVERYTHING&amp;vid=01CRU&amp;lang=en_US&amp;offset=0&amp;query=any,contains,991001228369702656","Catalog Record")</f>
        <v>Catalog Record</v>
      </c>
      <c r="AV59" s="5" t="str">
        <f>HYPERLINK("http://www.worldcat.org/oclc/37588733","WorldCat Record")</f>
        <v>WorldCat Record</v>
      </c>
      <c r="AW59" s="2" t="s">
        <v>828</v>
      </c>
      <c r="AX59" s="2" t="s">
        <v>829</v>
      </c>
      <c r="AY59" s="2" t="s">
        <v>830</v>
      </c>
      <c r="AZ59" s="2" t="s">
        <v>830</v>
      </c>
      <c r="BA59" s="2" t="s">
        <v>831</v>
      </c>
      <c r="BB59" s="2" t="s">
        <v>19</v>
      </c>
      <c r="BD59" s="2" t="s">
        <v>832</v>
      </c>
      <c r="BE59" s="2" t="s">
        <v>833</v>
      </c>
      <c r="BF59" s="2" t="s">
        <v>834</v>
      </c>
    </row>
    <row r="60" spans="1:58" ht="50.25" customHeight="1" x14ac:dyDescent="0.25">
      <c r="A60" s="8" t="s">
        <v>5</v>
      </c>
      <c r="B60" s="1" t="s">
        <v>0</v>
      </c>
      <c r="C60" s="1" t="s">
        <v>1</v>
      </c>
      <c r="D60" s="1" t="s">
        <v>819</v>
      </c>
      <c r="E60" s="1" t="s">
        <v>820</v>
      </c>
      <c r="F60" s="1" t="s">
        <v>821</v>
      </c>
      <c r="G60" s="2" t="s">
        <v>835</v>
      </c>
      <c r="H60" s="2" t="s">
        <v>90</v>
      </c>
      <c r="I60" s="2" t="s">
        <v>6</v>
      </c>
      <c r="J60" s="2" t="s">
        <v>5</v>
      </c>
      <c r="K60" s="2" t="s">
        <v>90</v>
      </c>
      <c r="L60" s="2" t="s">
        <v>7</v>
      </c>
      <c r="N60" s="1" t="s">
        <v>823</v>
      </c>
      <c r="O60" s="2" t="s">
        <v>155</v>
      </c>
      <c r="P60" s="1" t="s">
        <v>824</v>
      </c>
      <c r="Q60" s="2" t="s">
        <v>10</v>
      </c>
      <c r="R60" s="2" t="s">
        <v>77</v>
      </c>
      <c r="T60" s="2" t="s">
        <v>12</v>
      </c>
      <c r="U60" s="3">
        <v>3</v>
      </c>
      <c r="V60" s="3">
        <v>8</v>
      </c>
      <c r="W60" s="4" t="s">
        <v>836</v>
      </c>
      <c r="X60" s="4" t="s">
        <v>826</v>
      </c>
      <c r="Y60" s="4" t="s">
        <v>827</v>
      </c>
      <c r="Z60" s="4" t="s">
        <v>827</v>
      </c>
      <c r="AA60" s="3">
        <v>248</v>
      </c>
      <c r="AB60" s="3">
        <v>148</v>
      </c>
      <c r="AC60" s="3">
        <v>366</v>
      </c>
      <c r="AD60" s="3">
        <v>2</v>
      </c>
      <c r="AE60" s="3">
        <v>2</v>
      </c>
      <c r="AF60" s="3">
        <v>4</v>
      </c>
      <c r="AG60" s="3">
        <v>13</v>
      </c>
      <c r="AH60" s="3">
        <v>1</v>
      </c>
      <c r="AI60" s="3">
        <v>5</v>
      </c>
      <c r="AJ60" s="3">
        <v>0</v>
      </c>
      <c r="AK60" s="3">
        <v>4</v>
      </c>
      <c r="AL60" s="3">
        <v>2</v>
      </c>
      <c r="AM60" s="3">
        <v>6</v>
      </c>
      <c r="AN60" s="3">
        <v>1</v>
      </c>
      <c r="AO60" s="3">
        <v>1</v>
      </c>
      <c r="AP60" s="3">
        <v>0</v>
      </c>
      <c r="AQ60" s="3">
        <v>0</v>
      </c>
      <c r="AR60" s="2" t="s">
        <v>5</v>
      </c>
      <c r="AS60" s="2" t="s">
        <v>90</v>
      </c>
      <c r="AT60" s="5" t="str">
        <f>HYPERLINK("http://catalog.hathitrust.org/Record/003968448","HathiTrust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HYPERLINK("https://creighton-primo.hosted.exlibrisgroup.com/primo-explore/search?tab=default_tab&amp;search_scope=EVERYTHING&amp;vid=01CRU&amp;lang=en_US&amp;offset=0&amp;query=any,contains,991001228369702656","Catalog Record")</f>
        <v>Catalog Record</v>
      </c>
      <c r="AV60" s="5" t="str">
        <f>HYPERLINK("http://www.worldcat.org/oclc/37588733","WorldCat Record")</f>
        <v>WorldCat Record</v>
      </c>
      <c r="AW60" s="2" t="s">
        <v>828</v>
      </c>
      <c r="AX60" s="2" t="s">
        <v>829</v>
      </c>
      <c r="AY60" s="2" t="s">
        <v>830</v>
      </c>
      <c r="AZ60" s="2" t="s">
        <v>830</v>
      </c>
      <c r="BA60" s="2" t="s">
        <v>831</v>
      </c>
      <c r="BB60" s="2" t="s">
        <v>19</v>
      </c>
      <c r="BD60" s="2" t="s">
        <v>832</v>
      </c>
      <c r="BE60" s="2" t="s">
        <v>837</v>
      </c>
      <c r="BF60" s="2" t="s">
        <v>838</v>
      </c>
    </row>
    <row r="61" spans="1:58" ht="50.25" customHeight="1" x14ac:dyDescent="0.25">
      <c r="A61" s="8" t="s">
        <v>5</v>
      </c>
      <c r="B61" s="1" t="s">
        <v>0</v>
      </c>
      <c r="C61" s="1" t="s">
        <v>1</v>
      </c>
      <c r="D61" s="1" t="s">
        <v>819</v>
      </c>
      <c r="E61" s="1" t="s">
        <v>820</v>
      </c>
      <c r="F61" s="1" t="s">
        <v>821</v>
      </c>
      <c r="G61" s="2" t="s">
        <v>839</v>
      </c>
      <c r="H61" s="2" t="s">
        <v>90</v>
      </c>
      <c r="I61" s="2" t="s">
        <v>6</v>
      </c>
      <c r="J61" s="2" t="s">
        <v>5</v>
      </c>
      <c r="K61" s="2" t="s">
        <v>90</v>
      </c>
      <c r="L61" s="2" t="s">
        <v>7</v>
      </c>
      <c r="N61" s="1" t="s">
        <v>823</v>
      </c>
      <c r="O61" s="2" t="s">
        <v>155</v>
      </c>
      <c r="P61" s="1" t="s">
        <v>824</v>
      </c>
      <c r="Q61" s="2" t="s">
        <v>10</v>
      </c>
      <c r="R61" s="2" t="s">
        <v>77</v>
      </c>
      <c r="T61" s="2" t="s">
        <v>12</v>
      </c>
      <c r="U61" s="3">
        <v>3</v>
      </c>
      <c r="V61" s="3">
        <v>8</v>
      </c>
      <c r="W61" s="4" t="s">
        <v>826</v>
      </c>
      <c r="X61" s="4" t="s">
        <v>826</v>
      </c>
      <c r="Y61" s="4" t="s">
        <v>827</v>
      </c>
      <c r="Z61" s="4" t="s">
        <v>827</v>
      </c>
      <c r="AA61" s="3">
        <v>248</v>
      </c>
      <c r="AB61" s="3">
        <v>148</v>
      </c>
      <c r="AC61" s="3">
        <v>366</v>
      </c>
      <c r="AD61" s="3">
        <v>2</v>
      </c>
      <c r="AE61" s="3">
        <v>2</v>
      </c>
      <c r="AF61" s="3">
        <v>4</v>
      </c>
      <c r="AG61" s="3">
        <v>13</v>
      </c>
      <c r="AH61" s="3">
        <v>1</v>
      </c>
      <c r="AI61" s="3">
        <v>5</v>
      </c>
      <c r="AJ61" s="3">
        <v>0</v>
      </c>
      <c r="AK61" s="3">
        <v>4</v>
      </c>
      <c r="AL61" s="3">
        <v>2</v>
      </c>
      <c r="AM61" s="3">
        <v>6</v>
      </c>
      <c r="AN61" s="3">
        <v>1</v>
      </c>
      <c r="AO61" s="3">
        <v>1</v>
      </c>
      <c r="AP61" s="3">
        <v>0</v>
      </c>
      <c r="AQ61" s="3">
        <v>0</v>
      </c>
      <c r="AR61" s="2" t="s">
        <v>5</v>
      </c>
      <c r="AS61" s="2" t="s">
        <v>90</v>
      </c>
      <c r="AT61" s="5" t="str">
        <f>HYPERLINK("http://catalog.hathitrust.org/Record/003968448","HathiTrust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HYPERLINK("https://creighton-primo.hosted.exlibrisgroup.com/primo-explore/search?tab=default_tab&amp;search_scope=EVERYTHING&amp;vid=01CRU&amp;lang=en_US&amp;offset=0&amp;query=any,contains,991001228369702656","Catalog Record")</f>
        <v>Catalog Record</v>
      </c>
      <c r="AV61" s="5" t="str">
        <f>HYPERLINK("http://www.worldcat.org/oclc/37588733","WorldCat Record")</f>
        <v>WorldCat Record</v>
      </c>
      <c r="AW61" s="2" t="s">
        <v>828</v>
      </c>
      <c r="AX61" s="2" t="s">
        <v>829</v>
      </c>
      <c r="AY61" s="2" t="s">
        <v>830</v>
      </c>
      <c r="AZ61" s="2" t="s">
        <v>830</v>
      </c>
      <c r="BA61" s="2" t="s">
        <v>831</v>
      </c>
      <c r="BB61" s="2" t="s">
        <v>19</v>
      </c>
      <c r="BD61" s="2" t="s">
        <v>832</v>
      </c>
      <c r="BE61" s="2" t="s">
        <v>840</v>
      </c>
      <c r="BF61" s="2" t="s">
        <v>841</v>
      </c>
    </row>
    <row r="62" spans="1:58" ht="50.25" customHeight="1" x14ac:dyDescent="0.25">
      <c r="A62" s="8" t="s">
        <v>5</v>
      </c>
      <c r="B62" s="1" t="s">
        <v>0</v>
      </c>
      <c r="C62" s="1" t="s">
        <v>1</v>
      </c>
      <c r="D62" s="1" t="s">
        <v>842</v>
      </c>
      <c r="E62" s="1" t="s">
        <v>843</v>
      </c>
      <c r="F62" s="1" t="s">
        <v>844</v>
      </c>
      <c r="H62" s="2" t="s">
        <v>5</v>
      </c>
      <c r="I62" s="2" t="s">
        <v>6</v>
      </c>
      <c r="J62" s="2" t="s">
        <v>5</v>
      </c>
      <c r="K62" s="2" t="s">
        <v>5</v>
      </c>
      <c r="L62" s="2" t="s">
        <v>7</v>
      </c>
      <c r="N62" s="1" t="s">
        <v>845</v>
      </c>
      <c r="O62" s="2" t="s">
        <v>389</v>
      </c>
      <c r="Q62" s="2" t="s">
        <v>10</v>
      </c>
      <c r="R62" s="2" t="s">
        <v>184</v>
      </c>
      <c r="T62" s="2" t="s">
        <v>12</v>
      </c>
      <c r="U62" s="3">
        <v>3</v>
      </c>
      <c r="V62" s="3">
        <v>3</v>
      </c>
      <c r="W62" s="4" t="s">
        <v>846</v>
      </c>
      <c r="X62" s="4" t="s">
        <v>846</v>
      </c>
      <c r="Y62" s="4" t="s">
        <v>847</v>
      </c>
      <c r="Z62" s="4" t="s">
        <v>847</v>
      </c>
      <c r="AA62" s="3">
        <v>280</v>
      </c>
      <c r="AB62" s="3">
        <v>239</v>
      </c>
      <c r="AC62" s="3">
        <v>241</v>
      </c>
      <c r="AD62" s="3">
        <v>2</v>
      </c>
      <c r="AE62" s="3">
        <v>2</v>
      </c>
      <c r="AF62" s="3">
        <v>9</v>
      </c>
      <c r="AG62" s="3">
        <v>9</v>
      </c>
      <c r="AH62" s="3">
        <v>1</v>
      </c>
      <c r="AI62" s="3">
        <v>1</v>
      </c>
      <c r="AJ62" s="3">
        <v>3</v>
      </c>
      <c r="AK62" s="3">
        <v>3</v>
      </c>
      <c r="AL62" s="3">
        <v>5</v>
      </c>
      <c r="AM62" s="3">
        <v>5</v>
      </c>
      <c r="AN62" s="3">
        <v>1</v>
      </c>
      <c r="AO62" s="3">
        <v>1</v>
      </c>
      <c r="AP62" s="3">
        <v>0</v>
      </c>
      <c r="AQ62" s="3">
        <v>0</v>
      </c>
      <c r="AR62" s="2" t="s">
        <v>5</v>
      </c>
      <c r="AS62" s="2" t="s">
        <v>5</v>
      </c>
      <c r="AU62" s="5" t="str">
        <f>HYPERLINK("https://creighton-primo.hosted.exlibrisgroup.com/primo-explore/search?tab=default_tab&amp;search_scope=EVERYTHING&amp;vid=01CRU&amp;lang=en_US&amp;offset=0&amp;query=any,contains,991000368629702656","Catalog Record")</f>
        <v>Catalog Record</v>
      </c>
      <c r="AV62" s="5" t="str">
        <f>HYPERLINK("http://www.worldcat.org/oclc/52302256","WorldCat Record")</f>
        <v>WorldCat Record</v>
      </c>
      <c r="AW62" s="2" t="s">
        <v>848</v>
      </c>
      <c r="AX62" s="2" t="s">
        <v>849</v>
      </c>
      <c r="AY62" s="2" t="s">
        <v>850</v>
      </c>
      <c r="AZ62" s="2" t="s">
        <v>850</v>
      </c>
      <c r="BA62" s="2" t="s">
        <v>851</v>
      </c>
      <c r="BB62" s="2" t="s">
        <v>19</v>
      </c>
      <c r="BD62" s="2" t="s">
        <v>852</v>
      </c>
      <c r="BE62" s="2" t="s">
        <v>853</v>
      </c>
      <c r="BF62" s="2" t="s">
        <v>854</v>
      </c>
    </row>
    <row r="63" spans="1:58" ht="50.25" customHeight="1" x14ac:dyDescent="0.25">
      <c r="A63" s="8" t="s">
        <v>5</v>
      </c>
      <c r="B63" s="1" t="s">
        <v>0</v>
      </c>
      <c r="C63" s="1" t="s">
        <v>1</v>
      </c>
      <c r="D63" s="1" t="s">
        <v>855</v>
      </c>
      <c r="E63" s="1" t="s">
        <v>856</v>
      </c>
      <c r="F63" s="1" t="s">
        <v>857</v>
      </c>
      <c r="H63" s="2" t="s">
        <v>5</v>
      </c>
      <c r="I63" s="2" t="s">
        <v>6</v>
      </c>
      <c r="J63" s="2" t="s">
        <v>5</v>
      </c>
      <c r="K63" s="2" t="s">
        <v>5</v>
      </c>
      <c r="L63" s="2" t="s">
        <v>7</v>
      </c>
      <c r="M63" s="1" t="s">
        <v>858</v>
      </c>
      <c r="N63" s="1" t="s">
        <v>859</v>
      </c>
      <c r="O63" s="2" t="s">
        <v>860</v>
      </c>
      <c r="P63" s="1" t="s">
        <v>404</v>
      </c>
      <c r="Q63" s="2" t="s">
        <v>10</v>
      </c>
      <c r="R63" s="2" t="s">
        <v>77</v>
      </c>
      <c r="T63" s="2" t="s">
        <v>12</v>
      </c>
      <c r="U63" s="3">
        <v>0</v>
      </c>
      <c r="V63" s="3">
        <v>0</v>
      </c>
      <c r="W63" s="4" t="s">
        <v>861</v>
      </c>
      <c r="X63" s="4" t="s">
        <v>861</v>
      </c>
      <c r="Y63" s="4" t="s">
        <v>862</v>
      </c>
      <c r="Z63" s="4" t="s">
        <v>862</v>
      </c>
      <c r="AA63" s="3">
        <v>177</v>
      </c>
      <c r="AB63" s="3">
        <v>61</v>
      </c>
      <c r="AC63" s="3">
        <v>104</v>
      </c>
      <c r="AD63" s="3">
        <v>1</v>
      </c>
      <c r="AE63" s="3">
        <v>1</v>
      </c>
      <c r="AF63" s="3">
        <v>3</v>
      </c>
      <c r="AG63" s="3">
        <v>3</v>
      </c>
      <c r="AH63" s="3">
        <v>2</v>
      </c>
      <c r="AI63" s="3">
        <v>2</v>
      </c>
      <c r="AJ63" s="3">
        <v>0</v>
      </c>
      <c r="AK63" s="3">
        <v>0</v>
      </c>
      <c r="AL63" s="3">
        <v>1</v>
      </c>
      <c r="AM63" s="3">
        <v>1</v>
      </c>
      <c r="AN63" s="3">
        <v>0</v>
      </c>
      <c r="AO63" s="3">
        <v>0</v>
      </c>
      <c r="AP63" s="3">
        <v>0</v>
      </c>
      <c r="AQ63" s="3">
        <v>0</v>
      </c>
      <c r="AR63" s="2" t="s">
        <v>5</v>
      </c>
      <c r="AS63" s="2" t="s">
        <v>5</v>
      </c>
      <c r="AU63" s="5" t="str">
        <f>HYPERLINK("https://creighton-primo.hosted.exlibrisgroup.com/primo-explore/search?tab=default_tab&amp;search_scope=EVERYTHING&amp;vid=01CRU&amp;lang=en_US&amp;offset=0&amp;query=any,contains,991001484219702656","Catalog Record")</f>
        <v>Catalog Record</v>
      </c>
      <c r="AV63" s="5" t="str">
        <f>HYPERLINK("http://www.worldcat.org/oclc/297802711","WorldCat Record")</f>
        <v>WorldCat Record</v>
      </c>
      <c r="AW63" s="2" t="s">
        <v>863</v>
      </c>
      <c r="AX63" s="2" t="s">
        <v>864</v>
      </c>
      <c r="AY63" s="2" t="s">
        <v>865</v>
      </c>
      <c r="AZ63" s="2" t="s">
        <v>865</v>
      </c>
      <c r="BA63" s="2" t="s">
        <v>866</v>
      </c>
      <c r="BB63" s="2" t="s">
        <v>19</v>
      </c>
      <c r="BD63" s="2" t="s">
        <v>867</v>
      </c>
      <c r="BE63" s="2" t="s">
        <v>868</v>
      </c>
      <c r="BF63" s="2" t="s">
        <v>869</v>
      </c>
    </row>
    <row r="64" spans="1:58" ht="50.25" customHeight="1" x14ac:dyDescent="0.25">
      <c r="A64" s="8" t="s">
        <v>5</v>
      </c>
      <c r="B64" s="1" t="s">
        <v>0</v>
      </c>
      <c r="C64" s="1" t="s">
        <v>1</v>
      </c>
      <c r="D64" s="1" t="s">
        <v>870</v>
      </c>
      <c r="E64" s="1" t="s">
        <v>871</v>
      </c>
      <c r="F64" s="1" t="s">
        <v>872</v>
      </c>
      <c r="H64" s="2" t="s">
        <v>5</v>
      </c>
      <c r="I64" s="2" t="s">
        <v>6</v>
      </c>
      <c r="J64" s="2" t="s">
        <v>5</v>
      </c>
      <c r="K64" s="2" t="s">
        <v>5</v>
      </c>
      <c r="L64" s="2" t="s">
        <v>770</v>
      </c>
      <c r="N64" s="1" t="s">
        <v>873</v>
      </c>
      <c r="O64" s="2" t="s">
        <v>474</v>
      </c>
      <c r="Q64" s="2" t="s">
        <v>10</v>
      </c>
      <c r="R64" s="2" t="s">
        <v>184</v>
      </c>
      <c r="T64" s="2" t="s">
        <v>12</v>
      </c>
      <c r="U64" s="3">
        <v>3</v>
      </c>
      <c r="V64" s="3">
        <v>3</v>
      </c>
      <c r="W64" s="4" t="s">
        <v>874</v>
      </c>
      <c r="X64" s="4" t="s">
        <v>874</v>
      </c>
      <c r="Y64" s="4" t="s">
        <v>875</v>
      </c>
      <c r="Z64" s="4" t="s">
        <v>875</v>
      </c>
      <c r="AA64" s="3">
        <v>185</v>
      </c>
      <c r="AB64" s="3">
        <v>164</v>
      </c>
      <c r="AC64" s="3">
        <v>1047</v>
      </c>
      <c r="AD64" s="3">
        <v>1</v>
      </c>
      <c r="AE64" s="3">
        <v>14</v>
      </c>
      <c r="AF64" s="3">
        <v>2</v>
      </c>
      <c r="AG64" s="3">
        <v>36</v>
      </c>
      <c r="AH64" s="3">
        <v>0</v>
      </c>
      <c r="AI64" s="3">
        <v>10</v>
      </c>
      <c r="AJ64" s="3">
        <v>0</v>
      </c>
      <c r="AK64" s="3">
        <v>8</v>
      </c>
      <c r="AL64" s="3">
        <v>2</v>
      </c>
      <c r="AM64" s="3">
        <v>10</v>
      </c>
      <c r="AN64" s="3">
        <v>0</v>
      </c>
      <c r="AO64" s="3">
        <v>12</v>
      </c>
      <c r="AP64" s="3">
        <v>0</v>
      </c>
      <c r="AQ64" s="3">
        <v>1</v>
      </c>
      <c r="AR64" s="2" t="s">
        <v>5</v>
      </c>
      <c r="AS64" s="2" t="s">
        <v>90</v>
      </c>
      <c r="AT64" s="5" t="str">
        <f>HYPERLINK("http://catalog.hathitrust.org/Record/002232193","HathiTrust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HYPERLINK("https://creighton-primo.hosted.exlibrisgroup.com/primo-explore/search?tab=default_tab&amp;search_scope=EVERYTHING&amp;vid=01CRU&amp;lang=en_US&amp;offset=0&amp;query=any,contains,991000781619702656","Catalog Record")</f>
        <v>Catalog Record</v>
      </c>
      <c r="AV64" s="5" t="str">
        <f>HYPERLINK("http://www.worldcat.org/oclc/24795642","WorldCat Record")</f>
        <v>WorldCat Record</v>
      </c>
      <c r="AW64" s="2" t="s">
        <v>876</v>
      </c>
      <c r="AX64" s="2" t="s">
        <v>877</v>
      </c>
      <c r="AY64" s="2" t="s">
        <v>878</v>
      </c>
      <c r="AZ64" s="2" t="s">
        <v>878</v>
      </c>
      <c r="BA64" s="2" t="s">
        <v>879</v>
      </c>
      <c r="BB64" s="2" t="s">
        <v>19</v>
      </c>
      <c r="BD64" s="2" t="s">
        <v>880</v>
      </c>
      <c r="BE64" s="2" t="s">
        <v>881</v>
      </c>
      <c r="BF64" s="2" t="s">
        <v>882</v>
      </c>
    </row>
    <row r="65" spans="1:58" ht="50.25" customHeight="1" x14ac:dyDescent="0.25">
      <c r="A65" s="8" t="s">
        <v>5</v>
      </c>
      <c r="B65" s="1" t="s">
        <v>0</v>
      </c>
      <c r="C65" s="1" t="s">
        <v>1</v>
      </c>
      <c r="D65" s="1" t="s">
        <v>883</v>
      </c>
      <c r="E65" s="1" t="s">
        <v>884</v>
      </c>
      <c r="F65" s="1" t="s">
        <v>885</v>
      </c>
      <c r="H65" s="2" t="s">
        <v>5</v>
      </c>
      <c r="I65" s="2" t="s">
        <v>6</v>
      </c>
      <c r="J65" s="2" t="s">
        <v>5</v>
      </c>
      <c r="K65" s="2" t="s">
        <v>5</v>
      </c>
      <c r="L65" s="2" t="s">
        <v>7</v>
      </c>
      <c r="N65" s="1" t="s">
        <v>886</v>
      </c>
      <c r="O65" s="2" t="s">
        <v>596</v>
      </c>
      <c r="Q65" s="2" t="s">
        <v>10</v>
      </c>
      <c r="R65" s="2" t="s">
        <v>77</v>
      </c>
      <c r="S65" s="1" t="s">
        <v>887</v>
      </c>
      <c r="T65" s="2" t="s">
        <v>12</v>
      </c>
      <c r="U65" s="3">
        <v>9</v>
      </c>
      <c r="V65" s="3">
        <v>9</v>
      </c>
      <c r="W65" s="4" t="s">
        <v>888</v>
      </c>
      <c r="X65" s="4" t="s">
        <v>888</v>
      </c>
      <c r="Y65" s="4" t="s">
        <v>889</v>
      </c>
      <c r="Z65" s="4" t="s">
        <v>889</v>
      </c>
      <c r="AA65" s="3">
        <v>209</v>
      </c>
      <c r="AB65" s="3">
        <v>129</v>
      </c>
      <c r="AC65" s="3">
        <v>136</v>
      </c>
      <c r="AD65" s="3">
        <v>1</v>
      </c>
      <c r="AE65" s="3">
        <v>1</v>
      </c>
      <c r="AF65" s="3">
        <v>8</v>
      </c>
      <c r="AG65" s="3">
        <v>8</v>
      </c>
      <c r="AH65" s="3">
        <v>1</v>
      </c>
      <c r="AI65" s="3">
        <v>1</v>
      </c>
      <c r="AJ65" s="3">
        <v>2</v>
      </c>
      <c r="AK65" s="3">
        <v>2</v>
      </c>
      <c r="AL65" s="3">
        <v>6</v>
      </c>
      <c r="AM65" s="3">
        <v>6</v>
      </c>
      <c r="AN65" s="3">
        <v>0</v>
      </c>
      <c r="AO65" s="3">
        <v>0</v>
      </c>
      <c r="AP65" s="3">
        <v>0</v>
      </c>
      <c r="AQ65" s="3">
        <v>0</v>
      </c>
      <c r="AR65" s="2" t="s">
        <v>5</v>
      </c>
      <c r="AS65" s="2" t="s">
        <v>90</v>
      </c>
      <c r="AT65" s="5" t="str">
        <f>HYPERLINK("http://catalog.hathitrust.org/Record/000825061","HathiTrust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HYPERLINK("https://creighton-primo.hosted.exlibrisgroup.com/primo-explore/search?tab=default_tab&amp;search_scope=EVERYTHING&amp;vid=01CRU&amp;lang=en_US&amp;offset=0&amp;query=any,contains,991000687529702656","Catalog Record")</f>
        <v>Catalog Record</v>
      </c>
      <c r="AV65" s="5" t="str">
        <f>HYPERLINK("http://www.worldcat.org/oclc/14239745","WorldCat Record")</f>
        <v>WorldCat Record</v>
      </c>
      <c r="AW65" s="2" t="s">
        <v>890</v>
      </c>
      <c r="AX65" s="2" t="s">
        <v>891</v>
      </c>
      <c r="AY65" s="2" t="s">
        <v>892</v>
      </c>
      <c r="AZ65" s="2" t="s">
        <v>892</v>
      </c>
      <c r="BA65" s="2" t="s">
        <v>893</v>
      </c>
      <c r="BB65" s="2" t="s">
        <v>19</v>
      </c>
      <c r="BD65" s="2" t="s">
        <v>894</v>
      </c>
      <c r="BE65" s="2" t="s">
        <v>895</v>
      </c>
      <c r="BF65" s="2" t="s">
        <v>896</v>
      </c>
    </row>
    <row r="66" spans="1:58" ht="50.25" customHeight="1" x14ac:dyDescent="0.25">
      <c r="A66" s="8" t="s">
        <v>5</v>
      </c>
      <c r="B66" s="1" t="s">
        <v>0</v>
      </c>
      <c r="C66" s="1" t="s">
        <v>1</v>
      </c>
      <c r="D66" s="1" t="s">
        <v>897</v>
      </c>
      <c r="E66" s="1" t="s">
        <v>898</v>
      </c>
      <c r="F66" s="1" t="s">
        <v>899</v>
      </c>
      <c r="H66" s="2" t="s">
        <v>5</v>
      </c>
      <c r="I66" s="2" t="s">
        <v>6</v>
      </c>
      <c r="J66" s="2" t="s">
        <v>5</v>
      </c>
      <c r="K66" s="2" t="s">
        <v>5</v>
      </c>
      <c r="L66" s="2" t="s">
        <v>7</v>
      </c>
      <c r="N66" s="1" t="s">
        <v>900</v>
      </c>
      <c r="O66" s="2" t="s">
        <v>109</v>
      </c>
      <c r="Q66" s="2" t="s">
        <v>10</v>
      </c>
      <c r="R66" s="2" t="s">
        <v>77</v>
      </c>
      <c r="T66" s="2" t="s">
        <v>12</v>
      </c>
      <c r="U66" s="3">
        <v>0</v>
      </c>
      <c r="V66" s="3">
        <v>0</v>
      </c>
      <c r="W66" s="4" t="s">
        <v>901</v>
      </c>
      <c r="X66" s="4" t="s">
        <v>901</v>
      </c>
      <c r="Y66" s="4" t="s">
        <v>902</v>
      </c>
      <c r="Z66" s="4" t="s">
        <v>902</v>
      </c>
      <c r="AA66" s="3">
        <v>427</v>
      </c>
      <c r="AB66" s="3">
        <v>283</v>
      </c>
      <c r="AC66" s="3">
        <v>481</v>
      </c>
      <c r="AD66" s="3">
        <v>1</v>
      </c>
      <c r="AE66" s="3">
        <v>2</v>
      </c>
      <c r="AF66" s="3">
        <v>11</v>
      </c>
      <c r="AG66" s="3">
        <v>26</v>
      </c>
      <c r="AH66" s="3">
        <v>2</v>
      </c>
      <c r="AI66" s="3">
        <v>8</v>
      </c>
      <c r="AJ66" s="3">
        <v>3</v>
      </c>
      <c r="AK66" s="3">
        <v>9</v>
      </c>
      <c r="AL66" s="3">
        <v>7</v>
      </c>
      <c r="AM66" s="3">
        <v>11</v>
      </c>
      <c r="AN66" s="3">
        <v>0</v>
      </c>
      <c r="AO66" s="3">
        <v>1</v>
      </c>
      <c r="AP66" s="3">
        <v>0</v>
      </c>
      <c r="AQ66" s="3">
        <v>1</v>
      </c>
      <c r="AR66" s="2" t="s">
        <v>5</v>
      </c>
      <c r="AS66" s="2" t="s">
        <v>5</v>
      </c>
      <c r="AU66" s="5" t="str">
        <f>HYPERLINK("https://creighton-primo.hosted.exlibrisgroup.com/primo-explore/search?tab=default_tab&amp;search_scope=EVERYTHING&amp;vid=01CRU&amp;lang=en_US&amp;offset=0&amp;query=any,contains,991000449939702656","Catalog Record")</f>
        <v>Catalog Record</v>
      </c>
      <c r="AV66" s="5" t="str">
        <f>HYPERLINK("http://www.worldcat.org/oclc/48892440","WorldCat Record")</f>
        <v>WorldCat Record</v>
      </c>
      <c r="AW66" s="2" t="s">
        <v>903</v>
      </c>
      <c r="AX66" s="2" t="s">
        <v>904</v>
      </c>
      <c r="AY66" s="2" t="s">
        <v>905</v>
      </c>
      <c r="AZ66" s="2" t="s">
        <v>905</v>
      </c>
      <c r="BA66" s="2" t="s">
        <v>906</v>
      </c>
      <c r="BB66" s="2" t="s">
        <v>19</v>
      </c>
      <c r="BD66" s="2" t="s">
        <v>907</v>
      </c>
      <c r="BE66" s="2" t="s">
        <v>908</v>
      </c>
      <c r="BF66" s="2" t="s">
        <v>909</v>
      </c>
    </row>
    <row r="67" spans="1:58" ht="50.25" customHeight="1" x14ac:dyDescent="0.25">
      <c r="A67" s="8" t="s">
        <v>5</v>
      </c>
      <c r="B67" s="1" t="s">
        <v>0</v>
      </c>
      <c r="C67" s="1" t="s">
        <v>1</v>
      </c>
      <c r="D67" s="1" t="s">
        <v>910</v>
      </c>
      <c r="E67" s="1" t="s">
        <v>911</v>
      </c>
      <c r="F67" s="1" t="s">
        <v>912</v>
      </c>
      <c r="H67" s="2" t="s">
        <v>5</v>
      </c>
      <c r="I67" s="2" t="s">
        <v>6</v>
      </c>
      <c r="J67" s="2" t="s">
        <v>5</v>
      </c>
      <c r="K67" s="2" t="s">
        <v>5</v>
      </c>
      <c r="L67" s="2" t="s">
        <v>7</v>
      </c>
      <c r="M67" s="1" t="s">
        <v>913</v>
      </c>
      <c r="N67" s="1" t="s">
        <v>914</v>
      </c>
      <c r="O67" s="2" t="s">
        <v>596</v>
      </c>
      <c r="P67" s="1" t="s">
        <v>541</v>
      </c>
      <c r="Q67" s="2" t="s">
        <v>10</v>
      </c>
      <c r="R67" s="2" t="s">
        <v>29</v>
      </c>
      <c r="T67" s="2" t="s">
        <v>12</v>
      </c>
      <c r="U67" s="3">
        <v>7</v>
      </c>
      <c r="V67" s="3">
        <v>7</v>
      </c>
      <c r="W67" s="4" t="s">
        <v>915</v>
      </c>
      <c r="X67" s="4" t="s">
        <v>915</v>
      </c>
      <c r="Y67" s="4" t="s">
        <v>889</v>
      </c>
      <c r="Z67" s="4" t="s">
        <v>889</v>
      </c>
      <c r="AA67" s="3">
        <v>359</v>
      </c>
      <c r="AB67" s="3">
        <v>291</v>
      </c>
      <c r="AC67" s="3">
        <v>463</v>
      </c>
      <c r="AD67" s="3">
        <v>2</v>
      </c>
      <c r="AE67" s="3">
        <v>3</v>
      </c>
      <c r="AF67" s="3">
        <v>5</v>
      </c>
      <c r="AG67" s="3">
        <v>7</v>
      </c>
      <c r="AH67" s="3">
        <v>2</v>
      </c>
      <c r="AI67" s="3">
        <v>2</v>
      </c>
      <c r="AJ67" s="3">
        <v>1</v>
      </c>
      <c r="AK67" s="3">
        <v>1</v>
      </c>
      <c r="AL67" s="3">
        <v>4</v>
      </c>
      <c r="AM67" s="3">
        <v>5</v>
      </c>
      <c r="AN67" s="3">
        <v>0</v>
      </c>
      <c r="AO67" s="3">
        <v>1</v>
      </c>
      <c r="AP67" s="3">
        <v>0</v>
      </c>
      <c r="AQ67" s="3">
        <v>0</v>
      </c>
      <c r="AR67" s="2" t="s">
        <v>5</v>
      </c>
      <c r="AS67" s="2" t="s">
        <v>90</v>
      </c>
      <c r="AT67" s="5" t="str">
        <f>HYPERLINK("http://catalog.hathitrust.org/Record/000818508","HathiTrust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HYPERLINK("https://creighton-primo.hosted.exlibrisgroup.com/primo-explore/search?tab=default_tab&amp;search_scope=EVERYTHING&amp;vid=01CRU&amp;lang=en_US&amp;offset=0&amp;query=any,contains,991000687819702656","Catalog Record")</f>
        <v>Catalog Record</v>
      </c>
      <c r="AV67" s="5" t="str">
        <f>HYPERLINK("http://www.worldcat.org/oclc/15163302","WorldCat Record")</f>
        <v>WorldCat Record</v>
      </c>
      <c r="AW67" s="2" t="s">
        <v>916</v>
      </c>
      <c r="AX67" s="2" t="s">
        <v>917</v>
      </c>
      <c r="AY67" s="2" t="s">
        <v>918</v>
      </c>
      <c r="AZ67" s="2" t="s">
        <v>918</v>
      </c>
      <c r="BA67" s="2" t="s">
        <v>919</v>
      </c>
      <c r="BB67" s="2" t="s">
        <v>19</v>
      </c>
      <c r="BD67" s="2" t="s">
        <v>920</v>
      </c>
      <c r="BE67" s="2" t="s">
        <v>921</v>
      </c>
      <c r="BF67" s="2" t="s">
        <v>922</v>
      </c>
    </row>
    <row r="68" spans="1:58" ht="50.25" customHeight="1" x14ac:dyDescent="0.25">
      <c r="A68" s="8" t="s">
        <v>5</v>
      </c>
      <c r="B68" s="1" t="s">
        <v>0</v>
      </c>
      <c r="C68" s="1" t="s">
        <v>1</v>
      </c>
      <c r="D68" s="1" t="s">
        <v>923</v>
      </c>
      <c r="E68" s="1" t="s">
        <v>924</v>
      </c>
      <c r="F68" s="1" t="s">
        <v>925</v>
      </c>
      <c r="H68" s="2" t="s">
        <v>5</v>
      </c>
      <c r="I68" s="2" t="s">
        <v>6</v>
      </c>
      <c r="J68" s="2" t="s">
        <v>5</v>
      </c>
      <c r="K68" s="2" t="s">
        <v>5</v>
      </c>
      <c r="L68" s="2" t="s">
        <v>7</v>
      </c>
      <c r="M68" s="1" t="s">
        <v>926</v>
      </c>
      <c r="N68" s="1" t="s">
        <v>927</v>
      </c>
      <c r="O68" s="2" t="s">
        <v>928</v>
      </c>
      <c r="Q68" s="2" t="s">
        <v>10</v>
      </c>
      <c r="R68" s="2" t="s">
        <v>11</v>
      </c>
      <c r="T68" s="2" t="s">
        <v>12</v>
      </c>
      <c r="U68" s="3">
        <v>1</v>
      </c>
      <c r="V68" s="3">
        <v>1</v>
      </c>
      <c r="W68" s="4" t="s">
        <v>929</v>
      </c>
      <c r="X68" s="4" t="s">
        <v>929</v>
      </c>
      <c r="Y68" s="4" t="s">
        <v>889</v>
      </c>
      <c r="Z68" s="4" t="s">
        <v>889</v>
      </c>
      <c r="AA68" s="3">
        <v>45</v>
      </c>
      <c r="AB68" s="3">
        <v>44</v>
      </c>
      <c r="AC68" s="3">
        <v>162</v>
      </c>
      <c r="AD68" s="3">
        <v>1</v>
      </c>
      <c r="AE68" s="3">
        <v>1</v>
      </c>
      <c r="AF68" s="3">
        <v>0</v>
      </c>
      <c r="AG68" s="3">
        <v>4</v>
      </c>
      <c r="AH68" s="3">
        <v>0</v>
      </c>
      <c r="AI68" s="3">
        <v>1</v>
      </c>
      <c r="AJ68" s="3">
        <v>0</v>
      </c>
      <c r="AK68" s="3">
        <v>1</v>
      </c>
      <c r="AL68" s="3">
        <v>0</v>
      </c>
      <c r="AM68" s="3">
        <v>2</v>
      </c>
      <c r="AN68" s="3">
        <v>0</v>
      </c>
      <c r="AO68" s="3">
        <v>0</v>
      </c>
      <c r="AP68" s="3">
        <v>0</v>
      </c>
      <c r="AQ68" s="3">
        <v>0</v>
      </c>
      <c r="AR68" s="2" t="s">
        <v>5</v>
      </c>
      <c r="AS68" s="2" t="s">
        <v>5</v>
      </c>
      <c r="AU68" s="5" t="str">
        <f>HYPERLINK("https://creighton-primo.hosted.exlibrisgroup.com/primo-explore/search?tab=default_tab&amp;search_scope=EVERYTHING&amp;vid=01CRU&amp;lang=en_US&amp;offset=0&amp;query=any,contains,991000687849702656","Catalog Record")</f>
        <v>Catalog Record</v>
      </c>
      <c r="AV68" s="5" t="str">
        <f>HYPERLINK("http://www.worldcat.org/oclc/2181429","WorldCat Record")</f>
        <v>WorldCat Record</v>
      </c>
      <c r="AW68" s="2" t="s">
        <v>930</v>
      </c>
      <c r="AX68" s="2" t="s">
        <v>931</v>
      </c>
      <c r="AY68" s="2" t="s">
        <v>932</v>
      </c>
      <c r="AZ68" s="2" t="s">
        <v>932</v>
      </c>
      <c r="BA68" s="2" t="s">
        <v>933</v>
      </c>
      <c r="BB68" s="2" t="s">
        <v>19</v>
      </c>
      <c r="BE68" s="2" t="s">
        <v>934</v>
      </c>
      <c r="BF68" s="2" t="s">
        <v>935</v>
      </c>
    </row>
    <row r="69" spans="1:58" ht="50.25" customHeight="1" x14ac:dyDescent="0.25">
      <c r="A69" s="8" t="s">
        <v>5</v>
      </c>
      <c r="B69" s="1" t="s">
        <v>0</v>
      </c>
      <c r="C69" s="1" t="s">
        <v>1</v>
      </c>
      <c r="D69" s="1" t="s">
        <v>936</v>
      </c>
      <c r="E69" s="1" t="s">
        <v>937</v>
      </c>
      <c r="F69" s="1" t="s">
        <v>938</v>
      </c>
      <c r="H69" s="2" t="s">
        <v>5</v>
      </c>
      <c r="I69" s="2" t="s">
        <v>6</v>
      </c>
      <c r="J69" s="2" t="s">
        <v>5</v>
      </c>
      <c r="K69" s="2" t="s">
        <v>5</v>
      </c>
      <c r="L69" s="2" t="s">
        <v>7</v>
      </c>
      <c r="M69" s="1" t="s">
        <v>939</v>
      </c>
      <c r="N69" s="1" t="s">
        <v>940</v>
      </c>
      <c r="O69" s="2" t="s">
        <v>259</v>
      </c>
      <c r="Q69" s="2" t="s">
        <v>10</v>
      </c>
      <c r="R69" s="2" t="s">
        <v>11</v>
      </c>
      <c r="T69" s="2" t="s">
        <v>12</v>
      </c>
      <c r="U69" s="3">
        <v>11</v>
      </c>
      <c r="V69" s="3">
        <v>11</v>
      </c>
      <c r="W69" s="4" t="s">
        <v>941</v>
      </c>
      <c r="X69" s="4" t="s">
        <v>941</v>
      </c>
      <c r="Y69" s="4" t="s">
        <v>942</v>
      </c>
      <c r="Z69" s="4" t="s">
        <v>942</v>
      </c>
      <c r="AA69" s="3">
        <v>763</v>
      </c>
      <c r="AB69" s="3">
        <v>698</v>
      </c>
      <c r="AC69" s="3">
        <v>849</v>
      </c>
      <c r="AD69" s="3">
        <v>4</v>
      </c>
      <c r="AE69" s="3">
        <v>4</v>
      </c>
      <c r="AF69" s="3">
        <v>32</v>
      </c>
      <c r="AG69" s="3">
        <v>35</v>
      </c>
      <c r="AH69" s="3">
        <v>9</v>
      </c>
      <c r="AI69" s="3">
        <v>11</v>
      </c>
      <c r="AJ69" s="3">
        <v>8</v>
      </c>
      <c r="AK69" s="3">
        <v>9</v>
      </c>
      <c r="AL69" s="3">
        <v>20</v>
      </c>
      <c r="AM69" s="3">
        <v>21</v>
      </c>
      <c r="AN69" s="3">
        <v>3</v>
      </c>
      <c r="AO69" s="3">
        <v>3</v>
      </c>
      <c r="AP69" s="3">
        <v>2</v>
      </c>
      <c r="AQ69" s="3">
        <v>2</v>
      </c>
      <c r="AR69" s="2" t="s">
        <v>5</v>
      </c>
      <c r="AS69" s="2" t="s">
        <v>90</v>
      </c>
      <c r="AT69" s="5" t="str">
        <f>HYPERLINK("http://catalog.hathitrust.org/Record/002792293","HathiTrust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HYPERLINK("https://creighton-primo.hosted.exlibrisgroup.com/primo-explore/search?tab=default_tab&amp;search_scope=EVERYTHING&amp;vid=01CRU&amp;lang=en_US&amp;offset=0&amp;query=any,contains,991001396559702656","Catalog Record")</f>
        <v>Catalog Record</v>
      </c>
      <c r="AV69" s="5" t="str">
        <f>HYPERLINK("http://www.worldcat.org/oclc/28888554","WorldCat Record")</f>
        <v>WorldCat Record</v>
      </c>
      <c r="AW69" s="2" t="s">
        <v>943</v>
      </c>
      <c r="AX69" s="2" t="s">
        <v>944</v>
      </c>
      <c r="AY69" s="2" t="s">
        <v>945</v>
      </c>
      <c r="AZ69" s="2" t="s">
        <v>945</v>
      </c>
      <c r="BA69" s="2" t="s">
        <v>946</v>
      </c>
      <c r="BB69" s="2" t="s">
        <v>19</v>
      </c>
      <c r="BD69" s="2" t="s">
        <v>947</v>
      </c>
      <c r="BE69" s="2" t="s">
        <v>948</v>
      </c>
      <c r="BF69" s="2" t="s">
        <v>949</v>
      </c>
    </row>
    <row r="70" spans="1:58" ht="50.25" customHeight="1" x14ac:dyDescent="0.25">
      <c r="A70" s="8" t="s">
        <v>5</v>
      </c>
      <c r="B70" s="1" t="s">
        <v>0</v>
      </c>
      <c r="C70" s="1" t="s">
        <v>1</v>
      </c>
      <c r="D70" s="1" t="s">
        <v>950</v>
      </c>
      <c r="E70" s="1" t="s">
        <v>951</v>
      </c>
      <c r="F70" s="1" t="s">
        <v>952</v>
      </c>
      <c r="H70" s="2" t="s">
        <v>5</v>
      </c>
      <c r="I70" s="2" t="s">
        <v>6</v>
      </c>
      <c r="J70" s="2" t="s">
        <v>5</v>
      </c>
      <c r="K70" s="2" t="s">
        <v>5</v>
      </c>
      <c r="L70" s="2" t="s">
        <v>7</v>
      </c>
      <c r="M70" s="1" t="s">
        <v>953</v>
      </c>
      <c r="N70" s="1" t="s">
        <v>954</v>
      </c>
      <c r="O70" s="2" t="s">
        <v>955</v>
      </c>
      <c r="P70" s="1" t="s">
        <v>404</v>
      </c>
      <c r="Q70" s="2" t="s">
        <v>10</v>
      </c>
      <c r="R70" s="2" t="s">
        <v>11</v>
      </c>
      <c r="T70" s="2" t="s">
        <v>12</v>
      </c>
      <c r="U70" s="3">
        <v>92</v>
      </c>
      <c r="V70" s="3">
        <v>92</v>
      </c>
      <c r="W70" s="4" t="s">
        <v>956</v>
      </c>
      <c r="X70" s="4" t="s">
        <v>956</v>
      </c>
      <c r="Y70" s="4" t="s">
        <v>957</v>
      </c>
      <c r="Z70" s="4" t="s">
        <v>957</v>
      </c>
      <c r="AA70" s="3">
        <v>226</v>
      </c>
      <c r="AB70" s="3">
        <v>170</v>
      </c>
      <c r="AC70" s="3">
        <v>234</v>
      </c>
      <c r="AD70" s="3">
        <v>1</v>
      </c>
      <c r="AE70" s="3">
        <v>1</v>
      </c>
      <c r="AF70" s="3">
        <v>3</v>
      </c>
      <c r="AG70" s="3">
        <v>6</v>
      </c>
      <c r="AH70" s="3">
        <v>0</v>
      </c>
      <c r="AI70" s="3">
        <v>2</v>
      </c>
      <c r="AJ70" s="3">
        <v>0</v>
      </c>
      <c r="AK70" s="3">
        <v>1</v>
      </c>
      <c r="AL70" s="3">
        <v>3</v>
      </c>
      <c r="AM70" s="3">
        <v>3</v>
      </c>
      <c r="AN70" s="3">
        <v>0</v>
      </c>
      <c r="AO70" s="3">
        <v>0</v>
      </c>
      <c r="AP70" s="3">
        <v>0</v>
      </c>
      <c r="AQ70" s="3">
        <v>0</v>
      </c>
      <c r="AR70" s="2" t="s">
        <v>5</v>
      </c>
      <c r="AS70" s="2" t="s">
        <v>90</v>
      </c>
      <c r="AT70" s="5" t="str">
        <f>HYPERLINK("http://catalog.hathitrust.org/Record/001558851","HathiTrust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HYPERLINK("https://creighton-primo.hosted.exlibrisgroup.com/primo-explore/search?tab=default_tab&amp;search_scope=EVERYTHING&amp;vid=01CRU&amp;lang=en_US&amp;offset=0&amp;query=any,contains,991001474359702656","Catalog Record")</f>
        <v>Catalog Record</v>
      </c>
      <c r="AV70" s="5" t="str">
        <f>HYPERLINK("http://www.worldcat.org/oclc/641916","WorldCat Record")</f>
        <v>WorldCat Record</v>
      </c>
      <c r="AW70" s="2" t="s">
        <v>958</v>
      </c>
      <c r="AX70" s="2" t="s">
        <v>959</v>
      </c>
      <c r="AY70" s="2" t="s">
        <v>960</v>
      </c>
      <c r="AZ70" s="2" t="s">
        <v>960</v>
      </c>
      <c r="BA70" s="2" t="s">
        <v>961</v>
      </c>
      <c r="BB70" s="2" t="s">
        <v>19</v>
      </c>
      <c r="BE70" s="2" t="s">
        <v>962</v>
      </c>
      <c r="BF70" s="2" t="s">
        <v>963</v>
      </c>
    </row>
    <row r="71" spans="1:58" ht="50.25" customHeight="1" x14ac:dyDescent="0.25">
      <c r="A71" s="8" t="s">
        <v>5</v>
      </c>
      <c r="B71" s="1" t="s">
        <v>0</v>
      </c>
      <c r="C71" s="1" t="s">
        <v>1</v>
      </c>
      <c r="D71" s="1" t="s">
        <v>964</v>
      </c>
      <c r="E71" s="1" t="s">
        <v>965</v>
      </c>
      <c r="F71" s="1" t="s">
        <v>966</v>
      </c>
      <c r="H71" s="2" t="s">
        <v>5</v>
      </c>
      <c r="I71" s="2" t="s">
        <v>6</v>
      </c>
      <c r="J71" s="2" t="s">
        <v>5</v>
      </c>
      <c r="K71" s="2" t="s">
        <v>5</v>
      </c>
      <c r="L71" s="2" t="s">
        <v>7</v>
      </c>
      <c r="N71" s="1" t="s">
        <v>967</v>
      </c>
      <c r="O71" s="2" t="s">
        <v>169</v>
      </c>
      <c r="P71" s="1" t="s">
        <v>968</v>
      </c>
      <c r="Q71" s="2" t="s">
        <v>10</v>
      </c>
      <c r="R71" s="2" t="s">
        <v>529</v>
      </c>
      <c r="T71" s="2" t="s">
        <v>12</v>
      </c>
      <c r="U71" s="3">
        <v>5</v>
      </c>
      <c r="V71" s="3">
        <v>5</v>
      </c>
      <c r="W71" s="4" t="s">
        <v>969</v>
      </c>
      <c r="X71" s="4" t="s">
        <v>969</v>
      </c>
      <c r="Y71" s="4" t="s">
        <v>376</v>
      </c>
      <c r="Z71" s="4" t="s">
        <v>376</v>
      </c>
      <c r="AA71" s="3">
        <v>408</v>
      </c>
      <c r="AB71" s="3">
        <v>349</v>
      </c>
      <c r="AC71" s="3">
        <v>515</v>
      </c>
      <c r="AD71" s="3">
        <v>1</v>
      </c>
      <c r="AE71" s="3">
        <v>2</v>
      </c>
      <c r="AF71" s="3">
        <v>6</v>
      </c>
      <c r="AG71" s="3">
        <v>10</v>
      </c>
      <c r="AH71" s="3">
        <v>2</v>
      </c>
      <c r="AI71" s="3">
        <v>3</v>
      </c>
      <c r="AJ71" s="3">
        <v>2</v>
      </c>
      <c r="AK71" s="3">
        <v>3</v>
      </c>
      <c r="AL71" s="3">
        <v>3</v>
      </c>
      <c r="AM71" s="3">
        <v>4</v>
      </c>
      <c r="AN71" s="3">
        <v>0</v>
      </c>
      <c r="AO71" s="3">
        <v>1</v>
      </c>
      <c r="AP71" s="3">
        <v>0</v>
      </c>
      <c r="AQ71" s="3">
        <v>0</v>
      </c>
      <c r="AR71" s="2" t="s">
        <v>5</v>
      </c>
      <c r="AS71" s="2" t="s">
        <v>90</v>
      </c>
      <c r="AT71" s="5" t="str">
        <f>HYPERLINK("http://catalog.hathitrust.org/Record/003983466","HathiTrust Record")</f>
        <v>HathiTrust Record</v>
      </c>
      <c r="AU71" s="5" t="str">
        <f>HYPERLINK("https://creighton-primo.hosted.exlibrisgroup.com/primo-explore/search?tab=default_tab&amp;search_scope=EVERYTHING&amp;vid=01CRU&amp;lang=en_US&amp;offset=0&amp;query=any,contains,991000820829702656","Catalog Record")</f>
        <v>Catalog Record</v>
      </c>
      <c r="AV71" s="5" t="str">
        <f>HYPERLINK("http://www.worldcat.org/oclc/38180358","WorldCat Record")</f>
        <v>WorldCat Record</v>
      </c>
      <c r="AW71" s="2" t="s">
        <v>970</v>
      </c>
      <c r="AX71" s="2" t="s">
        <v>971</v>
      </c>
      <c r="AY71" s="2" t="s">
        <v>972</v>
      </c>
      <c r="AZ71" s="2" t="s">
        <v>972</v>
      </c>
      <c r="BA71" s="2" t="s">
        <v>973</v>
      </c>
      <c r="BB71" s="2" t="s">
        <v>19</v>
      </c>
      <c r="BD71" s="2" t="s">
        <v>974</v>
      </c>
      <c r="BE71" s="2" t="s">
        <v>975</v>
      </c>
      <c r="BF71" s="2" t="s">
        <v>976</v>
      </c>
    </row>
    <row r="72" spans="1:58" ht="50.25" customHeight="1" x14ac:dyDescent="0.25">
      <c r="A72" s="8" t="s">
        <v>5</v>
      </c>
      <c r="B72" s="1" t="s">
        <v>0</v>
      </c>
      <c r="C72" s="1" t="s">
        <v>1</v>
      </c>
      <c r="D72" s="1" t="s">
        <v>977</v>
      </c>
      <c r="E72" s="1" t="s">
        <v>978</v>
      </c>
      <c r="F72" s="1" t="s">
        <v>979</v>
      </c>
      <c r="H72" s="2" t="s">
        <v>5</v>
      </c>
      <c r="I72" s="2" t="s">
        <v>6</v>
      </c>
      <c r="J72" s="2" t="s">
        <v>5</v>
      </c>
      <c r="K72" s="2" t="s">
        <v>5</v>
      </c>
      <c r="L72" s="2" t="s">
        <v>7</v>
      </c>
      <c r="M72" s="1" t="s">
        <v>980</v>
      </c>
      <c r="N72" s="1" t="s">
        <v>981</v>
      </c>
      <c r="O72" s="2" t="s">
        <v>60</v>
      </c>
      <c r="Q72" s="2" t="s">
        <v>10</v>
      </c>
      <c r="R72" s="2" t="s">
        <v>184</v>
      </c>
      <c r="T72" s="2" t="s">
        <v>12</v>
      </c>
      <c r="U72" s="3">
        <v>2</v>
      </c>
      <c r="V72" s="3">
        <v>2</v>
      </c>
      <c r="W72" s="4" t="s">
        <v>982</v>
      </c>
      <c r="X72" s="4" t="s">
        <v>982</v>
      </c>
      <c r="Y72" s="4" t="s">
        <v>983</v>
      </c>
      <c r="Z72" s="4" t="s">
        <v>983</v>
      </c>
      <c r="AA72" s="3">
        <v>362</v>
      </c>
      <c r="AB72" s="3">
        <v>312</v>
      </c>
      <c r="AC72" s="3">
        <v>347</v>
      </c>
      <c r="AD72" s="3">
        <v>2</v>
      </c>
      <c r="AE72" s="3">
        <v>2</v>
      </c>
      <c r="AF72" s="3">
        <v>19</v>
      </c>
      <c r="AG72" s="3">
        <v>19</v>
      </c>
      <c r="AH72" s="3">
        <v>8</v>
      </c>
      <c r="AI72" s="3">
        <v>8</v>
      </c>
      <c r="AJ72" s="3">
        <v>4</v>
      </c>
      <c r="AK72" s="3">
        <v>4</v>
      </c>
      <c r="AL72" s="3">
        <v>5</v>
      </c>
      <c r="AM72" s="3">
        <v>5</v>
      </c>
      <c r="AN72" s="3">
        <v>1</v>
      </c>
      <c r="AO72" s="3">
        <v>1</v>
      </c>
      <c r="AP72" s="3">
        <v>3</v>
      </c>
      <c r="AQ72" s="3">
        <v>3</v>
      </c>
      <c r="AR72" s="2" t="s">
        <v>5</v>
      </c>
      <c r="AS72" s="2" t="s">
        <v>5</v>
      </c>
      <c r="AU72" s="5" t="str">
        <f>HYPERLINK("https://creighton-primo.hosted.exlibrisgroup.com/primo-explore/search?tab=default_tab&amp;search_scope=EVERYTHING&amp;vid=01CRU&amp;lang=en_US&amp;offset=0&amp;query=any,contains,991000604449702656","Catalog Record")</f>
        <v>Catalog Record</v>
      </c>
      <c r="AV72" s="5" t="str">
        <f>HYPERLINK("http://www.worldcat.org/oclc/52430782","WorldCat Record")</f>
        <v>WorldCat Record</v>
      </c>
      <c r="AW72" s="2" t="s">
        <v>984</v>
      </c>
      <c r="AX72" s="2" t="s">
        <v>985</v>
      </c>
      <c r="AY72" s="2" t="s">
        <v>986</v>
      </c>
      <c r="AZ72" s="2" t="s">
        <v>986</v>
      </c>
      <c r="BA72" s="2" t="s">
        <v>987</v>
      </c>
      <c r="BB72" s="2" t="s">
        <v>19</v>
      </c>
      <c r="BD72" s="2" t="s">
        <v>988</v>
      </c>
      <c r="BE72" s="2" t="s">
        <v>989</v>
      </c>
      <c r="BF72" s="2" t="s">
        <v>990</v>
      </c>
    </row>
    <row r="73" spans="1:58" ht="50.25" customHeight="1" x14ac:dyDescent="0.25">
      <c r="A73" s="8" t="s">
        <v>5</v>
      </c>
      <c r="B73" s="1" t="s">
        <v>0</v>
      </c>
      <c r="C73" s="1" t="s">
        <v>1</v>
      </c>
      <c r="D73" s="1" t="s">
        <v>991</v>
      </c>
      <c r="E73" s="1" t="s">
        <v>992</v>
      </c>
      <c r="F73" s="1" t="s">
        <v>993</v>
      </c>
      <c r="H73" s="2" t="s">
        <v>5</v>
      </c>
      <c r="I73" s="2" t="s">
        <v>6</v>
      </c>
      <c r="J73" s="2" t="s">
        <v>5</v>
      </c>
      <c r="K73" s="2" t="s">
        <v>5</v>
      </c>
      <c r="L73" s="2" t="s">
        <v>7</v>
      </c>
      <c r="M73" s="1" t="s">
        <v>994</v>
      </c>
      <c r="N73" s="1" t="s">
        <v>995</v>
      </c>
      <c r="O73" s="2" t="s">
        <v>141</v>
      </c>
      <c r="P73" s="1" t="s">
        <v>996</v>
      </c>
      <c r="Q73" s="2" t="s">
        <v>10</v>
      </c>
      <c r="R73" s="2" t="s">
        <v>29</v>
      </c>
      <c r="T73" s="2" t="s">
        <v>12</v>
      </c>
      <c r="U73" s="3">
        <v>4</v>
      </c>
      <c r="V73" s="3">
        <v>4</v>
      </c>
      <c r="W73" s="4" t="s">
        <v>997</v>
      </c>
      <c r="X73" s="4" t="s">
        <v>997</v>
      </c>
      <c r="Y73" s="4" t="s">
        <v>998</v>
      </c>
      <c r="Z73" s="4" t="s">
        <v>998</v>
      </c>
      <c r="AA73" s="3">
        <v>315</v>
      </c>
      <c r="AB73" s="3">
        <v>257</v>
      </c>
      <c r="AC73" s="3">
        <v>400</v>
      </c>
      <c r="AD73" s="3">
        <v>1</v>
      </c>
      <c r="AE73" s="3">
        <v>1</v>
      </c>
      <c r="AF73" s="3">
        <v>4</v>
      </c>
      <c r="AG73" s="3">
        <v>7</v>
      </c>
      <c r="AH73" s="3">
        <v>0</v>
      </c>
      <c r="AI73" s="3">
        <v>2</v>
      </c>
      <c r="AJ73" s="3">
        <v>2</v>
      </c>
      <c r="AK73" s="3">
        <v>2</v>
      </c>
      <c r="AL73" s="3">
        <v>2</v>
      </c>
      <c r="AM73" s="3">
        <v>4</v>
      </c>
      <c r="AN73" s="3">
        <v>0</v>
      </c>
      <c r="AO73" s="3">
        <v>0</v>
      </c>
      <c r="AP73" s="3">
        <v>1</v>
      </c>
      <c r="AQ73" s="3">
        <v>1</v>
      </c>
      <c r="AR73" s="2" t="s">
        <v>5</v>
      </c>
      <c r="AS73" s="2" t="s">
        <v>90</v>
      </c>
      <c r="AT73" s="5" t="str">
        <f>HYPERLINK("http://catalog.hathitrust.org/Record/000624979","HathiTrust Record")</f>
        <v>HathiTrust Record</v>
      </c>
      <c r="AU73" s="5" t="str">
        <f>HYPERLINK("https://creighton-primo.hosted.exlibrisgroup.com/primo-explore/search?tab=default_tab&amp;search_scope=EVERYTHING&amp;vid=01CRU&amp;lang=en_US&amp;offset=0&amp;query=any,contains,991001288119702656","Catalog Record")</f>
        <v>Catalog Record</v>
      </c>
      <c r="AV73" s="5" t="str">
        <f>HYPERLINK("http://www.worldcat.org/oclc/12262867","WorldCat Record")</f>
        <v>WorldCat Record</v>
      </c>
      <c r="AW73" s="2" t="s">
        <v>999</v>
      </c>
      <c r="AX73" s="2" t="s">
        <v>1000</v>
      </c>
      <c r="AY73" s="2" t="s">
        <v>1001</v>
      </c>
      <c r="AZ73" s="2" t="s">
        <v>1001</v>
      </c>
      <c r="BA73" s="2" t="s">
        <v>1002</v>
      </c>
      <c r="BB73" s="2" t="s">
        <v>19</v>
      </c>
      <c r="BD73" s="2" t="s">
        <v>1003</v>
      </c>
      <c r="BE73" s="2" t="s">
        <v>1004</v>
      </c>
      <c r="BF73" s="2" t="s">
        <v>1005</v>
      </c>
    </row>
    <row r="74" spans="1:58" ht="50.25" customHeight="1" x14ac:dyDescent="0.25">
      <c r="A74" s="8" t="s">
        <v>5</v>
      </c>
      <c r="B74" s="1" t="s">
        <v>0</v>
      </c>
      <c r="C74" s="1" t="s">
        <v>1</v>
      </c>
      <c r="D74" s="1" t="s">
        <v>1006</v>
      </c>
      <c r="E74" s="1" t="s">
        <v>1007</v>
      </c>
      <c r="F74" s="1" t="s">
        <v>1008</v>
      </c>
      <c r="H74" s="2" t="s">
        <v>5</v>
      </c>
      <c r="I74" s="2" t="s">
        <v>6</v>
      </c>
      <c r="J74" s="2" t="s">
        <v>5</v>
      </c>
      <c r="K74" s="2" t="s">
        <v>5</v>
      </c>
      <c r="L74" s="2" t="s">
        <v>7</v>
      </c>
      <c r="M74" s="1" t="s">
        <v>1009</v>
      </c>
      <c r="N74" s="1" t="s">
        <v>1010</v>
      </c>
      <c r="O74" s="2" t="s">
        <v>1011</v>
      </c>
      <c r="Q74" s="2" t="s">
        <v>10</v>
      </c>
      <c r="R74" s="2" t="s">
        <v>77</v>
      </c>
      <c r="S74" s="1" t="s">
        <v>1012</v>
      </c>
      <c r="T74" s="2" t="s">
        <v>12</v>
      </c>
      <c r="U74" s="3">
        <v>3</v>
      </c>
      <c r="V74" s="3">
        <v>3</v>
      </c>
      <c r="W74" s="4" t="s">
        <v>1013</v>
      </c>
      <c r="X74" s="4" t="s">
        <v>1013</v>
      </c>
      <c r="Y74" s="4" t="s">
        <v>1014</v>
      </c>
      <c r="Z74" s="4" t="s">
        <v>1014</v>
      </c>
      <c r="AA74" s="3">
        <v>158</v>
      </c>
      <c r="AB74" s="3">
        <v>103</v>
      </c>
      <c r="AC74" s="3">
        <v>106</v>
      </c>
      <c r="AD74" s="3">
        <v>1</v>
      </c>
      <c r="AE74" s="3">
        <v>1</v>
      </c>
      <c r="AF74" s="3">
        <v>3</v>
      </c>
      <c r="AG74" s="3">
        <v>3</v>
      </c>
      <c r="AH74" s="3">
        <v>0</v>
      </c>
      <c r="AI74" s="3">
        <v>0</v>
      </c>
      <c r="AJ74" s="3">
        <v>2</v>
      </c>
      <c r="AK74" s="3">
        <v>2</v>
      </c>
      <c r="AL74" s="3">
        <v>2</v>
      </c>
      <c r="AM74" s="3">
        <v>2</v>
      </c>
      <c r="AN74" s="3">
        <v>0</v>
      </c>
      <c r="AO74" s="3">
        <v>0</v>
      </c>
      <c r="AP74" s="3">
        <v>0</v>
      </c>
      <c r="AQ74" s="3">
        <v>0</v>
      </c>
      <c r="AR74" s="2" t="s">
        <v>5</v>
      </c>
      <c r="AS74" s="2" t="s">
        <v>90</v>
      </c>
      <c r="AT74" s="5" t="str">
        <f>HYPERLINK("http://catalog.hathitrust.org/Record/000014607","HathiTrust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HYPERLINK("https://creighton-primo.hosted.exlibrisgroup.com/primo-explore/search?tab=default_tab&amp;search_scope=EVERYTHING&amp;vid=01CRU&amp;lang=en_US&amp;offset=0&amp;query=any,contains,991000713359702656","Catalog Record")</f>
        <v>Catalog Record</v>
      </c>
      <c r="AV74" s="5" t="str">
        <f>HYPERLINK("http://www.worldcat.org/oclc/915791","WorldCat Record")</f>
        <v>WorldCat Record</v>
      </c>
      <c r="AW74" s="2" t="s">
        <v>1015</v>
      </c>
      <c r="AX74" s="2" t="s">
        <v>1016</v>
      </c>
      <c r="AY74" s="2" t="s">
        <v>1017</v>
      </c>
      <c r="AZ74" s="2" t="s">
        <v>1017</v>
      </c>
      <c r="BA74" s="2" t="s">
        <v>1018</v>
      </c>
      <c r="BB74" s="2" t="s">
        <v>19</v>
      </c>
      <c r="BD74" s="2" t="s">
        <v>1019</v>
      </c>
      <c r="BE74" s="2" t="s">
        <v>1020</v>
      </c>
      <c r="BF74" s="2" t="s">
        <v>1021</v>
      </c>
    </row>
    <row r="75" spans="1:58" ht="50.25" customHeight="1" x14ac:dyDescent="0.25">
      <c r="A75" s="8" t="s">
        <v>5</v>
      </c>
      <c r="B75" s="1" t="s">
        <v>0</v>
      </c>
      <c r="C75" s="1" t="s">
        <v>1</v>
      </c>
      <c r="D75" s="1" t="s">
        <v>1022</v>
      </c>
      <c r="E75" s="1" t="s">
        <v>1023</v>
      </c>
      <c r="F75" s="1" t="s">
        <v>1024</v>
      </c>
      <c r="H75" s="2" t="s">
        <v>5</v>
      </c>
      <c r="I75" s="2" t="s">
        <v>6</v>
      </c>
      <c r="J75" s="2" t="s">
        <v>5</v>
      </c>
      <c r="K75" s="2" t="s">
        <v>5</v>
      </c>
      <c r="L75" s="2" t="s">
        <v>7</v>
      </c>
      <c r="M75" s="1" t="s">
        <v>1025</v>
      </c>
      <c r="N75" s="1" t="s">
        <v>1026</v>
      </c>
      <c r="O75" s="2" t="s">
        <v>474</v>
      </c>
      <c r="P75" s="1" t="s">
        <v>568</v>
      </c>
      <c r="Q75" s="2" t="s">
        <v>10</v>
      </c>
      <c r="R75" s="2" t="s">
        <v>29</v>
      </c>
      <c r="T75" s="2" t="s">
        <v>12</v>
      </c>
      <c r="U75" s="3">
        <v>13</v>
      </c>
      <c r="V75" s="3">
        <v>13</v>
      </c>
      <c r="W75" s="4" t="s">
        <v>1027</v>
      </c>
      <c r="X75" s="4" t="s">
        <v>1027</v>
      </c>
      <c r="Y75" s="4" t="s">
        <v>1028</v>
      </c>
      <c r="Z75" s="4" t="s">
        <v>1028</v>
      </c>
      <c r="AA75" s="3">
        <v>121</v>
      </c>
      <c r="AB75" s="3">
        <v>82</v>
      </c>
      <c r="AC75" s="3">
        <v>140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>
        <v>0</v>
      </c>
      <c r="AK75" s="3">
        <v>0</v>
      </c>
      <c r="AL75" s="3">
        <v>1</v>
      </c>
      <c r="AM75" s="3">
        <v>1</v>
      </c>
      <c r="AN75" s="3">
        <v>0</v>
      </c>
      <c r="AO75" s="3">
        <v>0</v>
      </c>
      <c r="AP75" s="3">
        <v>0</v>
      </c>
      <c r="AQ75" s="3">
        <v>0</v>
      </c>
      <c r="AR75" s="2" t="s">
        <v>5</v>
      </c>
      <c r="AS75" s="2" t="s">
        <v>90</v>
      </c>
      <c r="AT75" s="5" t="str">
        <f>HYPERLINK("http://catalog.hathitrust.org/Record/004523835","HathiTrust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HYPERLINK("https://creighton-primo.hosted.exlibrisgroup.com/primo-explore/search?tab=default_tab&amp;search_scope=EVERYTHING&amp;vid=01CRU&amp;lang=en_US&amp;offset=0&amp;query=any,contains,991000940439702656","Catalog Record")</f>
        <v>Catalog Record</v>
      </c>
      <c r="AV75" s="5" t="str">
        <f>HYPERLINK("http://www.worldcat.org/oclc/21376647","WorldCat Record")</f>
        <v>WorldCat Record</v>
      </c>
      <c r="AW75" s="2" t="s">
        <v>1029</v>
      </c>
      <c r="AX75" s="2" t="s">
        <v>1030</v>
      </c>
      <c r="AY75" s="2" t="s">
        <v>1031</v>
      </c>
      <c r="AZ75" s="2" t="s">
        <v>1031</v>
      </c>
      <c r="BA75" s="2" t="s">
        <v>1032</v>
      </c>
      <c r="BB75" s="2" t="s">
        <v>19</v>
      </c>
      <c r="BD75" s="2" t="s">
        <v>1033</v>
      </c>
      <c r="BE75" s="2" t="s">
        <v>1034</v>
      </c>
      <c r="BF75" s="2" t="s">
        <v>1035</v>
      </c>
    </row>
    <row r="76" spans="1:58" ht="50.25" customHeight="1" x14ac:dyDescent="0.25">
      <c r="A76" s="8" t="s">
        <v>5</v>
      </c>
      <c r="B76" s="1" t="s">
        <v>0</v>
      </c>
      <c r="C76" s="1" t="s">
        <v>1</v>
      </c>
      <c r="D76" s="1" t="s">
        <v>1036</v>
      </c>
      <c r="E76" s="1" t="s">
        <v>1037</v>
      </c>
      <c r="F76" s="1" t="s">
        <v>1038</v>
      </c>
      <c r="H76" s="2" t="s">
        <v>5</v>
      </c>
      <c r="I76" s="2" t="s">
        <v>6</v>
      </c>
      <c r="J76" s="2" t="s">
        <v>5</v>
      </c>
      <c r="K76" s="2" t="s">
        <v>5</v>
      </c>
      <c r="L76" s="2" t="s">
        <v>6</v>
      </c>
      <c r="N76" s="1" t="s">
        <v>1039</v>
      </c>
      <c r="O76" s="2" t="s">
        <v>169</v>
      </c>
      <c r="Q76" s="2" t="s">
        <v>10</v>
      </c>
      <c r="R76" s="2" t="s">
        <v>11</v>
      </c>
      <c r="T76" s="2" t="s">
        <v>12</v>
      </c>
      <c r="U76" s="3">
        <v>9</v>
      </c>
      <c r="V76" s="3">
        <v>9</v>
      </c>
      <c r="W76" s="4" t="s">
        <v>156</v>
      </c>
      <c r="X76" s="4" t="s">
        <v>156</v>
      </c>
      <c r="Y76" s="4" t="s">
        <v>1040</v>
      </c>
      <c r="Z76" s="4" t="s">
        <v>1040</v>
      </c>
      <c r="AA76" s="3">
        <v>277</v>
      </c>
      <c r="AB76" s="3">
        <v>182</v>
      </c>
      <c r="AC76" s="3">
        <v>1167</v>
      </c>
      <c r="AD76" s="3">
        <v>1</v>
      </c>
      <c r="AE76" s="3">
        <v>15</v>
      </c>
      <c r="AF76" s="3">
        <v>6</v>
      </c>
      <c r="AG76" s="3">
        <v>49</v>
      </c>
      <c r="AH76" s="3">
        <v>1</v>
      </c>
      <c r="AI76" s="3">
        <v>14</v>
      </c>
      <c r="AJ76" s="3">
        <v>1</v>
      </c>
      <c r="AK76" s="3">
        <v>11</v>
      </c>
      <c r="AL76" s="3">
        <v>4</v>
      </c>
      <c r="AM76" s="3">
        <v>15</v>
      </c>
      <c r="AN76" s="3">
        <v>0</v>
      </c>
      <c r="AO76" s="3">
        <v>13</v>
      </c>
      <c r="AP76" s="3">
        <v>0</v>
      </c>
      <c r="AQ76" s="3">
        <v>2</v>
      </c>
      <c r="AR76" s="2" t="s">
        <v>5</v>
      </c>
      <c r="AS76" s="2" t="s">
        <v>5</v>
      </c>
      <c r="AU76" s="5" t="str">
        <f>HYPERLINK("https://creighton-primo.hosted.exlibrisgroup.com/primo-explore/search?tab=default_tab&amp;search_scope=EVERYTHING&amp;vid=01CRU&amp;lang=en_US&amp;offset=0&amp;query=any,contains,991000597259702656","Catalog Record")</f>
        <v>Catalog Record</v>
      </c>
      <c r="AV76" s="5" t="str">
        <f>HYPERLINK("http://www.worldcat.org/oclc/36848139","WorldCat Record")</f>
        <v>WorldCat Record</v>
      </c>
      <c r="AW76" s="2" t="s">
        <v>1041</v>
      </c>
      <c r="AX76" s="2" t="s">
        <v>1042</v>
      </c>
      <c r="AY76" s="2" t="s">
        <v>1043</v>
      </c>
      <c r="AZ76" s="2" t="s">
        <v>1043</v>
      </c>
      <c r="BA76" s="2" t="s">
        <v>1044</v>
      </c>
      <c r="BB76" s="2" t="s">
        <v>19</v>
      </c>
      <c r="BD76" s="2" t="s">
        <v>1045</v>
      </c>
      <c r="BE76" s="2" t="s">
        <v>1046</v>
      </c>
      <c r="BF76" s="2" t="s">
        <v>1047</v>
      </c>
    </row>
    <row r="77" spans="1:58" ht="50.25" customHeight="1" x14ac:dyDescent="0.25">
      <c r="A77" s="8" t="s">
        <v>5</v>
      </c>
      <c r="B77" s="1" t="s">
        <v>0</v>
      </c>
      <c r="C77" s="1" t="s">
        <v>1</v>
      </c>
      <c r="D77" s="1" t="s">
        <v>1048</v>
      </c>
      <c r="E77" s="1" t="s">
        <v>1049</v>
      </c>
      <c r="F77" s="1" t="s">
        <v>1050</v>
      </c>
      <c r="H77" s="2" t="s">
        <v>5</v>
      </c>
      <c r="I77" s="2" t="s">
        <v>6</v>
      </c>
      <c r="J77" s="2" t="s">
        <v>5</v>
      </c>
      <c r="K77" s="2" t="s">
        <v>90</v>
      </c>
      <c r="L77" s="2" t="s">
        <v>7</v>
      </c>
      <c r="M77" s="1" t="s">
        <v>1051</v>
      </c>
      <c r="N77" s="1" t="s">
        <v>1052</v>
      </c>
      <c r="O77" s="2" t="s">
        <v>596</v>
      </c>
      <c r="P77" s="1" t="s">
        <v>404</v>
      </c>
      <c r="Q77" s="2" t="s">
        <v>10</v>
      </c>
      <c r="R77" s="2" t="s">
        <v>29</v>
      </c>
      <c r="T77" s="2" t="s">
        <v>12</v>
      </c>
      <c r="U77" s="3">
        <v>32</v>
      </c>
      <c r="V77" s="3">
        <v>32</v>
      </c>
      <c r="W77" s="4" t="s">
        <v>1053</v>
      </c>
      <c r="X77" s="4" t="s">
        <v>1053</v>
      </c>
      <c r="Y77" s="4" t="s">
        <v>1054</v>
      </c>
      <c r="Z77" s="4" t="s">
        <v>1054</v>
      </c>
      <c r="AA77" s="3">
        <v>238</v>
      </c>
      <c r="AB77" s="3">
        <v>150</v>
      </c>
      <c r="AC77" s="3">
        <v>554</v>
      </c>
      <c r="AD77" s="3">
        <v>1</v>
      </c>
      <c r="AE77" s="3">
        <v>5</v>
      </c>
      <c r="AF77" s="3">
        <v>2</v>
      </c>
      <c r="AG77" s="3">
        <v>17</v>
      </c>
      <c r="AH77" s="3">
        <v>0</v>
      </c>
      <c r="AI77" s="3">
        <v>5</v>
      </c>
      <c r="AJ77" s="3">
        <v>0</v>
      </c>
      <c r="AK77" s="3">
        <v>4</v>
      </c>
      <c r="AL77" s="3">
        <v>2</v>
      </c>
      <c r="AM77" s="3">
        <v>7</v>
      </c>
      <c r="AN77" s="3">
        <v>0</v>
      </c>
      <c r="AO77" s="3">
        <v>3</v>
      </c>
      <c r="AP77" s="3">
        <v>0</v>
      </c>
      <c r="AQ77" s="3">
        <v>1</v>
      </c>
      <c r="AR77" s="2" t="s">
        <v>5</v>
      </c>
      <c r="AS77" s="2" t="s">
        <v>90</v>
      </c>
      <c r="AT77" s="5" t="str">
        <f>HYPERLINK("http://catalog.hathitrust.org/Record/000826424","HathiTrust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HYPERLINK("https://creighton-primo.hosted.exlibrisgroup.com/primo-explore/search?tab=default_tab&amp;search_scope=EVERYTHING&amp;vid=01CRU&amp;lang=en_US&amp;offset=0&amp;query=any,contains,991001190149702656","Catalog Record")</f>
        <v>Catalog Record</v>
      </c>
      <c r="AV77" s="5" t="str">
        <f>HYPERLINK("http://www.worldcat.org/oclc/14967164","WorldCat Record")</f>
        <v>WorldCat Record</v>
      </c>
      <c r="AW77" s="2" t="s">
        <v>1055</v>
      </c>
      <c r="AX77" s="2" t="s">
        <v>1056</v>
      </c>
      <c r="AY77" s="2" t="s">
        <v>1057</v>
      </c>
      <c r="AZ77" s="2" t="s">
        <v>1057</v>
      </c>
      <c r="BA77" s="2" t="s">
        <v>1058</v>
      </c>
      <c r="BB77" s="2" t="s">
        <v>19</v>
      </c>
      <c r="BD77" s="2" t="s">
        <v>1059</v>
      </c>
      <c r="BE77" s="2" t="s">
        <v>1060</v>
      </c>
      <c r="BF77" s="2" t="s">
        <v>1061</v>
      </c>
    </row>
    <row r="78" spans="1:58" ht="50.25" customHeight="1" x14ac:dyDescent="0.25">
      <c r="A78" s="8" t="s">
        <v>5</v>
      </c>
      <c r="B78" s="1" t="s">
        <v>0</v>
      </c>
      <c r="C78" s="1" t="s">
        <v>1</v>
      </c>
      <c r="D78" s="1" t="s">
        <v>1062</v>
      </c>
      <c r="E78" s="1" t="s">
        <v>1063</v>
      </c>
      <c r="F78" s="1" t="s">
        <v>1064</v>
      </c>
      <c r="H78" s="2" t="s">
        <v>5</v>
      </c>
      <c r="I78" s="2" t="s">
        <v>6</v>
      </c>
      <c r="J78" s="2" t="s">
        <v>5</v>
      </c>
      <c r="K78" s="2" t="s">
        <v>5</v>
      </c>
      <c r="L78" s="2" t="s">
        <v>7</v>
      </c>
      <c r="M78" s="1" t="s">
        <v>1065</v>
      </c>
      <c r="N78" s="1" t="s">
        <v>1066</v>
      </c>
      <c r="O78" s="2" t="s">
        <v>169</v>
      </c>
      <c r="Q78" s="2" t="s">
        <v>10</v>
      </c>
      <c r="R78" s="2" t="s">
        <v>11</v>
      </c>
      <c r="T78" s="2" t="s">
        <v>12</v>
      </c>
      <c r="U78" s="3">
        <v>11</v>
      </c>
      <c r="V78" s="3">
        <v>11</v>
      </c>
      <c r="W78" s="4" t="s">
        <v>1067</v>
      </c>
      <c r="X78" s="4" t="s">
        <v>1067</v>
      </c>
      <c r="Y78" s="4" t="s">
        <v>1068</v>
      </c>
      <c r="Z78" s="4" t="s">
        <v>1068</v>
      </c>
      <c r="AA78" s="3">
        <v>262</v>
      </c>
      <c r="AB78" s="3">
        <v>177</v>
      </c>
      <c r="AC78" s="3">
        <v>730</v>
      </c>
      <c r="AD78" s="3">
        <v>1</v>
      </c>
      <c r="AE78" s="3">
        <v>6</v>
      </c>
      <c r="AF78" s="3">
        <v>5</v>
      </c>
      <c r="AG78" s="3">
        <v>33</v>
      </c>
      <c r="AH78" s="3">
        <v>0</v>
      </c>
      <c r="AI78" s="3">
        <v>11</v>
      </c>
      <c r="AJ78" s="3">
        <v>2</v>
      </c>
      <c r="AK78" s="3">
        <v>7</v>
      </c>
      <c r="AL78" s="3">
        <v>3</v>
      </c>
      <c r="AM78" s="3">
        <v>13</v>
      </c>
      <c r="AN78" s="3">
        <v>0</v>
      </c>
      <c r="AO78" s="3">
        <v>5</v>
      </c>
      <c r="AP78" s="3">
        <v>0</v>
      </c>
      <c r="AQ78" s="3">
        <v>1</v>
      </c>
      <c r="AR78" s="2" t="s">
        <v>5</v>
      </c>
      <c r="AS78" s="2" t="s">
        <v>5</v>
      </c>
      <c r="AU78" s="5" t="str">
        <f>HYPERLINK("https://creighton-primo.hosted.exlibrisgroup.com/primo-explore/search?tab=default_tab&amp;search_scope=EVERYTHING&amp;vid=01CRU&amp;lang=en_US&amp;offset=0&amp;query=any,contains,991000694199702656","Catalog Record")</f>
        <v>Catalog Record</v>
      </c>
      <c r="AV78" s="5" t="str">
        <f>HYPERLINK("http://www.worldcat.org/oclc/37771040","WorldCat Record")</f>
        <v>WorldCat Record</v>
      </c>
      <c r="AW78" s="2" t="s">
        <v>1069</v>
      </c>
      <c r="AX78" s="2" t="s">
        <v>1070</v>
      </c>
      <c r="AY78" s="2" t="s">
        <v>1071</v>
      </c>
      <c r="AZ78" s="2" t="s">
        <v>1071</v>
      </c>
      <c r="BA78" s="2" t="s">
        <v>1072</v>
      </c>
      <c r="BB78" s="2" t="s">
        <v>19</v>
      </c>
      <c r="BD78" s="2" t="s">
        <v>1073</v>
      </c>
      <c r="BE78" s="2" t="s">
        <v>1074</v>
      </c>
      <c r="BF78" s="2" t="s">
        <v>1075</v>
      </c>
    </row>
    <row r="79" spans="1:58" ht="50.25" customHeight="1" x14ac:dyDescent="0.25">
      <c r="A79" s="8" t="s">
        <v>5</v>
      </c>
      <c r="B79" s="1" t="s">
        <v>0</v>
      </c>
      <c r="C79" s="1" t="s">
        <v>1</v>
      </c>
      <c r="D79" s="1" t="s">
        <v>1076</v>
      </c>
      <c r="E79" s="1" t="s">
        <v>1077</v>
      </c>
      <c r="F79" s="1" t="s">
        <v>1078</v>
      </c>
      <c r="H79" s="2" t="s">
        <v>5</v>
      </c>
      <c r="I79" s="2" t="s">
        <v>6</v>
      </c>
      <c r="J79" s="2" t="s">
        <v>5</v>
      </c>
      <c r="K79" s="2" t="s">
        <v>5</v>
      </c>
      <c r="L79" s="2" t="s">
        <v>7</v>
      </c>
      <c r="M79" s="1" t="s">
        <v>1079</v>
      </c>
      <c r="N79" s="1" t="s">
        <v>1080</v>
      </c>
      <c r="O79" s="2" t="s">
        <v>198</v>
      </c>
      <c r="Q79" s="2" t="s">
        <v>10</v>
      </c>
      <c r="R79" s="2" t="s">
        <v>184</v>
      </c>
      <c r="S79" s="1" t="s">
        <v>1081</v>
      </c>
      <c r="T79" s="2" t="s">
        <v>12</v>
      </c>
      <c r="U79" s="3">
        <v>1</v>
      </c>
      <c r="V79" s="3">
        <v>1</v>
      </c>
      <c r="W79" s="4" t="s">
        <v>1082</v>
      </c>
      <c r="X79" s="4" t="s">
        <v>1082</v>
      </c>
      <c r="Y79" s="4" t="s">
        <v>1083</v>
      </c>
      <c r="Z79" s="4" t="s">
        <v>1083</v>
      </c>
      <c r="AA79" s="3">
        <v>41</v>
      </c>
      <c r="AB79" s="3">
        <v>40</v>
      </c>
      <c r="AC79" s="3">
        <v>40</v>
      </c>
      <c r="AD79" s="3">
        <v>2</v>
      </c>
      <c r="AE79" s="3">
        <v>2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2" t="s">
        <v>5</v>
      </c>
      <c r="AS79" s="2" t="s">
        <v>5</v>
      </c>
      <c r="AU79" s="5" t="str">
        <f>HYPERLINK("https://creighton-primo.hosted.exlibrisgroup.com/primo-explore/search?tab=default_tab&amp;search_scope=EVERYTHING&amp;vid=01CRU&amp;lang=en_US&amp;offset=0&amp;query=any,contains,991001187779702656","Catalog Record")</f>
        <v>Catalog Record</v>
      </c>
      <c r="AV79" s="5" t="str">
        <f>HYPERLINK("http://www.worldcat.org/oclc/15162522","WorldCat Record")</f>
        <v>WorldCat Record</v>
      </c>
      <c r="AW79" s="2" t="s">
        <v>1084</v>
      </c>
      <c r="AX79" s="2" t="s">
        <v>1085</v>
      </c>
      <c r="AY79" s="2" t="s">
        <v>1086</v>
      </c>
      <c r="AZ79" s="2" t="s">
        <v>1086</v>
      </c>
      <c r="BA79" s="2" t="s">
        <v>1087</v>
      </c>
      <c r="BB79" s="2" t="s">
        <v>19</v>
      </c>
      <c r="BE79" s="2" t="s">
        <v>1088</v>
      </c>
      <c r="BF79" s="2" t="s">
        <v>1089</v>
      </c>
    </row>
    <row r="80" spans="1:58" ht="50.25" customHeight="1" x14ac:dyDescent="0.25">
      <c r="A80" s="8" t="s">
        <v>5</v>
      </c>
      <c r="B80" s="1" t="s">
        <v>0</v>
      </c>
      <c r="C80" s="1" t="s">
        <v>1</v>
      </c>
      <c r="D80" s="1" t="s">
        <v>1090</v>
      </c>
      <c r="E80" s="1" t="s">
        <v>1091</v>
      </c>
      <c r="F80" s="1" t="s">
        <v>1092</v>
      </c>
      <c r="H80" s="2" t="s">
        <v>5</v>
      </c>
      <c r="I80" s="2" t="s">
        <v>6</v>
      </c>
      <c r="J80" s="2" t="s">
        <v>5</v>
      </c>
      <c r="K80" s="2" t="s">
        <v>5</v>
      </c>
      <c r="L80" s="2" t="s">
        <v>7</v>
      </c>
      <c r="M80" s="1" t="s">
        <v>1093</v>
      </c>
      <c r="N80" s="1" t="s">
        <v>1094</v>
      </c>
      <c r="O80" s="2" t="s">
        <v>1095</v>
      </c>
      <c r="Q80" s="2" t="s">
        <v>10</v>
      </c>
      <c r="R80" s="2" t="s">
        <v>1096</v>
      </c>
      <c r="T80" s="2" t="s">
        <v>12</v>
      </c>
      <c r="U80" s="3">
        <v>3</v>
      </c>
      <c r="V80" s="3">
        <v>3</v>
      </c>
      <c r="W80" s="4" t="s">
        <v>1097</v>
      </c>
      <c r="X80" s="4" t="s">
        <v>1097</v>
      </c>
      <c r="Y80" s="4" t="s">
        <v>1098</v>
      </c>
      <c r="Z80" s="4" t="s">
        <v>1098</v>
      </c>
      <c r="AA80" s="3">
        <v>397</v>
      </c>
      <c r="AB80" s="3">
        <v>299</v>
      </c>
      <c r="AC80" s="3">
        <v>301</v>
      </c>
      <c r="AD80" s="3">
        <v>2</v>
      </c>
      <c r="AE80" s="3">
        <v>2</v>
      </c>
      <c r="AF80" s="3">
        <v>14</v>
      </c>
      <c r="AG80" s="3">
        <v>14</v>
      </c>
      <c r="AH80" s="3">
        <v>3</v>
      </c>
      <c r="AI80" s="3">
        <v>3</v>
      </c>
      <c r="AJ80" s="3">
        <v>3</v>
      </c>
      <c r="AK80" s="3">
        <v>3</v>
      </c>
      <c r="AL80" s="3">
        <v>10</v>
      </c>
      <c r="AM80" s="3">
        <v>10</v>
      </c>
      <c r="AN80" s="3">
        <v>1</v>
      </c>
      <c r="AO80" s="3">
        <v>1</v>
      </c>
      <c r="AP80" s="3">
        <v>0</v>
      </c>
      <c r="AQ80" s="3">
        <v>0</v>
      </c>
      <c r="AR80" s="2" t="s">
        <v>5</v>
      </c>
      <c r="AS80" s="2" t="s">
        <v>90</v>
      </c>
      <c r="AT80" s="5" t="str">
        <f>HYPERLINK("http://catalog.hathitrust.org/Record/002961303","HathiTrust Record")</f>
        <v>HathiTrust Record</v>
      </c>
      <c r="AU80" s="5" t="str">
        <f>HYPERLINK("https://creighton-primo.hosted.exlibrisgroup.com/primo-explore/search?tab=default_tab&amp;search_scope=EVERYTHING&amp;vid=01CRU&amp;lang=en_US&amp;offset=0&amp;query=any,contains,991001552909702656","Catalog Record")</f>
        <v>Catalog Record</v>
      </c>
      <c r="AV80" s="5" t="str">
        <f>HYPERLINK("http://www.worldcat.org/oclc/31975103","WorldCat Record")</f>
        <v>WorldCat Record</v>
      </c>
      <c r="AW80" s="2" t="s">
        <v>1099</v>
      </c>
      <c r="AX80" s="2" t="s">
        <v>1100</v>
      </c>
      <c r="AY80" s="2" t="s">
        <v>1101</v>
      </c>
      <c r="AZ80" s="2" t="s">
        <v>1101</v>
      </c>
      <c r="BA80" s="2" t="s">
        <v>1102</v>
      </c>
      <c r="BB80" s="2" t="s">
        <v>19</v>
      </c>
      <c r="BD80" s="2" t="s">
        <v>1103</v>
      </c>
      <c r="BE80" s="2" t="s">
        <v>1104</v>
      </c>
      <c r="BF80" s="2" t="s">
        <v>1105</v>
      </c>
    </row>
    <row r="81" spans="1:58" ht="50.25" customHeight="1" x14ac:dyDescent="0.25">
      <c r="A81" s="8" t="s">
        <v>5</v>
      </c>
      <c r="B81" s="1" t="s">
        <v>0</v>
      </c>
      <c r="C81" s="1" t="s">
        <v>1</v>
      </c>
      <c r="D81" s="1" t="s">
        <v>1106</v>
      </c>
      <c r="E81" s="1" t="s">
        <v>1107</v>
      </c>
      <c r="F81" s="1" t="s">
        <v>1108</v>
      </c>
      <c r="H81" s="2" t="s">
        <v>5</v>
      </c>
      <c r="I81" s="2" t="s">
        <v>6</v>
      </c>
      <c r="J81" s="2" t="s">
        <v>5</v>
      </c>
      <c r="K81" s="2" t="s">
        <v>5</v>
      </c>
      <c r="L81" s="2" t="s">
        <v>7</v>
      </c>
      <c r="M81" s="1" t="s">
        <v>1109</v>
      </c>
      <c r="N81" s="1" t="s">
        <v>1110</v>
      </c>
      <c r="O81" s="2" t="s">
        <v>1095</v>
      </c>
      <c r="Q81" s="2" t="s">
        <v>10</v>
      </c>
      <c r="R81" s="2" t="s">
        <v>11</v>
      </c>
      <c r="T81" s="2" t="s">
        <v>12</v>
      </c>
      <c r="U81" s="3">
        <v>33</v>
      </c>
      <c r="V81" s="3">
        <v>33</v>
      </c>
      <c r="W81" s="4" t="s">
        <v>156</v>
      </c>
      <c r="X81" s="4" t="s">
        <v>156</v>
      </c>
      <c r="Y81" s="4" t="s">
        <v>1111</v>
      </c>
      <c r="Z81" s="4" t="s">
        <v>1111</v>
      </c>
      <c r="AA81" s="3">
        <v>1020</v>
      </c>
      <c r="AB81" s="3">
        <v>967</v>
      </c>
      <c r="AC81" s="3">
        <v>1147</v>
      </c>
      <c r="AD81" s="3">
        <v>5</v>
      </c>
      <c r="AE81" s="3">
        <v>8</v>
      </c>
      <c r="AF81" s="3">
        <v>23</v>
      </c>
      <c r="AG81" s="3">
        <v>28</v>
      </c>
      <c r="AH81" s="3">
        <v>8</v>
      </c>
      <c r="AI81" s="3">
        <v>9</v>
      </c>
      <c r="AJ81" s="3">
        <v>5</v>
      </c>
      <c r="AK81" s="3">
        <v>6</v>
      </c>
      <c r="AL81" s="3">
        <v>13</v>
      </c>
      <c r="AM81" s="3">
        <v>15</v>
      </c>
      <c r="AN81" s="3">
        <v>2</v>
      </c>
      <c r="AO81" s="3">
        <v>5</v>
      </c>
      <c r="AP81" s="3">
        <v>0</v>
      </c>
      <c r="AQ81" s="3">
        <v>0</v>
      </c>
      <c r="AR81" s="2" t="s">
        <v>5</v>
      </c>
      <c r="AS81" s="2" t="s">
        <v>90</v>
      </c>
      <c r="AT81" s="5" t="str">
        <f>HYPERLINK("http://catalog.hathitrust.org/Record/002969799","HathiTrust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HYPERLINK("https://creighton-primo.hosted.exlibrisgroup.com/primo-explore/search?tab=default_tab&amp;search_scope=EVERYTHING&amp;vid=01CRU&amp;lang=en_US&amp;offset=0&amp;query=any,contains,991001400119702656","Catalog Record")</f>
        <v>Catalog Record</v>
      </c>
      <c r="AV81" s="5" t="str">
        <f>HYPERLINK("http://www.worldcat.org/oclc/31172888","WorldCat Record")</f>
        <v>WorldCat Record</v>
      </c>
      <c r="AW81" s="2" t="s">
        <v>1112</v>
      </c>
      <c r="AX81" s="2" t="s">
        <v>1113</v>
      </c>
      <c r="AY81" s="2" t="s">
        <v>1114</v>
      </c>
      <c r="AZ81" s="2" t="s">
        <v>1114</v>
      </c>
      <c r="BA81" s="2" t="s">
        <v>1115</v>
      </c>
      <c r="BB81" s="2" t="s">
        <v>19</v>
      </c>
      <c r="BD81" s="2" t="s">
        <v>1116</v>
      </c>
      <c r="BE81" s="2" t="s">
        <v>1117</v>
      </c>
      <c r="BF81" s="2" t="s">
        <v>1118</v>
      </c>
    </row>
    <row r="82" spans="1:58" ht="50.25" customHeight="1" x14ac:dyDescent="0.25">
      <c r="A82" s="8" t="s">
        <v>5</v>
      </c>
      <c r="B82" s="1" t="s">
        <v>0</v>
      </c>
      <c r="C82" s="1" t="s">
        <v>1</v>
      </c>
      <c r="D82" s="1" t="s">
        <v>1119</v>
      </c>
      <c r="E82" s="1" t="s">
        <v>1120</v>
      </c>
      <c r="F82" s="1" t="s">
        <v>1121</v>
      </c>
      <c r="H82" s="2" t="s">
        <v>5</v>
      </c>
      <c r="I82" s="2" t="s">
        <v>6</v>
      </c>
      <c r="J82" s="2" t="s">
        <v>5</v>
      </c>
      <c r="K82" s="2" t="s">
        <v>5</v>
      </c>
      <c r="L82" s="2" t="s">
        <v>7</v>
      </c>
      <c r="N82" s="1" t="s">
        <v>1122</v>
      </c>
      <c r="O82" s="2" t="s">
        <v>259</v>
      </c>
      <c r="Q82" s="2" t="s">
        <v>10</v>
      </c>
      <c r="R82" s="2" t="s">
        <v>11</v>
      </c>
      <c r="T82" s="2" t="s">
        <v>12</v>
      </c>
      <c r="U82" s="3">
        <v>9</v>
      </c>
      <c r="V82" s="3">
        <v>9</v>
      </c>
      <c r="W82" s="4" t="s">
        <v>1123</v>
      </c>
      <c r="X82" s="4" t="s">
        <v>1123</v>
      </c>
      <c r="Y82" s="4" t="s">
        <v>1124</v>
      </c>
      <c r="Z82" s="4" t="s">
        <v>1124</v>
      </c>
      <c r="AA82" s="3">
        <v>231</v>
      </c>
      <c r="AB82" s="3">
        <v>150</v>
      </c>
      <c r="AC82" s="3">
        <v>267</v>
      </c>
      <c r="AD82" s="3">
        <v>2</v>
      </c>
      <c r="AE82" s="3">
        <v>2</v>
      </c>
      <c r="AF82" s="3">
        <v>3</v>
      </c>
      <c r="AG82" s="3">
        <v>8</v>
      </c>
      <c r="AH82" s="3">
        <v>0</v>
      </c>
      <c r="AI82" s="3">
        <v>0</v>
      </c>
      <c r="AJ82" s="3">
        <v>1</v>
      </c>
      <c r="AK82" s="3">
        <v>4</v>
      </c>
      <c r="AL82" s="3">
        <v>1</v>
      </c>
      <c r="AM82" s="3">
        <v>4</v>
      </c>
      <c r="AN82" s="3">
        <v>1</v>
      </c>
      <c r="AO82" s="3">
        <v>1</v>
      </c>
      <c r="AP82" s="3">
        <v>0</v>
      </c>
      <c r="AQ82" s="3">
        <v>0</v>
      </c>
      <c r="AR82" s="2" t="s">
        <v>5</v>
      </c>
      <c r="AS82" s="2" t="s">
        <v>5</v>
      </c>
      <c r="AU82" s="5" t="str">
        <f>HYPERLINK("https://creighton-primo.hosted.exlibrisgroup.com/primo-explore/search?tab=default_tab&amp;search_scope=EVERYTHING&amp;vid=01CRU&amp;lang=en_US&amp;offset=0&amp;query=any,contains,991000485939702656","Catalog Record")</f>
        <v>Catalog Record</v>
      </c>
      <c r="AV82" s="5" t="str">
        <f>HYPERLINK("http://www.worldcat.org/oclc/27849988","WorldCat Record")</f>
        <v>WorldCat Record</v>
      </c>
      <c r="AW82" s="2" t="s">
        <v>1125</v>
      </c>
      <c r="AX82" s="2" t="s">
        <v>1126</v>
      </c>
      <c r="AY82" s="2" t="s">
        <v>1127</v>
      </c>
      <c r="AZ82" s="2" t="s">
        <v>1127</v>
      </c>
      <c r="BA82" s="2" t="s">
        <v>1128</v>
      </c>
      <c r="BB82" s="2" t="s">
        <v>19</v>
      </c>
      <c r="BD82" s="2" t="s">
        <v>1129</v>
      </c>
      <c r="BE82" s="2" t="s">
        <v>1130</v>
      </c>
      <c r="BF82" s="2" t="s">
        <v>1131</v>
      </c>
    </row>
    <row r="83" spans="1:58" ht="50.25" customHeight="1" x14ac:dyDescent="0.25">
      <c r="A83" s="8" t="s">
        <v>5</v>
      </c>
      <c r="B83" s="1" t="s">
        <v>0</v>
      </c>
      <c r="C83" s="1" t="s">
        <v>1</v>
      </c>
      <c r="D83" s="1" t="s">
        <v>1132</v>
      </c>
      <c r="E83" s="1" t="s">
        <v>1133</v>
      </c>
      <c r="F83" s="1" t="s">
        <v>1134</v>
      </c>
      <c r="G83" s="2" t="s">
        <v>1135</v>
      </c>
      <c r="H83" s="2" t="s">
        <v>5</v>
      </c>
      <c r="I83" s="2" t="s">
        <v>6</v>
      </c>
      <c r="J83" s="2" t="s">
        <v>5</v>
      </c>
      <c r="K83" s="2" t="s">
        <v>90</v>
      </c>
      <c r="L83" s="2" t="s">
        <v>7</v>
      </c>
      <c r="M83" s="1" t="s">
        <v>1136</v>
      </c>
      <c r="N83" s="1" t="s">
        <v>1137</v>
      </c>
      <c r="O83" s="2" t="s">
        <v>1138</v>
      </c>
      <c r="Q83" s="2" t="s">
        <v>10</v>
      </c>
      <c r="R83" s="2" t="s">
        <v>11</v>
      </c>
      <c r="T83" s="2" t="s">
        <v>12</v>
      </c>
      <c r="U83" s="3">
        <v>28</v>
      </c>
      <c r="V83" s="3">
        <v>28</v>
      </c>
      <c r="W83" s="4" t="s">
        <v>1139</v>
      </c>
      <c r="X83" s="4" t="s">
        <v>1139</v>
      </c>
      <c r="Y83" s="4" t="s">
        <v>519</v>
      </c>
      <c r="Z83" s="4" t="s">
        <v>519</v>
      </c>
      <c r="AA83" s="3">
        <v>57</v>
      </c>
      <c r="AB83" s="3">
        <v>55</v>
      </c>
      <c r="AC83" s="3">
        <v>952</v>
      </c>
      <c r="AD83" s="3">
        <v>1</v>
      </c>
      <c r="AE83" s="3">
        <v>5</v>
      </c>
      <c r="AF83" s="3">
        <v>3</v>
      </c>
      <c r="AG83" s="3">
        <v>21</v>
      </c>
      <c r="AH83" s="3">
        <v>1</v>
      </c>
      <c r="AI83" s="3">
        <v>9</v>
      </c>
      <c r="AJ83" s="3">
        <v>0</v>
      </c>
      <c r="AK83" s="3">
        <v>6</v>
      </c>
      <c r="AL83" s="3">
        <v>2</v>
      </c>
      <c r="AM83" s="3">
        <v>8</v>
      </c>
      <c r="AN83" s="3">
        <v>0</v>
      </c>
      <c r="AO83" s="3">
        <v>1</v>
      </c>
      <c r="AP83" s="3">
        <v>1</v>
      </c>
      <c r="AQ83" s="3">
        <v>1</v>
      </c>
      <c r="AR83" s="2" t="s">
        <v>5</v>
      </c>
      <c r="AS83" s="2" t="s">
        <v>90</v>
      </c>
      <c r="AT83" s="5" t="str">
        <f>HYPERLINK("http://catalog.hathitrust.org/Record/000202005","HathiTrust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HYPERLINK("https://creighton-primo.hosted.exlibrisgroup.com/primo-explore/search?tab=default_tab&amp;search_scope=EVERYTHING&amp;vid=01CRU&amp;lang=en_US&amp;offset=0&amp;query=any,contains,991000754079702656","Catalog Record")</f>
        <v>Catalog Record</v>
      </c>
      <c r="AV83" s="5" t="str">
        <f>HYPERLINK("http://www.worldcat.org/oclc/11955719","WorldCat Record")</f>
        <v>WorldCat Record</v>
      </c>
      <c r="AW83" s="2" t="s">
        <v>1140</v>
      </c>
      <c r="AX83" s="2" t="s">
        <v>1141</v>
      </c>
      <c r="AY83" s="2" t="s">
        <v>1142</v>
      </c>
      <c r="AZ83" s="2" t="s">
        <v>1142</v>
      </c>
      <c r="BA83" s="2" t="s">
        <v>1143</v>
      </c>
      <c r="BB83" s="2" t="s">
        <v>19</v>
      </c>
      <c r="BE83" s="2" t="s">
        <v>1144</v>
      </c>
      <c r="BF83" s="2" t="s">
        <v>1145</v>
      </c>
    </row>
    <row r="84" spans="1:58" ht="50.25" customHeight="1" x14ac:dyDescent="0.25">
      <c r="A84" s="8" t="s">
        <v>5</v>
      </c>
      <c r="B84" s="1" t="s">
        <v>0</v>
      </c>
      <c r="C84" s="1" t="s">
        <v>1</v>
      </c>
      <c r="D84" s="1" t="s">
        <v>1146</v>
      </c>
      <c r="E84" s="1" t="s">
        <v>1147</v>
      </c>
      <c r="F84" s="1" t="s">
        <v>1148</v>
      </c>
      <c r="H84" s="2" t="s">
        <v>5</v>
      </c>
      <c r="I84" s="2" t="s">
        <v>6</v>
      </c>
      <c r="J84" s="2" t="s">
        <v>5</v>
      </c>
      <c r="K84" s="2" t="s">
        <v>5</v>
      </c>
      <c r="L84" s="2" t="s">
        <v>7</v>
      </c>
      <c r="N84" s="1" t="s">
        <v>1149</v>
      </c>
      <c r="O84" s="2" t="s">
        <v>259</v>
      </c>
      <c r="Q84" s="2" t="s">
        <v>10</v>
      </c>
      <c r="R84" s="2" t="s">
        <v>1150</v>
      </c>
      <c r="S84" s="1" t="s">
        <v>1151</v>
      </c>
      <c r="T84" s="2" t="s">
        <v>12</v>
      </c>
      <c r="U84" s="3">
        <v>1</v>
      </c>
      <c r="V84" s="3">
        <v>1</v>
      </c>
      <c r="W84" s="4" t="s">
        <v>969</v>
      </c>
      <c r="X84" s="4" t="s">
        <v>969</v>
      </c>
      <c r="Y84" s="4" t="s">
        <v>1152</v>
      </c>
      <c r="Z84" s="4" t="s">
        <v>1152</v>
      </c>
      <c r="AA84" s="3">
        <v>62</v>
      </c>
      <c r="AB84" s="3">
        <v>56</v>
      </c>
      <c r="AC84" s="3">
        <v>63</v>
      </c>
      <c r="AD84" s="3">
        <v>2</v>
      </c>
      <c r="AE84" s="3">
        <v>2</v>
      </c>
      <c r="AF84" s="3">
        <v>1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1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2" t="s">
        <v>90</v>
      </c>
      <c r="AS84" s="2" t="s">
        <v>5</v>
      </c>
      <c r="AT84" s="5" t="str">
        <f>HYPERLINK("http://catalog.hathitrust.org/Record/102413032","HathiTrust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HYPERLINK("https://creighton-primo.hosted.exlibrisgroup.com/primo-explore/search?tab=default_tab&amp;search_scope=EVERYTHING&amp;vid=01CRU&amp;lang=en_US&amp;offset=0&amp;query=any,contains,991000252889702656","Catalog Record")</f>
        <v>Catalog Record</v>
      </c>
      <c r="AV84" s="5" t="str">
        <f>HYPERLINK("http://www.worldcat.org/oclc/31213376","WorldCat Record")</f>
        <v>WorldCat Record</v>
      </c>
      <c r="AW84" s="2" t="s">
        <v>1153</v>
      </c>
      <c r="AX84" s="2" t="s">
        <v>1154</v>
      </c>
      <c r="AY84" s="2" t="s">
        <v>1155</v>
      </c>
      <c r="AZ84" s="2" t="s">
        <v>1155</v>
      </c>
      <c r="BA84" s="2" t="s">
        <v>1156</v>
      </c>
      <c r="BB84" s="2" t="s">
        <v>19</v>
      </c>
      <c r="BD84" s="2" t="s">
        <v>1157</v>
      </c>
      <c r="BE84" s="2" t="s">
        <v>1158</v>
      </c>
      <c r="BF84" s="2" t="s">
        <v>1159</v>
      </c>
    </row>
    <row r="85" spans="1:58" ht="50.25" customHeight="1" x14ac:dyDescent="0.25">
      <c r="A85" s="8" t="s">
        <v>5</v>
      </c>
      <c r="B85" s="1" t="s">
        <v>0</v>
      </c>
      <c r="C85" s="1" t="s">
        <v>1</v>
      </c>
      <c r="D85" s="1" t="s">
        <v>1160</v>
      </c>
      <c r="E85" s="1" t="s">
        <v>1161</v>
      </c>
      <c r="F85" s="1" t="s">
        <v>1162</v>
      </c>
      <c r="H85" s="2" t="s">
        <v>5</v>
      </c>
      <c r="I85" s="2" t="s">
        <v>6</v>
      </c>
      <c r="J85" s="2" t="s">
        <v>5</v>
      </c>
      <c r="K85" s="2" t="s">
        <v>5</v>
      </c>
      <c r="L85" s="2" t="s">
        <v>7</v>
      </c>
      <c r="N85" s="1" t="s">
        <v>1163</v>
      </c>
      <c r="O85" s="2" t="s">
        <v>60</v>
      </c>
      <c r="P85" s="1" t="s">
        <v>568</v>
      </c>
      <c r="Q85" s="2" t="s">
        <v>10</v>
      </c>
      <c r="R85" s="2" t="s">
        <v>1150</v>
      </c>
      <c r="T85" s="2" t="s">
        <v>12</v>
      </c>
      <c r="U85" s="3">
        <v>0</v>
      </c>
      <c r="V85" s="3">
        <v>0</v>
      </c>
      <c r="W85" s="4" t="s">
        <v>1164</v>
      </c>
      <c r="X85" s="4" t="s">
        <v>1164</v>
      </c>
      <c r="Y85" s="4" t="s">
        <v>583</v>
      </c>
      <c r="Z85" s="4" t="s">
        <v>583</v>
      </c>
      <c r="AA85" s="3">
        <v>186</v>
      </c>
      <c r="AB85" s="3">
        <v>161</v>
      </c>
      <c r="AC85" s="3">
        <v>269</v>
      </c>
      <c r="AD85" s="3">
        <v>1</v>
      </c>
      <c r="AE85" s="3">
        <v>1</v>
      </c>
      <c r="AF85" s="3">
        <v>7</v>
      </c>
      <c r="AG85" s="3">
        <v>11</v>
      </c>
      <c r="AH85" s="3">
        <v>2</v>
      </c>
      <c r="AI85" s="3">
        <v>3</v>
      </c>
      <c r="AJ85" s="3">
        <v>2</v>
      </c>
      <c r="AK85" s="3">
        <v>4</v>
      </c>
      <c r="AL85" s="3">
        <v>4</v>
      </c>
      <c r="AM85" s="3">
        <v>7</v>
      </c>
      <c r="AN85" s="3">
        <v>0</v>
      </c>
      <c r="AO85" s="3">
        <v>0</v>
      </c>
      <c r="AP85" s="3">
        <v>0</v>
      </c>
      <c r="AQ85" s="3">
        <v>0</v>
      </c>
      <c r="AR85" s="2" t="s">
        <v>5</v>
      </c>
      <c r="AS85" s="2" t="s">
        <v>5</v>
      </c>
      <c r="AU85" s="5" t="str">
        <f>HYPERLINK("https://creighton-primo.hosted.exlibrisgroup.com/primo-explore/search?tab=default_tab&amp;search_scope=EVERYTHING&amp;vid=01CRU&amp;lang=en_US&amp;offset=0&amp;query=any,contains,991000393379702656","Catalog Record")</f>
        <v>Catalog Record</v>
      </c>
      <c r="AV85" s="5" t="str">
        <f>HYPERLINK("http://www.worldcat.org/oclc/54356558","WorldCat Record")</f>
        <v>WorldCat Record</v>
      </c>
      <c r="AW85" s="2" t="s">
        <v>1165</v>
      </c>
      <c r="AX85" s="2" t="s">
        <v>1166</v>
      </c>
      <c r="AY85" s="2" t="s">
        <v>1167</v>
      </c>
      <c r="AZ85" s="2" t="s">
        <v>1167</v>
      </c>
      <c r="BA85" s="2" t="s">
        <v>1168</v>
      </c>
      <c r="BB85" s="2" t="s">
        <v>19</v>
      </c>
      <c r="BD85" s="2" t="s">
        <v>1169</v>
      </c>
      <c r="BE85" s="2" t="s">
        <v>1170</v>
      </c>
      <c r="BF85" s="2" t="s">
        <v>1171</v>
      </c>
    </row>
    <row r="86" spans="1:58" ht="50.25" customHeight="1" x14ac:dyDescent="0.25">
      <c r="A86" s="8" t="s">
        <v>5</v>
      </c>
      <c r="B86" s="1" t="s">
        <v>0</v>
      </c>
      <c r="C86" s="1" t="s">
        <v>1</v>
      </c>
      <c r="D86" s="1" t="s">
        <v>1172</v>
      </c>
      <c r="E86" s="1" t="s">
        <v>1173</v>
      </c>
      <c r="F86" s="1" t="s">
        <v>1174</v>
      </c>
      <c r="H86" s="2" t="s">
        <v>5</v>
      </c>
      <c r="I86" s="2" t="s">
        <v>6</v>
      </c>
      <c r="J86" s="2" t="s">
        <v>5</v>
      </c>
      <c r="K86" s="2" t="s">
        <v>5</v>
      </c>
      <c r="L86" s="2" t="s">
        <v>7</v>
      </c>
      <c r="M86" s="1" t="s">
        <v>1175</v>
      </c>
      <c r="N86" s="1" t="s">
        <v>1176</v>
      </c>
      <c r="O86" s="2" t="s">
        <v>228</v>
      </c>
      <c r="Q86" s="2" t="s">
        <v>10</v>
      </c>
      <c r="R86" s="2" t="s">
        <v>77</v>
      </c>
      <c r="T86" s="2" t="s">
        <v>12</v>
      </c>
      <c r="U86" s="3">
        <v>10</v>
      </c>
      <c r="V86" s="3">
        <v>10</v>
      </c>
      <c r="W86" s="4" t="s">
        <v>1177</v>
      </c>
      <c r="X86" s="4" t="s">
        <v>1177</v>
      </c>
      <c r="Y86" s="4" t="s">
        <v>1178</v>
      </c>
      <c r="Z86" s="4" t="s">
        <v>1178</v>
      </c>
      <c r="AA86" s="3">
        <v>253</v>
      </c>
      <c r="AB86" s="3">
        <v>147</v>
      </c>
      <c r="AC86" s="3">
        <v>150</v>
      </c>
      <c r="AD86" s="3">
        <v>1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2" t="s">
        <v>5</v>
      </c>
      <c r="AS86" s="2" t="s">
        <v>5</v>
      </c>
      <c r="AU86" s="5" t="str">
        <f>HYPERLINK("https://creighton-primo.hosted.exlibrisgroup.com/primo-explore/search?tab=default_tab&amp;search_scope=EVERYTHING&amp;vid=01CRU&amp;lang=en_US&amp;offset=0&amp;query=any,contains,991000647419702656","Catalog Record")</f>
        <v>Catalog Record</v>
      </c>
      <c r="AV86" s="5" t="str">
        <f>HYPERLINK("http://www.worldcat.org/oclc/18072132","WorldCat Record")</f>
        <v>WorldCat Record</v>
      </c>
      <c r="AW86" s="2" t="s">
        <v>1179</v>
      </c>
      <c r="AX86" s="2" t="s">
        <v>1180</v>
      </c>
      <c r="AY86" s="2" t="s">
        <v>1181</v>
      </c>
      <c r="AZ86" s="2" t="s">
        <v>1181</v>
      </c>
      <c r="BA86" s="2" t="s">
        <v>1182</v>
      </c>
      <c r="BB86" s="2" t="s">
        <v>19</v>
      </c>
      <c r="BD86" s="2" t="s">
        <v>1183</v>
      </c>
      <c r="BE86" s="2" t="s">
        <v>1184</v>
      </c>
      <c r="BF86" s="2" t="s">
        <v>1185</v>
      </c>
    </row>
    <row r="87" spans="1:58" ht="50.25" customHeight="1" x14ac:dyDescent="0.25">
      <c r="A87" s="8" t="s">
        <v>5</v>
      </c>
      <c r="B87" s="1" t="s">
        <v>0</v>
      </c>
      <c r="C87" s="1" t="s">
        <v>1</v>
      </c>
      <c r="D87" s="1" t="s">
        <v>1186</v>
      </c>
      <c r="E87" s="1" t="s">
        <v>1187</v>
      </c>
      <c r="F87" s="1" t="s">
        <v>1188</v>
      </c>
      <c r="H87" s="2" t="s">
        <v>5</v>
      </c>
      <c r="I87" s="2" t="s">
        <v>6</v>
      </c>
      <c r="J87" s="2" t="s">
        <v>5</v>
      </c>
      <c r="K87" s="2" t="s">
        <v>5</v>
      </c>
      <c r="L87" s="2" t="s">
        <v>7</v>
      </c>
      <c r="N87" s="1" t="s">
        <v>1189</v>
      </c>
      <c r="O87" s="2" t="s">
        <v>60</v>
      </c>
      <c r="Q87" s="2" t="s">
        <v>10</v>
      </c>
      <c r="R87" s="2" t="s">
        <v>45</v>
      </c>
      <c r="T87" s="2" t="s">
        <v>12</v>
      </c>
      <c r="U87" s="3">
        <v>1</v>
      </c>
      <c r="V87" s="3">
        <v>1</v>
      </c>
      <c r="W87" s="4" t="s">
        <v>1190</v>
      </c>
      <c r="X87" s="4" t="s">
        <v>1190</v>
      </c>
      <c r="Y87" s="4" t="s">
        <v>582</v>
      </c>
      <c r="Z87" s="4" t="s">
        <v>582</v>
      </c>
      <c r="AA87" s="3">
        <v>359</v>
      </c>
      <c r="AB87" s="3">
        <v>254</v>
      </c>
      <c r="AC87" s="3">
        <v>260</v>
      </c>
      <c r="AD87" s="3">
        <v>2</v>
      </c>
      <c r="AE87" s="3">
        <v>2</v>
      </c>
      <c r="AF87" s="3">
        <v>10</v>
      </c>
      <c r="AG87" s="3">
        <v>10</v>
      </c>
      <c r="AH87" s="3">
        <v>3</v>
      </c>
      <c r="AI87" s="3">
        <v>3</v>
      </c>
      <c r="AJ87" s="3">
        <v>2</v>
      </c>
      <c r="AK87" s="3">
        <v>2</v>
      </c>
      <c r="AL87" s="3">
        <v>5</v>
      </c>
      <c r="AM87" s="3">
        <v>5</v>
      </c>
      <c r="AN87" s="3">
        <v>1</v>
      </c>
      <c r="AO87" s="3">
        <v>1</v>
      </c>
      <c r="AP87" s="3">
        <v>0</v>
      </c>
      <c r="AQ87" s="3">
        <v>0</v>
      </c>
      <c r="AR87" s="2" t="s">
        <v>5</v>
      </c>
      <c r="AS87" s="2" t="s">
        <v>90</v>
      </c>
      <c r="AT87" s="5" t="str">
        <f>HYPERLINK("http://catalog.hathitrust.org/Record/004370627","HathiTrust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HYPERLINK("https://creighton-primo.hosted.exlibrisgroup.com/primo-explore/search?tab=default_tab&amp;search_scope=EVERYTHING&amp;vid=01CRU&amp;lang=en_US&amp;offset=0&amp;query=any,contains,991000396329702656","Catalog Record")</f>
        <v>Catalog Record</v>
      </c>
      <c r="AV87" s="5" t="str">
        <f>HYPERLINK("http://www.worldcat.org/oclc/52706275","WorldCat Record")</f>
        <v>WorldCat Record</v>
      </c>
      <c r="AW87" s="2" t="s">
        <v>1191</v>
      </c>
      <c r="AX87" s="2" t="s">
        <v>1192</v>
      </c>
      <c r="AY87" s="2" t="s">
        <v>1193</v>
      </c>
      <c r="AZ87" s="2" t="s">
        <v>1193</v>
      </c>
      <c r="BA87" s="2" t="s">
        <v>1194</v>
      </c>
      <c r="BB87" s="2" t="s">
        <v>19</v>
      </c>
      <c r="BD87" s="2" t="s">
        <v>1195</v>
      </c>
      <c r="BE87" s="2" t="s">
        <v>1196</v>
      </c>
      <c r="BF87" s="2" t="s">
        <v>1197</v>
      </c>
    </row>
    <row r="88" spans="1:58" ht="50.25" customHeight="1" x14ac:dyDescent="0.25">
      <c r="A88" s="8" t="s">
        <v>5</v>
      </c>
      <c r="B88" s="1" t="s">
        <v>0</v>
      </c>
      <c r="C88" s="1" t="s">
        <v>1</v>
      </c>
      <c r="D88" s="1" t="s">
        <v>1198</v>
      </c>
      <c r="E88" s="1" t="s">
        <v>1199</v>
      </c>
      <c r="F88" s="1" t="s">
        <v>1200</v>
      </c>
      <c r="H88" s="2" t="s">
        <v>5</v>
      </c>
      <c r="I88" s="2" t="s">
        <v>6</v>
      </c>
      <c r="J88" s="2" t="s">
        <v>5</v>
      </c>
      <c r="K88" s="2" t="s">
        <v>5</v>
      </c>
      <c r="L88" s="2" t="s">
        <v>7</v>
      </c>
      <c r="N88" s="1" t="s">
        <v>1201</v>
      </c>
      <c r="O88" s="2" t="s">
        <v>474</v>
      </c>
      <c r="Q88" s="2" t="s">
        <v>10</v>
      </c>
      <c r="R88" s="2" t="s">
        <v>29</v>
      </c>
      <c r="T88" s="2" t="s">
        <v>12</v>
      </c>
      <c r="U88" s="3">
        <v>12</v>
      </c>
      <c r="V88" s="3">
        <v>12</v>
      </c>
      <c r="W88" s="4" t="s">
        <v>1202</v>
      </c>
      <c r="X88" s="4" t="s">
        <v>1202</v>
      </c>
      <c r="Y88" s="4" t="s">
        <v>1203</v>
      </c>
      <c r="Z88" s="4" t="s">
        <v>1203</v>
      </c>
      <c r="AA88" s="3">
        <v>207</v>
      </c>
      <c r="AB88" s="3">
        <v>173</v>
      </c>
      <c r="AC88" s="3">
        <v>179</v>
      </c>
      <c r="AD88" s="3">
        <v>2</v>
      </c>
      <c r="AE88" s="3">
        <v>2</v>
      </c>
      <c r="AF88" s="3">
        <v>11</v>
      </c>
      <c r="AG88" s="3">
        <v>11</v>
      </c>
      <c r="AH88" s="3">
        <v>3</v>
      </c>
      <c r="AI88" s="3">
        <v>3</v>
      </c>
      <c r="AJ88" s="3">
        <v>5</v>
      </c>
      <c r="AK88" s="3">
        <v>5</v>
      </c>
      <c r="AL88" s="3">
        <v>5</v>
      </c>
      <c r="AM88" s="3">
        <v>5</v>
      </c>
      <c r="AN88" s="3">
        <v>1</v>
      </c>
      <c r="AO88" s="3">
        <v>1</v>
      </c>
      <c r="AP88" s="3">
        <v>0</v>
      </c>
      <c r="AQ88" s="3">
        <v>0</v>
      </c>
      <c r="AR88" s="2" t="s">
        <v>5</v>
      </c>
      <c r="AS88" s="2" t="s">
        <v>90</v>
      </c>
      <c r="AT88" s="5" t="str">
        <f>HYPERLINK("http://catalog.hathitrust.org/Record/001950111","HathiTrust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HYPERLINK("https://creighton-primo.hosted.exlibrisgroup.com/primo-explore/search?tab=default_tab&amp;search_scope=EVERYTHING&amp;vid=01CRU&amp;lang=en_US&amp;offset=0&amp;query=any,contains,991000814979702656","Catalog Record")</f>
        <v>Catalog Record</v>
      </c>
      <c r="AV88" s="5" t="str">
        <f>HYPERLINK("http://www.worldcat.org/oclc/19814864","WorldCat Record")</f>
        <v>WorldCat Record</v>
      </c>
      <c r="AW88" s="2" t="s">
        <v>1204</v>
      </c>
      <c r="AX88" s="2" t="s">
        <v>1205</v>
      </c>
      <c r="AY88" s="2" t="s">
        <v>1206</v>
      </c>
      <c r="AZ88" s="2" t="s">
        <v>1206</v>
      </c>
      <c r="BA88" s="2" t="s">
        <v>1207</v>
      </c>
      <c r="BB88" s="2" t="s">
        <v>19</v>
      </c>
      <c r="BD88" s="2" t="s">
        <v>1208</v>
      </c>
      <c r="BE88" s="2" t="s">
        <v>1209</v>
      </c>
      <c r="BF88" s="2" t="s">
        <v>1210</v>
      </c>
    </row>
    <row r="89" spans="1:58" ht="50.25" customHeight="1" x14ac:dyDescent="0.25">
      <c r="A89" s="8" t="s">
        <v>5</v>
      </c>
      <c r="B89" s="1" t="s">
        <v>0</v>
      </c>
      <c r="C89" s="1" t="s">
        <v>1</v>
      </c>
      <c r="D89" s="1" t="s">
        <v>1211</v>
      </c>
      <c r="E89" s="1" t="s">
        <v>1212</v>
      </c>
      <c r="F89" s="1" t="s">
        <v>1213</v>
      </c>
      <c r="H89" s="2" t="s">
        <v>5</v>
      </c>
      <c r="I89" s="2" t="s">
        <v>6</v>
      </c>
      <c r="J89" s="2" t="s">
        <v>5</v>
      </c>
      <c r="K89" s="2" t="s">
        <v>5</v>
      </c>
      <c r="L89" s="2" t="s">
        <v>7</v>
      </c>
      <c r="N89" s="1" t="s">
        <v>1214</v>
      </c>
      <c r="O89" s="2" t="s">
        <v>213</v>
      </c>
      <c r="Q89" s="2" t="s">
        <v>10</v>
      </c>
      <c r="R89" s="2" t="s">
        <v>110</v>
      </c>
      <c r="T89" s="2" t="s">
        <v>12</v>
      </c>
      <c r="U89" s="3">
        <v>80</v>
      </c>
      <c r="V89" s="3">
        <v>80</v>
      </c>
      <c r="W89" s="4" t="s">
        <v>1215</v>
      </c>
      <c r="X89" s="4" t="s">
        <v>1215</v>
      </c>
      <c r="Y89" s="4" t="s">
        <v>1216</v>
      </c>
      <c r="Z89" s="4" t="s">
        <v>1216</v>
      </c>
      <c r="AA89" s="3">
        <v>237</v>
      </c>
      <c r="AB89" s="3">
        <v>184</v>
      </c>
      <c r="AC89" s="3">
        <v>190</v>
      </c>
      <c r="AD89" s="3">
        <v>1</v>
      </c>
      <c r="AE89" s="3">
        <v>1</v>
      </c>
      <c r="AF89" s="3">
        <v>7</v>
      </c>
      <c r="AG89" s="3">
        <v>7</v>
      </c>
      <c r="AH89" s="3">
        <v>4</v>
      </c>
      <c r="AI89" s="3">
        <v>4</v>
      </c>
      <c r="AJ89" s="3">
        <v>2</v>
      </c>
      <c r="AK89" s="3">
        <v>2</v>
      </c>
      <c r="AL89" s="3">
        <v>4</v>
      </c>
      <c r="AM89" s="3">
        <v>4</v>
      </c>
      <c r="AN89" s="3">
        <v>0</v>
      </c>
      <c r="AO89" s="3">
        <v>0</v>
      </c>
      <c r="AP89" s="3">
        <v>0</v>
      </c>
      <c r="AQ89" s="3">
        <v>0</v>
      </c>
      <c r="AR89" s="2" t="s">
        <v>5</v>
      </c>
      <c r="AS89" s="2" t="s">
        <v>90</v>
      </c>
      <c r="AT89" s="5" t="str">
        <f>HYPERLINK("http://catalog.hathitrust.org/Record/002551475","HathiTrust Record")</f>
        <v>HathiTrust Record</v>
      </c>
      <c r="AU89" s="5" t="str">
        <f>HYPERLINK("https://creighton-primo.hosted.exlibrisgroup.com/primo-explore/search?tab=default_tab&amp;search_scope=EVERYTHING&amp;vid=01CRU&amp;lang=en_US&amp;offset=0&amp;query=any,contains,991001508099702656","Catalog Record")</f>
        <v>Catalog Record</v>
      </c>
      <c r="AV89" s="5" t="str">
        <f>HYPERLINK("http://www.worldcat.org/oclc/24064993","WorldCat Record")</f>
        <v>WorldCat Record</v>
      </c>
      <c r="AW89" s="2" t="s">
        <v>1217</v>
      </c>
      <c r="AX89" s="2" t="s">
        <v>1218</v>
      </c>
      <c r="AY89" s="2" t="s">
        <v>1219</v>
      </c>
      <c r="AZ89" s="2" t="s">
        <v>1219</v>
      </c>
      <c r="BA89" s="2" t="s">
        <v>1220</v>
      </c>
      <c r="BB89" s="2" t="s">
        <v>19</v>
      </c>
      <c r="BD89" s="2" t="s">
        <v>1221</v>
      </c>
      <c r="BE89" s="2" t="s">
        <v>1222</v>
      </c>
      <c r="BF89" s="2" t="s">
        <v>1223</v>
      </c>
    </row>
    <row r="90" spans="1:58" ht="50.25" customHeight="1" x14ac:dyDescent="0.25">
      <c r="A90" s="8" t="s">
        <v>5</v>
      </c>
      <c r="B90" s="1" t="s">
        <v>0</v>
      </c>
      <c r="C90" s="1" t="s">
        <v>1</v>
      </c>
      <c r="D90" s="1" t="s">
        <v>1224</v>
      </c>
      <c r="E90" s="1" t="s">
        <v>1225</v>
      </c>
      <c r="F90" s="1" t="s">
        <v>1226</v>
      </c>
      <c r="H90" s="2" t="s">
        <v>5</v>
      </c>
      <c r="I90" s="2" t="s">
        <v>6</v>
      </c>
      <c r="J90" s="2" t="s">
        <v>5</v>
      </c>
      <c r="K90" s="2" t="s">
        <v>5</v>
      </c>
      <c r="L90" s="2" t="s">
        <v>7</v>
      </c>
      <c r="N90" s="1" t="s">
        <v>1227</v>
      </c>
      <c r="O90" s="2" t="s">
        <v>213</v>
      </c>
      <c r="Q90" s="2" t="s">
        <v>10</v>
      </c>
      <c r="R90" s="2" t="s">
        <v>184</v>
      </c>
      <c r="T90" s="2" t="s">
        <v>12</v>
      </c>
      <c r="U90" s="3">
        <v>7</v>
      </c>
      <c r="V90" s="3">
        <v>7</v>
      </c>
      <c r="W90" s="4" t="s">
        <v>1228</v>
      </c>
      <c r="X90" s="4" t="s">
        <v>1228</v>
      </c>
      <c r="Y90" s="4" t="s">
        <v>1229</v>
      </c>
      <c r="Z90" s="4" t="s">
        <v>1229</v>
      </c>
      <c r="AA90" s="3">
        <v>29</v>
      </c>
      <c r="AB90" s="3">
        <v>29</v>
      </c>
      <c r="AC90" s="3">
        <v>29</v>
      </c>
      <c r="AD90" s="3">
        <v>1</v>
      </c>
      <c r="AE90" s="3">
        <v>1</v>
      </c>
      <c r="AF90" s="3">
        <v>1</v>
      </c>
      <c r="AG90" s="3">
        <v>1</v>
      </c>
      <c r="AH90" s="3">
        <v>0</v>
      </c>
      <c r="AI90" s="3">
        <v>0</v>
      </c>
      <c r="AJ90" s="3">
        <v>0</v>
      </c>
      <c r="AK90" s="3">
        <v>0</v>
      </c>
      <c r="AL90" s="3">
        <v>1</v>
      </c>
      <c r="AM90" s="3">
        <v>1</v>
      </c>
      <c r="AN90" s="3">
        <v>0</v>
      </c>
      <c r="AO90" s="3">
        <v>0</v>
      </c>
      <c r="AP90" s="3">
        <v>0</v>
      </c>
      <c r="AQ90" s="3">
        <v>0</v>
      </c>
      <c r="AR90" s="2" t="s">
        <v>5</v>
      </c>
      <c r="AS90" s="2" t="s">
        <v>5</v>
      </c>
      <c r="AU90" s="5" t="str">
        <f>HYPERLINK("https://creighton-primo.hosted.exlibrisgroup.com/primo-explore/search?tab=default_tab&amp;search_scope=EVERYTHING&amp;vid=01CRU&amp;lang=en_US&amp;offset=0&amp;query=any,contains,991001352199702656","Catalog Record")</f>
        <v>Catalog Record</v>
      </c>
      <c r="AV90" s="5" t="str">
        <f>HYPERLINK("http://www.worldcat.org/oclc/27166251","WorldCat Record")</f>
        <v>WorldCat Record</v>
      </c>
      <c r="AW90" s="2" t="s">
        <v>1230</v>
      </c>
      <c r="AX90" s="2" t="s">
        <v>1231</v>
      </c>
      <c r="AY90" s="2" t="s">
        <v>1232</v>
      </c>
      <c r="AZ90" s="2" t="s">
        <v>1232</v>
      </c>
      <c r="BA90" s="2" t="s">
        <v>1233</v>
      </c>
      <c r="BB90" s="2" t="s">
        <v>19</v>
      </c>
      <c r="BE90" s="2" t="s">
        <v>1234</v>
      </c>
      <c r="BF90" s="2" t="s">
        <v>1235</v>
      </c>
    </row>
    <row r="91" spans="1:58" ht="50.25" customHeight="1" x14ac:dyDescent="0.25">
      <c r="A91" s="8" t="s">
        <v>5</v>
      </c>
      <c r="B91" s="1" t="s">
        <v>0</v>
      </c>
      <c r="C91" s="1" t="s">
        <v>1</v>
      </c>
      <c r="D91" s="1" t="s">
        <v>1236</v>
      </c>
      <c r="E91" s="1" t="s">
        <v>1237</v>
      </c>
      <c r="F91" s="1" t="s">
        <v>1238</v>
      </c>
      <c r="H91" s="2" t="s">
        <v>5</v>
      </c>
      <c r="I91" s="2" t="s">
        <v>6</v>
      </c>
      <c r="J91" s="2" t="s">
        <v>5</v>
      </c>
      <c r="K91" s="2" t="s">
        <v>5</v>
      </c>
      <c r="L91" s="2" t="s">
        <v>7</v>
      </c>
      <c r="N91" s="1" t="s">
        <v>1239</v>
      </c>
      <c r="O91" s="2" t="s">
        <v>228</v>
      </c>
      <c r="P91" s="1" t="s">
        <v>320</v>
      </c>
      <c r="Q91" s="2" t="s">
        <v>10</v>
      </c>
      <c r="R91" s="2" t="s">
        <v>61</v>
      </c>
      <c r="T91" s="2" t="s">
        <v>12</v>
      </c>
      <c r="U91" s="3">
        <v>3</v>
      </c>
      <c r="V91" s="3">
        <v>3</v>
      </c>
      <c r="W91" s="4" t="s">
        <v>1240</v>
      </c>
      <c r="X91" s="4" t="s">
        <v>1240</v>
      </c>
      <c r="Y91" s="4" t="s">
        <v>1241</v>
      </c>
      <c r="Z91" s="4" t="s">
        <v>1241</v>
      </c>
      <c r="AA91" s="3">
        <v>169</v>
      </c>
      <c r="AB91" s="3">
        <v>129</v>
      </c>
      <c r="AC91" s="3">
        <v>132</v>
      </c>
      <c r="AD91" s="3">
        <v>1</v>
      </c>
      <c r="AE91" s="3">
        <v>1</v>
      </c>
      <c r="AF91" s="3">
        <v>1</v>
      </c>
      <c r="AG91" s="3">
        <v>1</v>
      </c>
      <c r="AH91" s="3">
        <v>0</v>
      </c>
      <c r="AI91" s="3">
        <v>0</v>
      </c>
      <c r="AJ91" s="3">
        <v>1</v>
      </c>
      <c r="AK91" s="3">
        <v>1</v>
      </c>
      <c r="AL91" s="3">
        <v>1</v>
      </c>
      <c r="AM91" s="3">
        <v>1</v>
      </c>
      <c r="AN91" s="3">
        <v>0</v>
      </c>
      <c r="AO91" s="3">
        <v>0</v>
      </c>
      <c r="AP91" s="3">
        <v>0</v>
      </c>
      <c r="AQ91" s="3">
        <v>0</v>
      </c>
      <c r="AR91" s="2" t="s">
        <v>5</v>
      </c>
      <c r="AS91" s="2" t="s">
        <v>90</v>
      </c>
      <c r="AT91" s="5" t="str">
        <f>HYPERLINK("http://catalog.hathitrust.org/Record/001089462","HathiTrust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HYPERLINK("https://creighton-primo.hosted.exlibrisgroup.com/primo-explore/search?tab=default_tab&amp;search_scope=EVERYTHING&amp;vid=01CRU&amp;lang=en_US&amp;offset=0&amp;query=any,contains,991001192989702656","Catalog Record")</f>
        <v>Catalog Record</v>
      </c>
      <c r="AV91" s="5" t="str">
        <f>HYPERLINK("http://www.worldcat.org/oclc/17696066","WorldCat Record")</f>
        <v>WorldCat Record</v>
      </c>
      <c r="AW91" s="2" t="s">
        <v>1242</v>
      </c>
      <c r="AX91" s="2" t="s">
        <v>1243</v>
      </c>
      <c r="AY91" s="2" t="s">
        <v>1244</v>
      </c>
      <c r="AZ91" s="2" t="s">
        <v>1244</v>
      </c>
      <c r="BA91" s="2" t="s">
        <v>1245</v>
      </c>
      <c r="BB91" s="2" t="s">
        <v>19</v>
      </c>
      <c r="BD91" s="2" t="s">
        <v>1246</v>
      </c>
      <c r="BE91" s="2" t="s">
        <v>1247</v>
      </c>
      <c r="BF91" s="2" t="s">
        <v>1248</v>
      </c>
    </row>
    <row r="92" spans="1:58" ht="50.25" customHeight="1" x14ac:dyDescent="0.25">
      <c r="A92" s="8" t="s">
        <v>5</v>
      </c>
      <c r="B92" s="1" t="s">
        <v>0</v>
      </c>
      <c r="C92" s="1" t="s">
        <v>1</v>
      </c>
      <c r="D92" s="1" t="s">
        <v>1249</v>
      </c>
      <c r="E92" s="1" t="s">
        <v>1250</v>
      </c>
      <c r="F92" s="1" t="s">
        <v>1251</v>
      </c>
      <c r="H92" s="2" t="s">
        <v>5</v>
      </c>
      <c r="I92" s="2" t="s">
        <v>6</v>
      </c>
      <c r="J92" s="2" t="s">
        <v>5</v>
      </c>
      <c r="K92" s="2" t="s">
        <v>5</v>
      </c>
      <c r="L92" s="2" t="s">
        <v>7</v>
      </c>
      <c r="M92" s="1" t="s">
        <v>1252</v>
      </c>
      <c r="N92" s="1" t="s">
        <v>1253</v>
      </c>
      <c r="O92" s="2" t="s">
        <v>228</v>
      </c>
      <c r="Q92" s="2" t="s">
        <v>10</v>
      </c>
      <c r="R92" s="2" t="s">
        <v>45</v>
      </c>
      <c r="T92" s="2" t="s">
        <v>12</v>
      </c>
      <c r="U92" s="3">
        <v>5</v>
      </c>
      <c r="V92" s="3">
        <v>5</v>
      </c>
      <c r="W92" s="4" t="s">
        <v>1254</v>
      </c>
      <c r="X92" s="4" t="s">
        <v>1254</v>
      </c>
      <c r="Y92" s="4" t="s">
        <v>1255</v>
      </c>
      <c r="Z92" s="4" t="s">
        <v>1255</v>
      </c>
      <c r="AA92" s="3">
        <v>431</v>
      </c>
      <c r="AB92" s="3">
        <v>351</v>
      </c>
      <c r="AC92" s="3">
        <v>352</v>
      </c>
      <c r="AD92" s="3">
        <v>1</v>
      </c>
      <c r="AE92" s="3">
        <v>1</v>
      </c>
      <c r="AF92" s="3">
        <v>13</v>
      </c>
      <c r="AG92" s="3">
        <v>13</v>
      </c>
      <c r="AH92" s="3">
        <v>4</v>
      </c>
      <c r="AI92" s="3">
        <v>4</v>
      </c>
      <c r="AJ92" s="3">
        <v>4</v>
      </c>
      <c r="AK92" s="3">
        <v>4</v>
      </c>
      <c r="AL92" s="3">
        <v>10</v>
      </c>
      <c r="AM92" s="3">
        <v>10</v>
      </c>
      <c r="AN92" s="3">
        <v>0</v>
      </c>
      <c r="AO92" s="3">
        <v>0</v>
      </c>
      <c r="AP92" s="3">
        <v>0</v>
      </c>
      <c r="AQ92" s="3">
        <v>0</v>
      </c>
      <c r="AR92" s="2" t="s">
        <v>5</v>
      </c>
      <c r="AS92" s="2" t="s">
        <v>5</v>
      </c>
      <c r="AU92" s="5" t="str">
        <f>HYPERLINK("https://creighton-primo.hosted.exlibrisgroup.com/primo-explore/search?tab=default_tab&amp;search_scope=EVERYTHING&amp;vid=01CRU&amp;lang=en_US&amp;offset=0&amp;query=any,contains,991001418779702656","Catalog Record")</f>
        <v>Catalog Record</v>
      </c>
      <c r="AV92" s="5" t="str">
        <f>HYPERLINK("http://www.worldcat.org/oclc/15628354","WorldCat Record")</f>
        <v>WorldCat Record</v>
      </c>
      <c r="AW92" s="2" t="s">
        <v>1256</v>
      </c>
      <c r="AX92" s="2" t="s">
        <v>1257</v>
      </c>
      <c r="AY92" s="2" t="s">
        <v>1258</v>
      </c>
      <c r="AZ92" s="2" t="s">
        <v>1258</v>
      </c>
      <c r="BA92" s="2" t="s">
        <v>1259</v>
      </c>
      <c r="BB92" s="2" t="s">
        <v>19</v>
      </c>
      <c r="BD92" s="2" t="s">
        <v>1260</v>
      </c>
      <c r="BE92" s="2" t="s">
        <v>1261</v>
      </c>
      <c r="BF92" s="2" t="s">
        <v>1262</v>
      </c>
    </row>
    <row r="93" spans="1:58" ht="50.25" customHeight="1" x14ac:dyDescent="0.25">
      <c r="A93" s="8" t="s">
        <v>5</v>
      </c>
      <c r="B93" s="1" t="s">
        <v>0</v>
      </c>
      <c r="C93" s="1" t="s">
        <v>1</v>
      </c>
      <c r="D93" s="1" t="s">
        <v>1263</v>
      </c>
      <c r="E93" s="1" t="s">
        <v>1264</v>
      </c>
      <c r="F93" s="1" t="s">
        <v>1265</v>
      </c>
      <c r="H93" s="2" t="s">
        <v>5</v>
      </c>
      <c r="I93" s="2" t="s">
        <v>6</v>
      </c>
      <c r="J93" s="2" t="s">
        <v>5</v>
      </c>
      <c r="K93" s="2" t="s">
        <v>90</v>
      </c>
      <c r="L93" s="2" t="s">
        <v>6</v>
      </c>
      <c r="M93" s="1" t="s">
        <v>1266</v>
      </c>
      <c r="N93" s="1" t="s">
        <v>1267</v>
      </c>
      <c r="O93" s="2" t="s">
        <v>125</v>
      </c>
      <c r="P93" s="1" t="s">
        <v>568</v>
      </c>
      <c r="Q93" s="2" t="s">
        <v>10</v>
      </c>
      <c r="R93" s="2" t="s">
        <v>1268</v>
      </c>
      <c r="T93" s="2" t="s">
        <v>12</v>
      </c>
      <c r="U93" s="3">
        <v>3</v>
      </c>
      <c r="V93" s="3">
        <v>3</v>
      </c>
      <c r="W93" s="4" t="s">
        <v>969</v>
      </c>
      <c r="X93" s="4" t="s">
        <v>969</v>
      </c>
      <c r="Y93" s="4" t="s">
        <v>1152</v>
      </c>
      <c r="Z93" s="4" t="s">
        <v>1152</v>
      </c>
      <c r="AA93" s="3">
        <v>107</v>
      </c>
      <c r="AB93" s="3">
        <v>99</v>
      </c>
      <c r="AC93" s="3">
        <v>438</v>
      </c>
      <c r="AD93" s="3">
        <v>1</v>
      </c>
      <c r="AE93" s="3">
        <v>1</v>
      </c>
      <c r="AF93" s="3">
        <v>5</v>
      </c>
      <c r="AG93" s="3">
        <v>13</v>
      </c>
      <c r="AH93" s="3">
        <v>1</v>
      </c>
      <c r="AI93" s="3">
        <v>4</v>
      </c>
      <c r="AJ93" s="3">
        <v>1</v>
      </c>
      <c r="AK93" s="3">
        <v>3</v>
      </c>
      <c r="AL93" s="3">
        <v>3</v>
      </c>
      <c r="AM93" s="3">
        <v>7</v>
      </c>
      <c r="AN93" s="3">
        <v>0</v>
      </c>
      <c r="AO93" s="3">
        <v>0</v>
      </c>
      <c r="AP93" s="3">
        <v>0</v>
      </c>
      <c r="AQ93" s="3">
        <v>0</v>
      </c>
      <c r="AR93" s="2" t="s">
        <v>5</v>
      </c>
      <c r="AS93" s="2" t="s">
        <v>5</v>
      </c>
      <c r="AU93" s="5" t="str">
        <f>HYPERLINK("https://creighton-primo.hosted.exlibrisgroup.com/primo-explore/search?tab=default_tab&amp;search_scope=EVERYTHING&amp;vid=01CRU&amp;lang=en_US&amp;offset=0&amp;query=any,contains,991000261779702656","Catalog Record")</f>
        <v>Catalog Record</v>
      </c>
      <c r="AV93" s="5" t="str">
        <f>HYPERLINK("http://www.worldcat.org/oclc/34774243","WorldCat Record")</f>
        <v>WorldCat Record</v>
      </c>
      <c r="AW93" s="2" t="s">
        <v>1269</v>
      </c>
      <c r="AX93" s="2" t="s">
        <v>1270</v>
      </c>
      <c r="AY93" s="2" t="s">
        <v>1271</v>
      </c>
      <c r="AZ93" s="2" t="s">
        <v>1271</v>
      </c>
      <c r="BA93" s="2" t="s">
        <v>1272</v>
      </c>
      <c r="BB93" s="2" t="s">
        <v>19</v>
      </c>
      <c r="BD93" s="2" t="s">
        <v>1273</v>
      </c>
      <c r="BE93" s="2" t="s">
        <v>1274</v>
      </c>
      <c r="BF93" s="2" t="s">
        <v>1275</v>
      </c>
    </row>
    <row r="94" spans="1:58" ht="50.25" customHeight="1" x14ac:dyDescent="0.25">
      <c r="A94" s="8" t="s">
        <v>5</v>
      </c>
      <c r="B94" s="1" t="s">
        <v>0</v>
      </c>
      <c r="C94" s="1" t="s">
        <v>1</v>
      </c>
      <c r="D94" s="1" t="s">
        <v>1276</v>
      </c>
      <c r="E94" s="1" t="s">
        <v>1277</v>
      </c>
      <c r="F94" s="1" t="s">
        <v>1265</v>
      </c>
      <c r="H94" s="2" t="s">
        <v>5</v>
      </c>
      <c r="I94" s="2" t="s">
        <v>6</v>
      </c>
      <c r="J94" s="2" t="s">
        <v>5</v>
      </c>
      <c r="K94" s="2" t="s">
        <v>90</v>
      </c>
      <c r="L94" s="2" t="s">
        <v>6</v>
      </c>
      <c r="M94" s="1" t="s">
        <v>1266</v>
      </c>
      <c r="N94" s="1" t="s">
        <v>1278</v>
      </c>
      <c r="O94" s="2" t="s">
        <v>125</v>
      </c>
      <c r="P94" s="1" t="s">
        <v>568</v>
      </c>
      <c r="Q94" s="2" t="s">
        <v>10</v>
      </c>
      <c r="R94" s="2" t="s">
        <v>1279</v>
      </c>
      <c r="T94" s="2" t="s">
        <v>12</v>
      </c>
      <c r="U94" s="3">
        <v>3</v>
      </c>
      <c r="V94" s="3">
        <v>3</v>
      </c>
      <c r="W94" s="4" t="s">
        <v>1280</v>
      </c>
      <c r="X94" s="4" t="s">
        <v>1280</v>
      </c>
      <c r="Y94" s="4" t="s">
        <v>1281</v>
      </c>
      <c r="Z94" s="4" t="s">
        <v>1281</v>
      </c>
      <c r="AA94" s="3">
        <v>324</v>
      </c>
      <c r="AB94" s="3">
        <v>285</v>
      </c>
      <c r="AC94" s="3">
        <v>438</v>
      </c>
      <c r="AD94" s="3">
        <v>1</v>
      </c>
      <c r="AE94" s="3">
        <v>1</v>
      </c>
      <c r="AF94" s="3">
        <v>8</v>
      </c>
      <c r="AG94" s="3">
        <v>13</v>
      </c>
      <c r="AH94" s="3">
        <v>3</v>
      </c>
      <c r="AI94" s="3">
        <v>4</v>
      </c>
      <c r="AJ94" s="3">
        <v>1</v>
      </c>
      <c r="AK94" s="3">
        <v>3</v>
      </c>
      <c r="AL94" s="3">
        <v>5</v>
      </c>
      <c r="AM94" s="3">
        <v>7</v>
      </c>
      <c r="AN94" s="3">
        <v>0</v>
      </c>
      <c r="AO94" s="3">
        <v>0</v>
      </c>
      <c r="AP94" s="3">
        <v>0</v>
      </c>
      <c r="AQ94" s="3">
        <v>0</v>
      </c>
      <c r="AR94" s="2" t="s">
        <v>5</v>
      </c>
      <c r="AS94" s="2" t="s">
        <v>90</v>
      </c>
      <c r="AT94" s="5" t="str">
        <f>HYPERLINK("http://catalog.hathitrust.org/Record/003065039","HathiTrust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HYPERLINK("https://creighton-primo.hosted.exlibrisgroup.com/primo-explore/search?tab=default_tab&amp;search_scope=EVERYTHING&amp;vid=01CRU&amp;lang=en_US&amp;offset=0&amp;query=any,contains,991001551229702656","Catalog Record")</f>
        <v>Catalog Record</v>
      </c>
      <c r="AV94" s="5" t="str">
        <f>HYPERLINK("http://www.worldcat.org/oclc/32821331","WorldCat Record")</f>
        <v>WorldCat Record</v>
      </c>
      <c r="AW94" s="2" t="s">
        <v>1269</v>
      </c>
      <c r="AX94" s="2" t="s">
        <v>1282</v>
      </c>
      <c r="AY94" s="2" t="s">
        <v>1283</v>
      </c>
      <c r="AZ94" s="2" t="s">
        <v>1283</v>
      </c>
      <c r="BA94" s="2" t="s">
        <v>1284</v>
      </c>
      <c r="BB94" s="2" t="s">
        <v>19</v>
      </c>
      <c r="BD94" s="2" t="s">
        <v>1285</v>
      </c>
      <c r="BE94" s="2" t="s">
        <v>1286</v>
      </c>
      <c r="BF94" s="2" t="s">
        <v>1287</v>
      </c>
    </row>
    <row r="95" spans="1:58" ht="50.25" customHeight="1" x14ac:dyDescent="0.25">
      <c r="A95" s="8" t="s">
        <v>5</v>
      </c>
      <c r="B95" s="1" t="s">
        <v>0</v>
      </c>
      <c r="C95" s="1" t="s">
        <v>1</v>
      </c>
      <c r="D95" s="1" t="s">
        <v>1288</v>
      </c>
      <c r="E95" s="1" t="s">
        <v>1289</v>
      </c>
      <c r="F95" s="1" t="s">
        <v>1290</v>
      </c>
      <c r="H95" s="2" t="s">
        <v>5</v>
      </c>
      <c r="I95" s="2" t="s">
        <v>6</v>
      </c>
      <c r="J95" s="2" t="s">
        <v>5</v>
      </c>
      <c r="K95" s="2" t="s">
        <v>90</v>
      </c>
      <c r="L95" s="2" t="s">
        <v>7</v>
      </c>
      <c r="N95" s="1" t="s">
        <v>1291</v>
      </c>
      <c r="O95" s="2" t="s">
        <v>274</v>
      </c>
      <c r="Q95" s="2" t="s">
        <v>10</v>
      </c>
      <c r="R95" s="2" t="s">
        <v>110</v>
      </c>
      <c r="T95" s="2" t="s">
        <v>12</v>
      </c>
      <c r="U95" s="3">
        <v>11</v>
      </c>
      <c r="V95" s="3">
        <v>11</v>
      </c>
      <c r="W95" s="4" t="s">
        <v>1292</v>
      </c>
      <c r="X95" s="4" t="s">
        <v>1292</v>
      </c>
      <c r="Y95" s="4" t="s">
        <v>1293</v>
      </c>
      <c r="Z95" s="4" t="s">
        <v>1293</v>
      </c>
      <c r="AA95" s="3">
        <v>165</v>
      </c>
      <c r="AB95" s="3">
        <v>112</v>
      </c>
      <c r="AC95" s="3">
        <v>174</v>
      </c>
      <c r="AD95" s="3">
        <v>2</v>
      </c>
      <c r="AE95" s="3">
        <v>2</v>
      </c>
      <c r="AF95" s="3">
        <v>3</v>
      </c>
      <c r="AG95" s="3">
        <v>5</v>
      </c>
      <c r="AH95" s="3">
        <v>0</v>
      </c>
      <c r="AI95" s="3">
        <v>1</v>
      </c>
      <c r="AJ95" s="3">
        <v>1</v>
      </c>
      <c r="AK95" s="3">
        <v>1</v>
      </c>
      <c r="AL95" s="3">
        <v>2</v>
      </c>
      <c r="AM95" s="3">
        <v>3</v>
      </c>
      <c r="AN95" s="3">
        <v>1</v>
      </c>
      <c r="AO95" s="3">
        <v>1</v>
      </c>
      <c r="AP95" s="3">
        <v>0</v>
      </c>
      <c r="AQ95" s="3">
        <v>0</v>
      </c>
      <c r="AR95" s="2" t="s">
        <v>5</v>
      </c>
      <c r="AS95" s="2" t="s">
        <v>90</v>
      </c>
      <c r="AT95" s="5" t="str">
        <f>HYPERLINK("http://catalog.hathitrust.org/Record/002208641","HathiTrust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HYPERLINK("https://creighton-primo.hosted.exlibrisgroup.com/primo-explore/search?tab=default_tab&amp;search_scope=EVERYTHING&amp;vid=01CRU&amp;lang=en_US&amp;offset=0&amp;query=any,contains,991000551489702656","Catalog Record")</f>
        <v>Catalog Record</v>
      </c>
      <c r="AV95" s="5" t="str">
        <f>HYPERLINK("http://www.worldcat.org/oclc/21162954","WorldCat Record")</f>
        <v>WorldCat Record</v>
      </c>
      <c r="AW95" s="2" t="s">
        <v>1294</v>
      </c>
      <c r="AX95" s="2" t="s">
        <v>1295</v>
      </c>
      <c r="AY95" s="2" t="s">
        <v>1296</v>
      </c>
      <c r="AZ95" s="2" t="s">
        <v>1296</v>
      </c>
      <c r="BA95" s="2" t="s">
        <v>1297</v>
      </c>
      <c r="BB95" s="2" t="s">
        <v>19</v>
      </c>
      <c r="BD95" s="2" t="s">
        <v>1298</v>
      </c>
      <c r="BE95" s="2" t="s">
        <v>1299</v>
      </c>
      <c r="BF95" s="2" t="s">
        <v>1300</v>
      </c>
    </row>
    <row r="96" spans="1:58" ht="50.25" customHeight="1" x14ac:dyDescent="0.25">
      <c r="A96" s="8" t="s">
        <v>5</v>
      </c>
      <c r="B96" s="1" t="s">
        <v>0</v>
      </c>
      <c r="C96" s="1" t="s">
        <v>1</v>
      </c>
      <c r="D96" s="1" t="s">
        <v>1301</v>
      </c>
      <c r="E96" s="1" t="s">
        <v>1302</v>
      </c>
      <c r="F96" s="1" t="s">
        <v>1303</v>
      </c>
      <c r="H96" s="2" t="s">
        <v>5</v>
      </c>
      <c r="I96" s="2" t="s">
        <v>6</v>
      </c>
      <c r="J96" s="2" t="s">
        <v>5</v>
      </c>
      <c r="K96" s="2" t="s">
        <v>5</v>
      </c>
      <c r="L96" s="2" t="s">
        <v>7</v>
      </c>
      <c r="N96" s="1" t="s">
        <v>1304</v>
      </c>
      <c r="O96" s="2" t="s">
        <v>44</v>
      </c>
      <c r="P96" s="1" t="s">
        <v>568</v>
      </c>
      <c r="Q96" s="2" t="s">
        <v>10</v>
      </c>
      <c r="R96" s="2" t="s">
        <v>11</v>
      </c>
      <c r="T96" s="2" t="s">
        <v>12</v>
      </c>
      <c r="U96" s="3">
        <v>0</v>
      </c>
      <c r="V96" s="3">
        <v>0</v>
      </c>
      <c r="W96" s="4" t="s">
        <v>1305</v>
      </c>
      <c r="X96" s="4" t="s">
        <v>1305</v>
      </c>
      <c r="Y96" s="4" t="s">
        <v>1305</v>
      </c>
      <c r="Z96" s="4" t="s">
        <v>1305</v>
      </c>
      <c r="AA96" s="3">
        <v>629</v>
      </c>
      <c r="AB96" s="3">
        <v>548</v>
      </c>
      <c r="AC96" s="3">
        <v>1302</v>
      </c>
      <c r="AD96" s="3">
        <v>3</v>
      </c>
      <c r="AE96" s="3">
        <v>8</v>
      </c>
      <c r="AF96" s="3">
        <v>27</v>
      </c>
      <c r="AG96" s="3">
        <v>50</v>
      </c>
      <c r="AH96" s="3">
        <v>13</v>
      </c>
      <c r="AI96" s="3">
        <v>21</v>
      </c>
      <c r="AJ96" s="3">
        <v>6</v>
      </c>
      <c r="AK96" s="3">
        <v>10</v>
      </c>
      <c r="AL96" s="3">
        <v>13</v>
      </c>
      <c r="AM96" s="3">
        <v>21</v>
      </c>
      <c r="AN96" s="3">
        <v>2</v>
      </c>
      <c r="AO96" s="3">
        <v>7</v>
      </c>
      <c r="AP96" s="3">
        <v>0</v>
      </c>
      <c r="AQ96" s="3">
        <v>1</v>
      </c>
      <c r="AR96" s="2" t="s">
        <v>5</v>
      </c>
      <c r="AS96" s="2" t="s">
        <v>5</v>
      </c>
      <c r="AU96" s="5" t="str">
        <f>HYPERLINK("https://creighton-primo.hosted.exlibrisgroup.com/primo-explore/search?tab=default_tab&amp;search_scope=EVERYTHING&amp;vid=01CRU&amp;lang=en_US&amp;offset=0&amp;query=any,contains,991000639129702656","Catalog Record")</f>
        <v>Catalog Record</v>
      </c>
      <c r="AV96" s="5" t="str">
        <f>HYPERLINK("http://www.worldcat.org/oclc/77476593","WorldCat Record")</f>
        <v>WorldCat Record</v>
      </c>
      <c r="AW96" s="2" t="s">
        <v>1306</v>
      </c>
      <c r="AX96" s="2" t="s">
        <v>1307</v>
      </c>
      <c r="AY96" s="2" t="s">
        <v>1308</v>
      </c>
      <c r="AZ96" s="2" t="s">
        <v>1308</v>
      </c>
      <c r="BA96" s="2" t="s">
        <v>1309</v>
      </c>
      <c r="BB96" s="2" t="s">
        <v>19</v>
      </c>
      <c r="BD96" s="2" t="s">
        <v>1310</v>
      </c>
      <c r="BE96" s="2" t="s">
        <v>1311</v>
      </c>
      <c r="BF96" s="2" t="s">
        <v>1312</v>
      </c>
    </row>
    <row r="97" spans="1:58" ht="50.25" customHeight="1" x14ac:dyDescent="0.25">
      <c r="A97" s="8" t="s">
        <v>5</v>
      </c>
      <c r="B97" s="1" t="s">
        <v>0</v>
      </c>
      <c r="C97" s="1" t="s">
        <v>1</v>
      </c>
      <c r="D97" s="1" t="s">
        <v>1313</v>
      </c>
      <c r="E97" s="1" t="s">
        <v>1314</v>
      </c>
      <c r="F97" s="1" t="s">
        <v>1315</v>
      </c>
      <c r="H97" s="2" t="s">
        <v>5</v>
      </c>
      <c r="I97" s="2" t="s">
        <v>6</v>
      </c>
      <c r="J97" s="2" t="s">
        <v>5</v>
      </c>
      <c r="K97" s="2" t="s">
        <v>5</v>
      </c>
      <c r="L97" s="2" t="s">
        <v>7</v>
      </c>
      <c r="M97" s="1" t="s">
        <v>1316</v>
      </c>
      <c r="N97" s="1" t="s">
        <v>1317</v>
      </c>
      <c r="O97" s="2" t="s">
        <v>319</v>
      </c>
      <c r="Q97" s="2" t="s">
        <v>10</v>
      </c>
      <c r="R97" s="2" t="s">
        <v>61</v>
      </c>
      <c r="T97" s="2" t="s">
        <v>12</v>
      </c>
      <c r="U97" s="3">
        <v>9</v>
      </c>
      <c r="V97" s="3">
        <v>9</v>
      </c>
      <c r="W97" s="4" t="s">
        <v>1318</v>
      </c>
      <c r="X97" s="4" t="s">
        <v>1318</v>
      </c>
      <c r="Y97" s="4" t="s">
        <v>1319</v>
      </c>
      <c r="Z97" s="4" t="s">
        <v>1319</v>
      </c>
      <c r="AA97" s="3">
        <v>62</v>
      </c>
      <c r="AB97" s="3">
        <v>51</v>
      </c>
      <c r="AC97" s="3">
        <v>54</v>
      </c>
      <c r="AD97" s="3">
        <v>1</v>
      </c>
      <c r="AE97" s="3">
        <v>1</v>
      </c>
      <c r="AF97" s="3">
        <v>2</v>
      </c>
      <c r="AG97" s="3">
        <v>2</v>
      </c>
      <c r="AH97" s="3">
        <v>2</v>
      </c>
      <c r="AI97" s="3">
        <v>2</v>
      </c>
      <c r="AJ97" s="3">
        <v>0</v>
      </c>
      <c r="AK97" s="3">
        <v>0</v>
      </c>
      <c r="AL97" s="3">
        <v>1</v>
      </c>
      <c r="AM97" s="3">
        <v>1</v>
      </c>
      <c r="AN97" s="3">
        <v>0</v>
      </c>
      <c r="AO97" s="3">
        <v>0</v>
      </c>
      <c r="AP97" s="3">
        <v>0</v>
      </c>
      <c r="AQ97" s="3">
        <v>0</v>
      </c>
      <c r="AR97" s="2" t="s">
        <v>5</v>
      </c>
      <c r="AS97" s="2" t="s">
        <v>90</v>
      </c>
      <c r="AT97" s="5" t="str">
        <f>HYPERLINK("http://catalog.hathitrust.org/Record/012269133","HathiTrust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HYPERLINK("https://creighton-primo.hosted.exlibrisgroup.com/primo-explore/search?tab=default_tab&amp;search_scope=EVERYTHING&amp;vid=01CRU&amp;lang=en_US&amp;offset=0&amp;query=any,contains,991001547169702656","Catalog Record")</f>
        <v>Catalog Record</v>
      </c>
      <c r="AV97" s="5" t="str">
        <f>HYPERLINK("http://www.worldcat.org/oclc/26587789","WorldCat Record")</f>
        <v>WorldCat Record</v>
      </c>
      <c r="AW97" s="2" t="s">
        <v>1320</v>
      </c>
      <c r="AX97" s="2" t="s">
        <v>1321</v>
      </c>
      <c r="AY97" s="2" t="s">
        <v>1322</v>
      </c>
      <c r="AZ97" s="2" t="s">
        <v>1322</v>
      </c>
      <c r="BA97" s="2" t="s">
        <v>1323</v>
      </c>
      <c r="BB97" s="2" t="s">
        <v>19</v>
      </c>
      <c r="BD97" s="2" t="s">
        <v>1324</v>
      </c>
      <c r="BE97" s="2" t="s">
        <v>1325</v>
      </c>
      <c r="BF97" s="2" t="s">
        <v>1326</v>
      </c>
    </row>
    <row r="98" spans="1:58" ht="50.25" customHeight="1" x14ac:dyDescent="0.25">
      <c r="A98" s="8" t="s">
        <v>5</v>
      </c>
      <c r="B98" s="1" t="s">
        <v>0</v>
      </c>
      <c r="C98" s="1" t="s">
        <v>1</v>
      </c>
      <c r="D98" s="1" t="s">
        <v>1327</v>
      </c>
      <c r="E98" s="1" t="s">
        <v>1328</v>
      </c>
      <c r="F98" s="1" t="s">
        <v>1329</v>
      </c>
      <c r="H98" s="2" t="s">
        <v>5</v>
      </c>
      <c r="I98" s="2" t="s">
        <v>6</v>
      </c>
      <c r="J98" s="2" t="s">
        <v>5</v>
      </c>
      <c r="K98" s="2" t="s">
        <v>5</v>
      </c>
      <c r="L98" s="2" t="s">
        <v>7</v>
      </c>
      <c r="N98" s="1" t="s">
        <v>1278</v>
      </c>
      <c r="O98" s="2" t="s">
        <v>125</v>
      </c>
      <c r="Q98" s="2" t="s">
        <v>10</v>
      </c>
      <c r="R98" s="2" t="s">
        <v>1279</v>
      </c>
      <c r="T98" s="2" t="s">
        <v>12</v>
      </c>
      <c r="U98" s="3">
        <v>10</v>
      </c>
      <c r="V98" s="3">
        <v>10</v>
      </c>
      <c r="W98" s="4" t="s">
        <v>1330</v>
      </c>
      <c r="X98" s="4" t="s">
        <v>1330</v>
      </c>
      <c r="Y98" s="4" t="s">
        <v>1281</v>
      </c>
      <c r="Z98" s="4" t="s">
        <v>1281</v>
      </c>
      <c r="AA98" s="3">
        <v>291</v>
      </c>
      <c r="AB98" s="3">
        <v>239</v>
      </c>
      <c r="AC98" s="3">
        <v>351</v>
      </c>
      <c r="AD98" s="3">
        <v>2</v>
      </c>
      <c r="AE98" s="3">
        <v>3</v>
      </c>
      <c r="AF98" s="3">
        <v>9</v>
      </c>
      <c r="AG98" s="3">
        <v>14</v>
      </c>
      <c r="AH98" s="3">
        <v>3</v>
      </c>
      <c r="AI98" s="3">
        <v>5</v>
      </c>
      <c r="AJ98" s="3">
        <v>3</v>
      </c>
      <c r="AK98" s="3">
        <v>4</v>
      </c>
      <c r="AL98" s="3">
        <v>5</v>
      </c>
      <c r="AM98" s="3">
        <v>6</v>
      </c>
      <c r="AN98" s="3">
        <v>1</v>
      </c>
      <c r="AO98" s="3">
        <v>2</v>
      </c>
      <c r="AP98" s="3">
        <v>0</v>
      </c>
      <c r="AQ98" s="3">
        <v>0</v>
      </c>
      <c r="AR98" s="2" t="s">
        <v>5</v>
      </c>
      <c r="AS98" s="2" t="s">
        <v>5</v>
      </c>
      <c r="AU98" s="5" t="str">
        <f>HYPERLINK("https://creighton-primo.hosted.exlibrisgroup.com/primo-explore/search?tab=default_tab&amp;search_scope=EVERYTHING&amp;vid=01CRU&amp;lang=en_US&amp;offset=0&amp;query=any,contains,991001551299702656","Catalog Record")</f>
        <v>Catalog Record</v>
      </c>
      <c r="AV98" s="5" t="str">
        <f>HYPERLINK("http://www.worldcat.org/oclc/32052880","WorldCat Record")</f>
        <v>WorldCat Record</v>
      </c>
      <c r="AW98" s="2" t="s">
        <v>1331</v>
      </c>
      <c r="AX98" s="2" t="s">
        <v>1332</v>
      </c>
      <c r="AY98" s="2" t="s">
        <v>1333</v>
      </c>
      <c r="AZ98" s="2" t="s">
        <v>1333</v>
      </c>
      <c r="BA98" s="2" t="s">
        <v>1334</v>
      </c>
      <c r="BB98" s="2" t="s">
        <v>19</v>
      </c>
      <c r="BD98" s="2" t="s">
        <v>1335</v>
      </c>
      <c r="BE98" s="2" t="s">
        <v>1336</v>
      </c>
      <c r="BF98" s="2" t="s">
        <v>1337</v>
      </c>
    </row>
    <row r="99" spans="1:58" ht="50.25" customHeight="1" x14ac:dyDescent="0.25">
      <c r="A99" s="8" t="s">
        <v>5</v>
      </c>
      <c r="B99" s="1" t="s">
        <v>0</v>
      </c>
      <c r="C99" s="1" t="s">
        <v>1</v>
      </c>
      <c r="D99" s="1" t="s">
        <v>1338</v>
      </c>
      <c r="E99" s="1" t="s">
        <v>1339</v>
      </c>
      <c r="F99" s="1" t="s">
        <v>1340</v>
      </c>
      <c r="H99" s="2" t="s">
        <v>5</v>
      </c>
      <c r="I99" s="2" t="s">
        <v>6</v>
      </c>
      <c r="J99" s="2" t="s">
        <v>5</v>
      </c>
      <c r="K99" s="2" t="s">
        <v>5</v>
      </c>
      <c r="L99" s="2" t="s">
        <v>7</v>
      </c>
      <c r="M99" s="1" t="s">
        <v>1341</v>
      </c>
      <c r="O99" s="2" t="s">
        <v>1342</v>
      </c>
      <c r="Q99" s="2" t="s">
        <v>10</v>
      </c>
      <c r="R99" s="2" t="s">
        <v>1343</v>
      </c>
      <c r="S99" s="1" t="s">
        <v>1344</v>
      </c>
      <c r="T99" s="2" t="s">
        <v>12</v>
      </c>
      <c r="U99" s="3">
        <v>3</v>
      </c>
      <c r="V99" s="3">
        <v>3</v>
      </c>
      <c r="W99" s="4" t="s">
        <v>1345</v>
      </c>
      <c r="X99" s="4" t="s">
        <v>1345</v>
      </c>
      <c r="Y99" s="4" t="s">
        <v>1346</v>
      </c>
      <c r="Z99" s="4" t="s">
        <v>1346</v>
      </c>
      <c r="AA99" s="3">
        <v>74</v>
      </c>
      <c r="AB99" s="3">
        <v>65</v>
      </c>
      <c r="AC99" s="3">
        <v>72</v>
      </c>
      <c r="AD99" s="3">
        <v>1</v>
      </c>
      <c r="AE99" s="3">
        <v>1</v>
      </c>
      <c r="AF99" s="3">
        <v>1</v>
      </c>
      <c r="AG99" s="3">
        <v>1</v>
      </c>
      <c r="AH99" s="3">
        <v>0</v>
      </c>
      <c r="AI99" s="3">
        <v>0</v>
      </c>
      <c r="AJ99" s="3">
        <v>1</v>
      </c>
      <c r="AK99" s="3">
        <v>1</v>
      </c>
      <c r="AL99" s="3">
        <v>1</v>
      </c>
      <c r="AM99" s="3">
        <v>1</v>
      </c>
      <c r="AN99" s="3">
        <v>0</v>
      </c>
      <c r="AO99" s="3">
        <v>0</v>
      </c>
      <c r="AP99" s="3">
        <v>0</v>
      </c>
      <c r="AQ99" s="3">
        <v>0</v>
      </c>
      <c r="AR99" s="2" t="s">
        <v>90</v>
      </c>
      <c r="AS99" s="2" t="s">
        <v>5</v>
      </c>
      <c r="AT99" s="5" t="str">
        <f>HYPERLINK("http://catalog.hathitrust.org/Record/001577856","HathiTrust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HYPERLINK("https://creighton-primo.hosted.exlibrisgroup.com/primo-explore/search?tab=default_tab&amp;search_scope=EVERYTHING&amp;vid=01CRU&amp;lang=en_US&amp;offset=0&amp;query=any,contains,991000719309702656","Catalog Record")</f>
        <v>Catalog Record</v>
      </c>
      <c r="AV99" s="5" t="str">
        <f>HYPERLINK("http://www.worldcat.org/oclc/2316855","WorldCat Record")</f>
        <v>WorldCat Record</v>
      </c>
      <c r="AW99" s="2" t="s">
        <v>1347</v>
      </c>
      <c r="AX99" s="2" t="s">
        <v>1348</v>
      </c>
      <c r="AY99" s="2" t="s">
        <v>1349</v>
      </c>
      <c r="AZ99" s="2" t="s">
        <v>1349</v>
      </c>
      <c r="BA99" s="2" t="s">
        <v>1350</v>
      </c>
      <c r="BB99" s="2" t="s">
        <v>19</v>
      </c>
      <c r="BE99" s="2" t="s">
        <v>1351</v>
      </c>
      <c r="BF99" s="2" t="s">
        <v>1352</v>
      </c>
    </row>
    <row r="100" spans="1:58" ht="50.25" customHeight="1" x14ac:dyDescent="0.25">
      <c r="A100" s="8" t="s">
        <v>5</v>
      </c>
      <c r="B100" s="1" t="s">
        <v>0</v>
      </c>
      <c r="C100" s="1" t="s">
        <v>1</v>
      </c>
      <c r="D100" s="1" t="s">
        <v>1353</v>
      </c>
      <c r="E100" s="1" t="s">
        <v>1354</v>
      </c>
      <c r="F100" s="1" t="s">
        <v>1355</v>
      </c>
      <c r="H100" s="2" t="s">
        <v>5</v>
      </c>
      <c r="I100" s="2" t="s">
        <v>6</v>
      </c>
      <c r="J100" s="2" t="s">
        <v>5</v>
      </c>
      <c r="K100" s="2" t="s">
        <v>5</v>
      </c>
      <c r="L100" s="2" t="s">
        <v>7</v>
      </c>
      <c r="M100" s="1" t="s">
        <v>1356</v>
      </c>
      <c r="N100" s="1" t="s">
        <v>1357</v>
      </c>
      <c r="O100" s="2" t="s">
        <v>489</v>
      </c>
      <c r="Q100" s="2" t="s">
        <v>10</v>
      </c>
      <c r="R100" s="2" t="s">
        <v>45</v>
      </c>
      <c r="T100" s="2" t="s">
        <v>12</v>
      </c>
      <c r="U100" s="3">
        <v>2</v>
      </c>
      <c r="V100" s="3">
        <v>2</v>
      </c>
      <c r="W100" s="4" t="s">
        <v>1358</v>
      </c>
      <c r="X100" s="4" t="s">
        <v>1358</v>
      </c>
      <c r="Y100" s="4" t="s">
        <v>1359</v>
      </c>
      <c r="Z100" s="4" t="s">
        <v>1359</v>
      </c>
      <c r="AA100" s="3">
        <v>136</v>
      </c>
      <c r="AB100" s="3">
        <v>105</v>
      </c>
      <c r="AC100" s="3">
        <v>107</v>
      </c>
      <c r="AD100" s="3">
        <v>1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2" t="s">
        <v>5</v>
      </c>
      <c r="AS100" s="2" t="s">
        <v>90</v>
      </c>
      <c r="AT100" s="5" t="str">
        <f>HYPERLINK("http://catalog.hathitrust.org/Record/010380648","HathiTrust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HYPERLINK("https://creighton-primo.hosted.exlibrisgroup.com/primo-explore/search?tab=default_tab&amp;search_scope=EVERYTHING&amp;vid=01CRU&amp;lang=en_US&amp;offset=0&amp;query=any,contains,991000324739702656","Catalog Record")</f>
        <v>Catalog Record</v>
      </c>
      <c r="AV100" s="5" t="str">
        <f>HYPERLINK("http://www.worldcat.org/oclc/42290532","WorldCat Record")</f>
        <v>WorldCat Record</v>
      </c>
      <c r="AW100" s="2" t="s">
        <v>1360</v>
      </c>
      <c r="AX100" s="2" t="s">
        <v>1361</v>
      </c>
      <c r="AY100" s="2" t="s">
        <v>1362</v>
      </c>
      <c r="AZ100" s="2" t="s">
        <v>1362</v>
      </c>
      <c r="BA100" s="2" t="s">
        <v>1363</v>
      </c>
      <c r="BB100" s="2" t="s">
        <v>19</v>
      </c>
      <c r="BD100" s="2" t="s">
        <v>1364</v>
      </c>
      <c r="BE100" s="2" t="s">
        <v>1365</v>
      </c>
      <c r="BF100" s="2" t="s">
        <v>1366</v>
      </c>
    </row>
    <row r="101" spans="1:58" ht="50.25" customHeight="1" x14ac:dyDescent="0.25">
      <c r="A101" s="8" t="s">
        <v>5</v>
      </c>
      <c r="B101" s="1" t="s">
        <v>0</v>
      </c>
      <c r="C101" s="1" t="s">
        <v>1</v>
      </c>
      <c r="D101" s="1" t="s">
        <v>1367</v>
      </c>
      <c r="E101" s="1" t="s">
        <v>1368</v>
      </c>
      <c r="F101" s="1" t="s">
        <v>1369</v>
      </c>
      <c r="H101" s="2" t="s">
        <v>5</v>
      </c>
      <c r="I101" s="2" t="s">
        <v>6</v>
      </c>
      <c r="J101" s="2" t="s">
        <v>5</v>
      </c>
      <c r="K101" s="2" t="s">
        <v>5</v>
      </c>
      <c r="L101" s="2" t="s">
        <v>6</v>
      </c>
      <c r="N101" s="1" t="s">
        <v>1370</v>
      </c>
      <c r="O101" s="2" t="s">
        <v>9</v>
      </c>
      <c r="Q101" s="2" t="s">
        <v>10</v>
      </c>
      <c r="R101" s="2" t="s">
        <v>1371</v>
      </c>
      <c r="T101" s="2" t="s">
        <v>12</v>
      </c>
      <c r="U101" s="3">
        <v>0</v>
      </c>
      <c r="V101" s="3">
        <v>0</v>
      </c>
      <c r="W101" s="4" t="s">
        <v>1372</v>
      </c>
      <c r="X101" s="4" t="s">
        <v>1372</v>
      </c>
      <c r="Y101" s="4" t="s">
        <v>1373</v>
      </c>
      <c r="Z101" s="4" t="s">
        <v>1373</v>
      </c>
      <c r="AA101" s="3">
        <v>87</v>
      </c>
      <c r="AB101" s="3">
        <v>50</v>
      </c>
      <c r="AC101" s="3">
        <v>1085</v>
      </c>
      <c r="AD101" s="3">
        <v>2</v>
      </c>
      <c r="AE101" s="3">
        <v>15</v>
      </c>
      <c r="AF101" s="3">
        <v>2</v>
      </c>
      <c r="AG101" s="3">
        <v>42</v>
      </c>
      <c r="AH101" s="3">
        <v>0</v>
      </c>
      <c r="AI101" s="3">
        <v>12</v>
      </c>
      <c r="AJ101" s="3">
        <v>1</v>
      </c>
      <c r="AK101" s="3">
        <v>10</v>
      </c>
      <c r="AL101" s="3">
        <v>0</v>
      </c>
      <c r="AM101" s="3">
        <v>11</v>
      </c>
      <c r="AN101" s="3">
        <v>1</v>
      </c>
      <c r="AO101" s="3">
        <v>13</v>
      </c>
      <c r="AP101" s="3">
        <v>0</v>
      </c>
      <c r="AQ101" s="3">
        <v>2</v>
      </c>
      <c r="AR101" s="2" t="s">
        <v>5</v>
      </c>
      <c r="AS101" s="2" t="s">
        <v>5</v>
      </c>
      <c r="AU101" s="5" t="str">
        <f>HYPERLINK("https://creighton-primo.hosted.exlibrisgroup.com/primo-explore/search?tab=default_tab&amp;search_scope=EVERYTHING&amp;vid=01CRU&amp;lang=en_US&amp;offset=0&amp;query=any,contains,991000670009702656","Catalog Record")</f>
        <v>Catalog Record</v>
      </c>
      <c r="AV101" s="5" t="str">
        <f>HYPERLINK("http://www.worldcat.org/oclc/123215857","WorldCat Record")</f>
        <v>WorldCat Record</v>
      </c>
      <c r="AW101" s="2" t="s">
        <v>1374</v>
      </c>
      <c r="AX101" s="2" t="s">
        <v>1375</v>
      </c>
      <c r="AY101" s="2" t="s">
        <v>1376</v>
      </c>
      <c r="AZ101" s="2" t="s">
        <v>1376</v>
      </c>
      <c r="BA101" s="2" t="s">
        <v>1377</v>
      </c>
      <c r="BB101" s="2" t="s">
        <v>19</v>
      </c>
      <c r="BD101" s="2" t="s">
        <v>1378</v>
      </c>
      <c r="BE101" s="2" t="s">
        <v>1379</v>
      </c>
      <c r="BF101" s="2" t="s">
        <v>1380</v>
      </c>
    </row>
    <row r="102" spans="1:58" ht="50.25" customHeight="1" x14ac:dyDescent="0.25">
      <c r="A102" s="8" t="s">
        <v>5</v>
      </c>
      <c r="B102" s="1" t="s">
        <v>0</v>
      </c>
      <c r="C102" s="1" t="s">
        <v>1</v>
      </c>
      <c r="D102" s="1" t="s">
        <v>1381</v>
      </c>
      <c r="E102" s="1" t="s">
        <v>1382</v>
      </c>
      <c r="F102" s="1" t="s">
        <v>1383</v>
      </c>
      <c r="H102" s="2" t="s">
        <v>5</v>
      </c>
      <c r="I102" s="2" t="s">
        <v>6</v>
      </c>
      <c r="J102" s="2" t="s">
        <v>5</v>
      </c>
      <c r="K102" s="2" t="s">
        <v>5</v>
      </c>
      <c r="L102" s="2" t="s">
        <v>6</v>
      </c>
      <c r="N102" s="1" t="s">
        <v>1384</v>
      </c>
      <c r="O102" s="2" t="s">
        <v>109</v>
      </c>
      <c r="Q102" s="2" t="s">
        <v>10</v>
      </c>
      <c r="R102" s="2" t="s">
        <v>1385</v>
      </c>
      <c r="T102" s="2" t="s">
        <v>12</v>
      </c>
      <c r="U102" s="3">
        <v>1</v>
      </c>
      <c r="V102" s="3">
        <v>1</v>
      </c>
      <c r="W102" s="4" t="s">
        <v>1386</v>
      </c>
      <c r="X102" s="4" t="s">
        <v>1386</v>
      </c>
      <c r="Y102" s="4" t="s">
        <v>1387</v>
      </c>
      <c r="Z102" s="4" t="s">
        <v>1387</v>
      </c>
      <c r="AA102" s="3">
        <v>38</v>
      </c>
      <c r="AB102" s="3">
        <v>29</v>
      </c>
      <c r="AC102" s="3">
        <v>373</v>
      </c>
      <c r="AD102" s="3">
        <v>1</v>
      </c>
      <c r="AE102" s="3">
        <v>5</v>
      </c>
      <c r="AF102" s="3">
        <v>1</v>
      </c>
      <c r="AG102" s="3">
        <v>14</v>
      </c>
      <c r="AH102" s="3">
        <v>1</v>
      </c>
      <c r="AI102" s="3">
        <v>4</v>
      </c>
      <c r="AJ102" s="3">
        <v>0</v>
      </c>
      <c r="AK102" s="3">
        <v>4</v>
      </c>
      <c r="AL102" s="3">
        <v>0</v>
      </c>
      <c r="AM102" s="3">
        <v>4</v>
      </c>
      <c r="AN102" s="3">
        <v>0</v>
      </c>
      <c r="AO102" s="3">
        <v>4</v>
      </c>
      <c r="AP102" s="3">
        <v>0</v>
      </c>
      <c r="AQ102" s="3">
        <v>0</v>
      </c>
      <c r="AR102" s="2" t="s">
        <v>5</v>
      </c>
      <c r="AS102" s="2" t="s">
        <v>5</v>
      </c>
      <c r="AU102" s="5" t="str">
        <f>HYPERLINK("https://creighton-primo.hosted.exlibrisgroup.com/primo-explore/search?tab=default_tab&amp;search_scope=EVERYTHING&amp;vid=01CRU&amp;lang=en_US&amp;offset=0&amp;query=any,contains,991000428999702656","Catalog Record")</f>
        <v>Catalog Record</v>
      </c>
      <c r="AV102" s="5" t="str">
        <f>HYPERLINK("http://www.worldcat.org/oclc/82535910","WorldCat Record")</f>
        <v>WorldCat Record</v>
      </c>
      <c r="AW102" s="2" t="s">
        <v>1388</v>
      </c>
      <c r="AX102" s="2" t="s">
        <v>1389</v>
      </c>
      <c r="AY102" s="2" t="s">
        <v>1390</v>
      </c>
      <c r="AZ102" s="2" t="s">
        <v>1390</v>
      </c>
      <c r="BA102" s="2" t="s">
        <v>1391</v>
      </c>
      <c r="BB102" s="2" t="s">
        <v>19</v>
      </c>
      <c r="BD102" s="2" t="s">
        <v>1392</v>
      </c>
      <c r="BE102" s="2" t="s">
        <v>1393</v>
      </c>
      <c r="BF102" s="2" t="s">
        <v>1394</v>
      </c>
    </row>
    <row r="103" spans="1:58" ht="50.25" customHeight="1" x14ac:dyDescent="0.25">
      <c r="A103" s="8" t="s">
        <v>5</v>
      </c>
      <c r="B103" s="1" t="s">
        <v>0</v>
      </c>
      <c r="C103" s="1" t="s">
        <v>1</v>
      </c>
      <c r="D103" s="1" t="s">
        <v>1395</v>
      </c>
      <c r="E103" s="1" t="s">
        <v>1396</v>
      </c>
      <c r="F103" s="1" t="s">
        <v>1397</v>
      </c>
      <c r="H103" s="2" t="s">
        <v>5</v>
      </c>
      <c r="I103" s="2" t="s">
        <v>6</v>
      </c>
      <c r="J103" s="2" t="s">
        <v>5</v>
      </c>
      <c r="K103" s="2" t="s">
        <v>5</v>
      </c>
      <c r="L103" s="2" t="s">
        <v>7</v>
      </c>
      <c r="N103" s="1" t="s">
        <v>1398</v>
      </c>
      <c r="O103" s="2" t="s">
        <v>9</v>
      </c>
      <c r="Q103" s="2" t="s">
        <v>10</v>
      </c>
      <c r="R103" s="2" t="s">
        <v>290</v>
      </c>
      <c r="T103" s="2" t="s">
        <v>12</v>
      </c>
      <c r="U103" s="3">
        <v>1</v>
      </c>
      <c r="V103" s="3">
        <v>1</v>
      </c>
      <c r="W103" s="4" t="s">
        <v>1399</v>
      </c>
      <c r="X103" s="4" t="s">
        <v>1399</v>
      </c>
      <c r="Y103" s="4" t="s">
        <v>1400</v>
      </c>
      <c r="Z103" s="4" t="s">
        <v>1400</v>
      </c>
      <c r="AA103" s="3">
        <v>114</v>
      </c>
      <c r="AB103" s="3">
        <v>77</v>
      </c>
      <c r="AC103" s="3">
        <v>132</v>
      </c>
      <c r="AD103" s="3">
        <v>2</v>
      </c>
      <c r="AE103" s="3">
        <v>2</v>
      </c>
      <c r="AF103" s="3">
        <v>3</v>
      </c>
      <c r="AG103" s="3">
        <v>5</v>
      </c>
      <c r="AH103" s="3">
        <v>0</v>
      </c>
      <c r="AI103" s="3">
        <v>1</v>
      </c>
      <c r="AJ103" s="3">
        <v>2</v>
      </c>
      <c r="AK103" s="3">
        <v>3</v>
      </c>
      <c r="AL103" s="3">
        <v>1</v>
      </c>
      <c r="AM103" s="3">
        <v>1</v>
      </c>
      <c r="AN103" s="3">
        <v>1</v>
      </c>
      <c r="AO103" s="3">
        <v>1</v>
      </c>
      <c r="AP103" s="3">
        <v>0</v>
      </c>
      <c r="AQ103" s="3">
        <v>0</v>
      </c>
      <c r="AR103" s="2" t="s">
        <v>5</v>
      </c>
      <c r="AS103" s="2" t="s">
        <v>5</v>
      </c>
      <c r="AU103" s="5" t="str">
        <f>HYPERLINK("https://creighton-primo.hosted.exlibrisgroup.com/primo-explore/search?tab=default_tab&amp;search_scope=EVERYTHING&amp;vid=01CRU&amp;lang=en_US&amp;offset=0&amp;query=any,contains,991000477059702656","Catalog Record")</f>
        <v>Catalog Record</v>
      </c>
      <c r="AV103" s="5" t="str">
        <f>HYPERLINK("http://www.worldcat.org/oclc/63144922","WorldCat Record")</f>
        <v>WorldCat Record</v>
      </c>
      <c r="AW103" s="2" t="s">
        <v>1401</v>
      </c>
      <c r="AX103" s="2" t="s">
        <v>1402</v>
      </c>
      <c r="AY103" s="2" t="s">
        <v>1403</v>
      </c>
      <c r="AZ103" s="2" t="s">
        <v>1403</v>
      </c>
      <c r="BA103" s="2" t="s">
        <v>1404</v>
      </c>
      <c r="BB103" s="2" t="s">
        <v>19</v>
      </c>
      <c r="BD103" s="2" t="s">
        <v>1405</v>
      </c>
      <c r="BE103" s="2" t="s">
        <v>1406</v>
      </c>
      <c r="BF103" s="2" t="s">
        <v>1407</v>
      </c>
    </row>
    <row r="104" spans="1:58" ht="50.25" customHeight="1" x14ac:dyDescent="0.25">
      <c r="A104" s="8" t="s">
        <v>5</v>
      </c>
      <c r="B104" s="1" t="s">
        <v>0</v>
      </c>
      <c r="C104" s="1" t="s">
        <v>1</v>
      </c>
      <c r="D104" s="1" t="s">
        <v>1408</v>
      </c>
      <c r="E104" s="1" t="s">
        <v>1409</v>
      </c>
      <c r="F104" s="1" t="s">
        <v>1410</v>
      </c>
      <c r="H104" s="2" t="s">
        <v>5</v>
      </c>
      <c r="I104" s="2" t="s">
        <v>6</v>
      </c>
      <c r="J104" s="2" t="s">
        <v>5</v>
      </c>
      <c r="K104" s="2" t="s">
        <v>5</v>
      </c>
      <c r="L104" s="2" t="s">
        <v>7</v>
      </c>
      <c r="N104" s="1" t="s">
        <v>1411</v>
      </c>
      <c r="O104" s="2" t="s">
        <v>60</v>
      </c>
      <c r="Q104" s="2" t="s">
        <v>10</v>
      </c>
      <c r="R104" s="2" t="s">
        <v>110</v>
      </c>
      <c r="T104" s="2" t="s">
        <v>12</v>
      </c>
      <c r="U104" s="3">
        <v>1</v>
      </c>
      <c r="V104" s="3">
        <v>1</v>
      </c>
      <c r="W104" s="4" t="s">
        <v>1412</v>
      </c>
      <c r="X104" s="4" t="s">
        <v>1412</v>
      </c>
      <c r="Y104" s="4" t="s">
        <v>1413</v>
      </c>
      <c r="Z104" s="4" t="s">
        <v>1413</v>
      </c>
      <c r="AA104" s="3">
        <v>116</v>
      </c>
      <c r="AB104" s="3">
        <v>85</v>
      </c>
      <c r="AC104" s="3">
        <v>87</v>
      </c>
      <c r="AD104" s="3">
        <v>1</v>
      </c>
      <c r="AE104" s="3">
        <v>1</v>
      </c>
      <c r="AF104" s="3">
        <v>5</v>
      </c>
      <c r="AG104" s="3">
        <v>5</v>
      </c>
      <c r="AH104" s="3">
        <v>1</v>
      </c>
      <c r="AI104" s="3">
        <v>1</v>
      </c>
      <c r="AJ104" s="3">
        <v>2</v>
      </c>
      <c r="AK104" s="3">
        <v>2</v>
      </c>
      <c r="AL104" s="3">
        <v>3</v>
      </c>
      <c r="AM104" s="3">
        <v>3</v>
      </c>
      <c r="AN104" s="3">
        <v>0</v>
      </c>
      <c r="AO104" s="3">
        <v>0</v>
      </c>
      <c r="AP104" s="3">
        <v>0</v>
      </c>
      <c r="AQ104" s="3">
        <v>0</v>
      </c>
      <c r="AR104" s="2" t="s">
        <v>5</v>
      </c>
      <c r="AS104" s="2" t="s">
        <v>5</v>
      </c>
      <c r="AU104" s="5" t="str">
        <f>HYPERLINK("https://creighton-primo.hosted.exlibrisgroup.com/primo-explore/search?tab=default_tab&amp;search_scope=EVERYTHING&amp;vid=01CRU&amp;lang=en_US&amp;offset=0&amp;query=any,contains,991000414019702656","Catalog Record")</f>
        <v>Catalog Record</v>
      </c>
      <c r="AV104" s="5" t="str">
        <f>HYPERLINK("http://www.worldcat.org/oclc/54356678","WorldCat Record")</f>
        <v>WorldCat Record</v>
      </c>
      <c r="AW104" s="2" t="s">
        <v>1414</v>
      </c>
      <c r="AX104" s="2" t="s">
        <v>1415</v>
      </c>
      <c r="AY104" s="2" t="s">
        <v>1416</v>
      </c>
      <c r="AZ104" s="2" t="s">
        <v>1416</v>
      </c>
      <c r="BA104" s="2" t="s">
        <v>1417</v>
      </c>
      <c r="BB104" s="2" t="s">
        <v>19</v>
      </c>
      <c r="BD104" s="2" t="s">
        <v>1418</v>
      </c>
      <c r="BE104" s="2" t="s">
        <v>1419</v>
      </c>
      <c r="BF104" s="2" t="s">
        <v>1420</v>
      </c>
    </row>
    <row r="105" spans="1:58" ht="50.25" customHeight="1" x14ac:dyDescent="0.25">
      <c r="A105" s="8" t="s">
        <v>5</v>
      </c>
      <c r="B105" s="1" t="s">
        <v>0</v>
      </c>
      <c r="C105" s="1" t="s">
        <v>1</v>
      </c>
      <c r="D105" s="1" t="s">
        <v>1421</v>
      </c>
      <c r="E105" s="1" t="s">
        <v>1422</v>
      </c>
      <c r="F105" s="1" t="s">
        <v>1423</v>
      </c>
      <c r="H105" s="2" t="s">
        <v>5</v>
      </c>
      <c r="I105" s="2" t="s">
        <v>6</v>
      </c>
      <c r="J105" s="2" t="s">
        <v>5</v>
      </c>
      <c r="K105" s="2" t="s">
        <v>5</v>
      </c>
      <c r="L105" s="2" t="s">
        <v>7</v>
      </c>
      <c r="M105" s="1" t="s">
        <v>1424</v>
      </c>
      <c r="N105" s="1" t="s">
        <v>1425</v>
      </c>
      <c r="O105" s="2" t="s">
        <v>28</v>
      </c>
      <c r="Q105" s="2" t="s">
        <v>10</v>
      </c>
      <c r="R105" s="2" t="s">
        <v>29</v>
      </c>
      <c r="T105" s="2" t="s">
        <v>12</v>
      </c>
      <c r="U105" s="3">
        <v>4</v>
      </c>
      <c r="V105" s="3">
        <v>4</v>
      </c>
      <c r="W105" s="4" t="s">
        <v>1426</v>
      </c>
      <c r="X105" s="4" t="s">
        <v>1426</v>
      </c>
      <c r="Y105" s="4" t="s">
        <v>1427</v>
      </c>
      <c r="Z105" s="4" t="s">
        <v>1427</v>
      </c>
      <c r="AA105" s="3">
        <v>339</v>
      </c>
      <c r="AB105" s="3">
        <v>322</v>
      </c>
      <c r="AC105" s="3">
        <v>329</v>
      </c>
      <c r="AD105" s="3">
        <v>2</v>
      </c>
      <c r="AE105" s="3">
        <v>2</v>
      </c>
      <c r="AF105" s="3">
        <v>23</v>
      </c>
      <c r="AG105" s="3">
        <v>23</v>
      </c>
      <c r="AH105" s="3">
        <v>5</v>
      </c>
      <c r="AI105" s="3">
        <v>5</v>
      </c>
      <c r="AJ105" s="3">
        <v>1</v>
      </c>
      <c r="AK105" s="3">
        <v>1</v>
      </c>
      <c r="AL105" s="3">
        <v>6</v>
      </c>
      <c r="AM105" s="3">
        <v>6</v>
      </c>
      <c r="AN105" s="3">
        <v>1</v>
      </c>
      <c r="AO105" s="3">
        <v>1</v>
      </c>
      <c r="AP105" s="3">
        <v>12</v>
      </c>
      <c r="AQ105" s="3">
        <v>12</v>
      </c>
      <c r="AR105" s="2" t="s">
        <v>5</v>
      </c>
      <c r="AS105" s="2" t="s">
        <v>90</v>
      </c>
      <c r="AT105" s="5" t="str">
        <f>HYPERLINK("http://catalog.hathitrust.org/Record/001540547","HathiTrust Record")</f>
        <v>HathiTrust Record</v>
      </c>
      <c r="AU105" s="5" t="str">
        <f>HYPERLINK("https://creighton-primo.hosted.exlibrisgroup.com/primo-explore/search?tab=default_tab&amp;search_scope=EVERYTHING&amp;vid=01CRU&amp;lang=en_US&amp;offset=0&amp;query=any,contains,991001313499702656","Catalog Record")</f>
        <v>Catalog Record</v>
      </c>
      <c r="AV105" s="5" t="str">
        <f>HYPERLINK("http://www.worldcat.org/oclc/19455951","WorldCat Record")</f>
        <v>WorldCat Record</v>
      </c>
      <c r="AW105" s="2" t="s">
        <v>1428</v>
      </c>
      <c r="AX105" s="2" t="s">
        <v>1429</v>
      </c>
      <c r="AY105" s="2" t="s">
        <v>1430</v>
      </c>
      <c r="AZ105" s="2" t="s">
        <v>1430</v>
      </c>
      <c r="BA105" s="2" t="s">
        <v>1431</v>
      </c>
      <c r="BB105" s="2" t="s">
        <v>19</v>
      </c>
      <c r="BD105" s="2" t="s">
        <v>1432</v>
      </c>
      <c r="BE105" s="2" t="s">
        <v>1433</v>
      </c>
      <c r="BF105" s="2" t="s">
        <v>1434</v>
      </c>
    </row>
    <row r="106" spans="1:58" ht="50.25" customHeight="1" x14ac:dyDescent="0.25">
      <c r="A106" s="8" t="s">
        <v>5</v>
      </c>
      <c r="B106" s="1" t="s">
        <v>0</v>
      </c>
      <c r="C106" s="1" t="s">
        <v>1</v>
      </c>
      <c r="D106" s="1" t="s">
        <v>1435</v>
      </c>
      <c r="E106" s="1" t="s">
        <v>1436</v>
      </c>
      <c r="F106" s="1" t="s">
        <v>1437</v>
      </c>
      <c r="H106" s="2" t="s">
        <v>5</v>
      </c>
      <c r="I106" s="2" t="s">
        <v>6</v>
      </c>
      <c r="J106" s="2" t="s">
        <v>5</v>
      </c>
      <c r="K106" s="2" t="s">
        <v>5</v>
      </c>
      <c r="L106" s="2" t="s">
        <v>7</v>
      </c>
      <c r="M106" s="1" t="s">
        <v>1438</v>
      </c>
      <c r="N106" s="1" t="s">
        <v>1439</v>
      </c>
      <c r="O106" s="2" t="s">
        <v>596</v>
      </c>
      <c r="Q106" s="2" t="s">
        <v>10</v>
      </c>
      <c r="R106" s="2" t="s">
        <v>1150</v>
      </c>
      <c r="T106" s="2" t="s">
        <v>12</v>
      </c>
      <c r="U106" s="3">
        <v>3</v>
      </c>
      <c r="V106" s="3">
        <v>3</v>
      </c>
      <c r="W106" s="4" t="s">
        <v>1440</v>
      </c>
      <c r="X106" s="4" t="s">
        <v>1440</v>
      </c>
      <c r="Y106" s="4" t="s">
        <v>1441</v>
      </c>
      <c r="Z106" s="4" t="s">
        <v>1441</v>
      </c>
      <c r="AA106" s="3">
        <v>53</v>
      </c>
      <c r="AB106" s="3">
        <v>43</v>
      </c>
      <c r="AC106" s="3">
        <v>43</v>
      </c>
      <c r="AD106" s="3">
        <v>1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2" t="s">
        <v>5</v>
      </c>
      <c r="AS106" s="2" t="s">
        <v>5</v>
      </c>
      <c r="AU106" s="5" t="str">
        <f>HYPERLINK("https://creighton-primo.hosted.exlibrisgroup.com/primo-explore/search?tab=default_tab&amp;search_scope=EVERYTHING&amp;vid=01CRU&amp;lang=en_US&amp;offset=0&amp;query=any,contains,991001531959702656","Catalog Record")</f>
        <v>Catalog Record</v>
      </c>
      <c r="AV106" s="5" t="str">
        <f>HYPERLINK("http://www.worldcat.org/oclc/18881963","WorldCat Record")</f>
        <v>WorldCat Record</v>
      </c>
      <c r="AW106" s="2" t="s">
        <v>1442</v>
      </c>
      <c r="AX106" s="2" t="s">
        <v>1443</v>
      </c>
      <c r="AY106" s="2" t="s">
        <v>1444</v>
      </c>
      <c r="AZ106" s="2" t="s">
        <v>1444</v>
      </c>
      <c r="BA106" s="2" t="s">
        <v>1445</v>
      </c>
      <c r="BB106" s="2" t="s">
        <v>19</v>
      </c>
      <c r="BD106" s="2" t="s">
        <v>1446</v>
      </c>
      <c r="BE106" s="2" t="s">
        <v>1447</v>
      </c>
      <c r="BF106" s="2" t="s">
        <v>1448</v>
      </c>
    </row>
    <row r="107" spans="1:58" ht="50.25" customHeight="1" x14ac:dyDescent="0.25">
      <c r="A107" s="8" t="s">
        <v>5</v>
      </c>
      <c r="B107" s="1" t="s">
        <v>0</v>
      </c>
      <c r="C107" s="1" t="s">
        <v>1</v>
      </c>
      <c r="D107" s="1" t="s">
        <v>1449</v>
      </c>
      <c r="E107" s="1" t="s">
        <v>1450</v>
      </c>
      <c r="F107" s="1" t="s">
        <v>1451</v>
      </c>
      <c r="H107" s="2" t="s">
        <v>5</v>
      </c>
      <c r="I107" s="2" t="s">
        <v>6</v>
      </c>
      <c r="J107" s="2" t="s">
        <v>5</v>
      </c>
      <c r="K107" s="2" t="s">
        <v>5</v>
      </c>
      <c r="L107" s="2" t="s">
        <v>7</v>
      </c>
      <c r="M107" s="1" t="s">
        <v>1452</v>
      </c>
      <c r="N107" s="1" t="s">
        <v>1453</v>
      </c>
      <c r="O107" s="2" t="s">
        <v>28</v>
      </c>
      <c r="Q107" s="2" t="s">
        <v>10</v>
      </c>
      <c r="R107" s="2" t="s">
        <v>29</v>
      </c>
      <c r="T107" s="2" t="s">
        <v>12</v>
      </c>
      <c r="U107" s="3">
        <v>4</v>
      </c>
      <c r="V107" s="3">
        <v>4</v>
      </c>
      <c r="W107" s="4" t="s">
        <v>1454</v>
      </c>
      <c r="X107" s="4" t="s">
        <v>1454</v>
      </c>
      <c r="Y107" s="4" t="s">
        <v>1454</v>
      </c>
      <c r="Z107" s="4" t="s">
        <v>1454</v>
      </c>
      <c r="AA107" s="3">
        <v>223</v>
      </c>
      <c r="AB107" s="3">
        <v>186</v>
      </c>
      <c r="AC107" s="3">
        <v>194</v>
      </c>
      <c r="AD107" s="3">
        <v>1</v>
      </c>
      <c r="AE107" s="3">
        <v>1</v>
      </c>
      <c r="AF107" s="3">
        <v>2</v>
      </c>
      <c r="AG107" s="3">
        <v>2</v>
      </c>
      <c r="AH107" s="3">
        <v>0</v>
      </c>
      <c r="AI107" s="3">
        <v>0</v>
      </c>
      <c r="AJ107" s="3">
        <v>0</v>
      </c>
      <c r="AK107" s="3">
        <v>0</v>
      </c>
      <c r="AL107" s="3">
        <v>2</v>
      </c>
      <c r="AM107" s="3">
        <v>2</v>
      </c>
      <c r="AN107" s="3">
        <v>0</v>
      </c>
      <c r="AO107" s="3">
        <v>0</v>
      </c>
      <c r="AP107" s="3">
        <v>0</v>
      </c>
      <c r="AQ107" s="3">
        <v>0</v>
      </c>
      <c r="AR107" s="2" t="s">
        <v>5</v>
      </c>
      <c r="AS107" s="2" t="s">
        <v>90</v>
      </c>
      <c r="AT107" s="5" t="str">
        <f>HYPERLINK("http://catalog.hathitrust.org/Record/001820493","HathiTrust Record")</f>
        <v>HathiTrust Record</v>
      </c>
      <c r="AU107" s="5" t="str">
        <f>HYPERLINK("https://creighton-primo.hosted.exlibrisgroup.com/primo-explore/search?tab=default_tab&amp;search_scope=EVERYTHING&amp;vid=01CRU&amp;lang=en_US&amp;offset=0&amp;query=any,contains,991001447499702656","Catalog Record")</f>
        <v>Catalog Record</v>
      </c>
      <c r="AV107" s="5" t="str">
        <f>HYPERLINK("http://www.worldcat.org/oclc/19724253","WorldCat Record")</f>
        <v>WorldCat Record</v>
      </c>
      <c r="AW107" s="2" t="s">
        <v>1455</v>
      </c>
      <c r="AX107" s="2" t="s">
        <v>1456</v>
      </c>
      <c r="AY107" s="2" t="s">
        <v>1457</v>
      </c>
      <c r="AZ107" s="2" t="s">
        <v>1457</v>
      </c>
      <c r="BA107" s="2" t="s">
        <v>1458</v>
      </c>
      <c r="BB107" s="2" t="s">
        <v>19</v>
      </c>
      <c r="BD107" s="2" t="s">
        <v>1459</v>
      </c>
      <c r="BE107" s="2" t="s">
        <v>1460</v>
      </c>
      <c r="BF107" s="2" t="s">
        <v>1461</v>
      </c>
    </row>
    <row r="108" spans="1:58" ht="50.25" customHeight="1" x14ac:dyDescent="0.25">
      <c r="A108" s="8" t="s">
        <v>5</v>
      </c>
      <c r="B108" s="1" t="s">
        <v>0</v>
      </c>
      <c r="C108" s="1" t="s">
        <v>1</v>
      </c>
      <c r="D108" s="1" t="s">
        <v>1462</v>
      </c>
      <c r="E108" s="1" t="s">
        <v>1463</v>
      </c>
      <c r="F108" s="1" t="s">
        <v>1464</v>
      </c>
      <c r="H108" s="2" t="s">
        <v>5</v>
      </c>
      <c r="I108" s="2" t="s">
        <v>6</v>
      </c>
      <c r="J108" s="2" t="s">
        <v>5</v>
      </c>
      <c r="K108" s="2" t="s">
        <v>5</v>
      </c>
      <c r="L108" s="2" t="s">
        <v>7</v>
      </c>
      <c r="M108" s="1" t="s">
        <v>1465</v>
      </c>
      <c r="N108" s="1" t="s">
        <v>1466</v>
      </c>
      <c r="O108" s="2" t="s">
        <v>125</v>
      </c>
      <c r="Q108" s="2" t="s">
        <v>10</v>
      </c>
      <c r="R108" s="2" t="s">
        <v>581</v>
      </c>
      <c r="T108" s="2" t="s">
        <v>12</v>
      </c>
      <c r="U108" s="3">
        <v>9</v>
      </c>
      <c r="V108" s="3">
        <v>9</v>
      </c>
      <c r="W108" s="4" t="s">
        <v>1467</v>
      </c>
      <c r="X108" s="4" t="s">
        <v>1467</v>
      </c>
      <c r="Y108" s="4" t="s">
        <v>1468</v>
      </c>
      <c r="Z108" s="4" t="s">
        <v>1468</v>
      </c>
      <c r="AA108" s="3">
        <v>17</v>
      </c>
      <c r="AB108" s="3">
        <v>15</v>
      </c>
      <c r="AC108" s="3">
        <v>15</v>
      </c>
      <c r="AD108" s="3">
        <v>1</v>
      </c>
      <c r="AE108" s="3">
        <v>1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2" t="s">
        <v>5</v>
      </c>
      <c r="AS108" s="2" t="s">
        <v>5</v>
      </c>
      <c r="AU108" s="5" t="str">
        <f>HYPERLINK("https://creighton-primo.hosted.exlibrisgroup.com/primo-explore/search?tab=default_tab&amp;search_scope=EVERYTHING&amp;vid=01CRU&amp;lang=en_US&amp;offset=0&amp;query=any,contains,991000838409702656","Catalog Record")</f>
        <v>Catalog Record</v>
      </c>
      <c r="AV108" s="5" t="str">
        <f>HYPERLINK("http://www.worldcat.org/oclc/36318121","WorldCat Record")</f>
        <v>WorldCat Record</v>
      </c>
      <c r="AW108" s="2" t="s">
        <v>1469</v>
      </c>
      <c r="AX108" s="2" t="s">
        <v>1470</v>
      </c>
      <c r="AY108" s="2" t="s">
        <v>1471</v>
      </c>
      <c r="AZ108" s="2" t="s">
        <v>1471</v>
      </c>
      <c r="BA108" s="2" t="s">
        <v>1472</v>
      </c>
      <c r="BB108" s="2" t="s">
        <v>19</v>
      </c>
      <c r="BD108" s="2" t="s">
        <v>1473</v>
      </c>
      <c r="BE108" s="2" t="s">
        <v>1474</v>
      </c>
      <c r="BF108" s="2" t="s">
        <v>1475</v>
      </c>
    </row>
    <row r="109" spans="1:58" ht="50.25" customHeight="1" x14ac:dyDescent="0.25">
      <c r="A109" s="8" t="s">
        <v>5</v>
      </c>
      <c r="B109" s="1" t="s">
        <v>0</v>
      </c>
      <c r="C109" s="1" t="s">
        <v>1</v>
      </c>
      <c r="D109" s="1" t="s">
        <v>1476</v>
      </c>
      <c r="E109" s="1" t="s">
        <v>1477</v>
      </c>
      <c r="F109" s="1" t="s">
        <v>1478</v>
      </c>
      <c r="H109" s="2" t="s">
        <v>5</v>
      </c>
      <c r="I109" s="2" t="s">
        <v>6</v>
      </c>
      <c r="J109" s="2" t="s">
        <v>5</v>
      </c>
      <c r="K109" s="2" t="s">
        <v>5</v>
      </c>
      <c r="L109" s="2" t="s">
        <v>7</v>
      </c>
      <c r="N109" s="1" t="s">
        <v>1479</v>
      </c>
      <c r="O109" s="2" t="s">
        <v>680</v>
      </c>
      <c r="Q109" s="2" t="s">
        <v>10</v>
      </c>
      <c r="R109" s="2" t="s">
        <v>1150</v>
      </c>
      <c r="T109" s="2" t="s">
        <v>12</v>
      </c>
      <c r="U109" s="3">
        <v>0</v>
      </c>
      <c r="V109" s="3">
        <v>0</v>
      </c>
      <c r="W109" s="4" t="s">
        <v>1480</v>
      </c>
      <c r="X109" s="4" t="s">
        <v>1480</v>
      </c>
      <c r="Y109" s="4" t="s">
        <v>1481</v>
      </c>
      <c r="Z109" s="4" t="s">
        <v>1481</v>
      </c>
      <c r="AA109" s="3">
        <v>53</v>
      </c>
      <c r="AB109" s="3">
        <v>46</v>
      </c>
      <c r="AC109" s="3">
        <v>48</v>
      </c>
      <c r="AD109" s="3">
        <v>1</v>
      </c>
      <c r="AE109" s="3">
        <v>1</v>
      </c>
      <c r="AF109" s="3">
        <v>2</v>
      </c>
      <c r="AG109" s="3">
        <v>2</v>
      </c>
      <c r="AH109" s="3">
        <v>0</v>
      </c>
      <c r="AI109" s="3">
        <v>0</v>
      </c>
      <c r="AJ109" s="3">
        <v>2</v>
      </c>
      <c r="AK109" s="3">
        <v>2</v>
      </c>
      <c r="AL109" s="3">
        <v>1</v>
      </c>
      <c r="AM109" s="3">
        <v>1</v>
      </c>
      <c r="AN109" s="3">
        <v>0</v>
      </c>
      <c r="AO109" s="3">
        <v>0</v>
      </c>
      <c r="AP109" s="3">
        <v>0</v>
      </c>
      <c r="AQ109" s="3">
        <v>0</v>
      </c>
      <c r="AR109" s="2" t="s">
        <v>5</v>
      </c>
      <c r="AS109" s="2" t="s">
        <v>90</v>
      </c>
      <c r="AT109" s="5" t="str">
        <f>HYPERLINK("http://catalog.hathitrust.org/Record/005070490","HathiTrust Record")</f>
        <v>HathiTrust Record</v>
      </c>
      <c r="AU109" s="5" t="str">
        <f>HYPERLINK("https://creighton-primo.hosted.exlibrisgroup.com/primo-explore/search?tab=default_tab&amp;search_scope=EVERYTHING&amp;vid=01CRU&amp;lang=en_US&amp;offset=0&amp;query=any,contains,991000449359702656","Catalog Record")</f>
        <v>Catalog Record</v>
      </c>
      <c r="AV109" s="5" t="str">
        <f>HYPERLINK("http://www.worldcat.org/oclc/61658993","WorldCat Record")</f>
        <v>WorldCat Record</v>
      </c>
      <c r="AW109" s="2" t="s">
        <v>1482</v>
      </c>
      <c r="AX109" s="2" t="s">
        <v>1483</v>
      </c>
      <c r="AY109" s="2" t="s">
        <v>1484</v>
      </c>
      <c r="AZ109" s="2" t="s">
        <v>1484</v>
      </c>
      <c r="BA109" s="2" t="s">
        <v>1485</v>
      </c>
      <c r="BB109" s="2" t="s">
        <v>19</v>
      </c>
      <c r="BD109" s="2" t="s">
        <v>1486</v>
      </c>
      <c r="BE109" s="2" t="s">
        <v>1487</v>
      </c>
      <c r="BF109" s="2" t="s">
        <v>1488</v>
      </c>
    </row>
    <row r="110" spans="1:58" ht="50.25" customHeight="1" x14ac:dyDescent="0.25">
      <c r="A110" s="8" t="s">
        <v>5</v>
      </c>
      <c r="B110" s="1" t="s">
        <v>0</v>
      </c>
      <c r="C110" s="1" t="s">
        <v>1</v>
      </c>
      <c r="D110" s="1" t="s">
        <v>1489</v>
      </c>
      <c r="E110" s="1" t="s">
        <v>1490</v>
      </c>
      <c r="F110" s="1" t="s">
        <v>1491</v>
      </c>
      <c r="H110" s="2" t="s">
        <v>5</v>
      </c>
      <c r="I110" s="2" t="s">
        <v>6</v>
      </c>
      <c r="J110" s="2" t="s">
        <v>5</v>
      </c>
      <c r="K110" s="2" t="s">
        <v>5</v>
      </c>
      <c r="L110" s="2" t="s">
        <v>7</v>
      </c>
      <c r="N110" s="1" t="s">
        <v>1492</v>
      </c>
      <c r="O110" s="2" t="s">
        <v>213</v>
      </c>
      <c r="P110" s="1" t="s">
        <v>320</v>
      </c>
      <c r="Q110" s="2" t="s">
        <v>10</v>
      </c>
      <c r="R110" s="2" t="s">
        <v>61</v>
      </c>
      <c r="T110" s="2" t="s">
        <v>12</v>
      </c>
      <c r="U110" s="3">
        <v>20</v>
      </c>
      <c r="V110" s="3">
        <v>20</v>
      </c>
      <c r="W110" s="4" t="s">
        <v>1493</v>
      </c>
      <c r="X110" s="4" t="s">
        <v>1493</v>
      </c>
      <c r="Y110" s="4" t="s">
        <v>1494</v>
      </c>
      <c r="Z110" s="4" t="s">
        <v>1494</v>
      </c>
      <c r="AA110" s="3">
        <v>936</v>
      </c>
      <c r="AB110" s="3">
        <v>919</v>
      </c>
      <c r="AC110" s="3">
        <v>923</v>
      </c>
      <c r="AD110" s="3">
        <v>8</v>
      </c>
      <c r="AE110" s="3">
        <v>8</v>
      </c>
      <c r="AF110" s="3">
        <v>5</v>
      </c>
      <c r="AG110" s="3">
        <v>5</v>
      </c>
      <c r="AH110" s="3">
        <v>3</v>
      </c>
      <c r="AI110" s="3">
        <v>3</v>
      </c>
      <c r="AJ110" s="3">
        <v>0</v>
      </c>
      <c r="AK110" s="3">
        <v>0</v>
      </c>
      <c r="AL110" s="3">
        <v>3</v>
      </c>
      <c r="AM110" s="3">
        <v>3</v>
      </c>
      <c r="AN110" s="3">
        <v>0</v>
      </c>
      <c r="AO110" s="3">
        <v>0</v>
      </c>
      <c r="AP110" s="3">
        <v>0</v>
      </c>
      <c r="AQ110" s="3">
        <v>0</v>
      </c>
      <c r="AR110" s="2" t="s">
        <v>5</v>
      </c>
      <c r="AS110" s="2" t="s">
        <v>5</v>
      </c>
      <c r="AU110" s="5" t="str">
        <f>HYPERLINK("https://creighton-primo.hosted.exlibrisgroup.com/primo-explore/search?tab=default_tab&amp;search_scope=EVERYTHING&amp;vid=01CRU&amp;lang=en_US&amp;offset=0&amp;query=any,contains,991001301029702656","Catalog Record")</f>
        <v>Catalog Record</v>
      </c>
      <c r="AV110" s="5" t="str">
        <f>HYPERLINK("http://www.worldcat.org/oclc/24143982","WorldCat Record")</f>
        <v>WorldCat Record</v>
      </c>
      <c r="AW110" s="2" t="s">
        <v>1495</v>
      </c>
      <c r="AX110" s="2" t="s">
        <v>1496</v>
      </c>
      <c r="AY110" s="2" t="s">
        <v>1497</v>
      </c>
      <c r="AZ110" s="2" t="s">
        <v>1497</v>
      </c>
      <c r="BA110" s="2" t="s">
        <v>1498</v>
      </c>
      <c r="BB110" s="2" t="s">
        <v>19</v>
      </c>
      <c r="BD110" s="2" t="s">
        <v>1499</v>
      </c>
      <c r="BE110" s="2" t="s">
        <v>1500</v>
      </c>
      <c r="BF110" s="2" t="s">
        <v>1501</v>
      </c>
    </row>
    <row r="111" spans="1:58" ht="50.25" customHeight="1" x14ac:dyDescent="0.25">
      <c r="A111" s="8" t="s">
        <v>5</v>
      </c>
      <c r="B111" s="1" t="s">
        <v>0</v>
      </c>
      <c r="C111" s="1" t="s">
        <v>1</v>
      </c>
      <c r="D111" s="1" t="s">
        <v>1502</v>
      </c>
      <c r="E111" s="1" t="s">
        <v>1503</v>
      </c>
      <c r="F111" s="1" t="s">
        <v>1504</v>
      </c>
      <c r="H111" s="2" t="s">
        <v>5</v>
      </c>
      <c r="I111" s="2" t="s">
        <v>6</v>
      </c>
      <c r="J111" s="2" t="s">
        <v>5</v>
      </c>
      <c r="K111" s="2" t="s">
        <v>5</v>
      </c>
      <c r="L111" s="2" t="s">
        <v>7</v>
      </c>
      <c r="M111" s="1" t="s">
        <v>1505</v>
      </c>
      <c r="N111" s="1" t="s">
        <v>1506</v>
      </c>
      <c r="O111" s="2" t="s">
        <v>596</v>
      </c>
      <c r="Q111" s="2" t="s">
        <v>10</v>
      </c>
      <c r="R111" s="2" t="s">
        <v>184</v>
      </c>
      <c r="T111" s="2" t="s">
        <v>12</v>
      </c>
      <c r="U111" s="3">
        <v>12</v>
      </c>
      <c r="V111" s="3">
        <v>12</v>
      </c>
      <c r="W111" s="4" t="s">
        <v>1507</v>
      </c>
      <c r="X111" s="4" t="s">
        <v>1507</v>
      </c>
      <c r="Y111" s="4" t="s">
        <v>1508</v>
      </c>
      <c r="Z111" s="4" t="s">
        <v>1508</v>
      </c>
      <c r="AA111" s="3">
        <v>98</v>
      </c>
      <c r="AB111" s="3">
        <v>93</v>
      </c>
      <c r="AC111" s="3">
        <v>229</v>
      </c>
      <c r="AD111" s="3">
        <v>1</v>
      </c>
      <c r="AE111" s="3">
        <v>1</v>
      </c>
      <c r="AF111" s="3">
        <v>1</v>
      </c>
      <c r="AG111" s="3">
        <v>3</v>
      </c>
      <c r="AH111" s="3">
        <v>0</v>
      </c>
      <c r="AI111" s="3">
        <v>1</v>
      </c>
      <c r="AJ111" s="3">
        <v>1</v>
      </c>
      <c r="AK111" s="3">
        <v>2</v>
      </c>
      <c r="AL111" s="3">
        <v>0</v>
      </c>
      <c r="AM111" s="3">
        <v>1</v>
      </c>
      <c r="AN111" s="3">
        <v>0</v>
      </c>
      <c r="AO111" s="3">
        <v>0</v>
      </c>
      <c r="AP111" s="3">
        <v>0</v>
      </c>
      <c r="AQ111" s="3">
        <v>0</v>
      </c>
      <c r="AR111" s="2" t="s">
        <v>5</v>
      </c>
      <c r="AS111" s="2" t="s">
        <v>5</v>
      </c>
      <c r="AU111" s="5" t="str">
        <f>HYPERLINK("https://creighton-primo.hosted.exlibrisgroup.com/primo-explore/search?tab=default_tab&amp;search_scope=EVERYTHING&amp;vid=01CRU&amp;lang=en_US&amp;offset=0&amp;query=any,contains,991000773059702656","Catalog Record")</f>
        <v>Catalog Record</v>
      </c>
      <c r="AV111" s="5" t="str">
        <f>HYPERLINK("http://www.worldcat.org/oclc/16960227","WorldCat Record")</f>
        <v>WorldCat Record</v>
      </c>
      <c r="AW111" s="2" t="s">
        <v>1509</v>
      </c>
      <c r="AX111" s="2" t="s">
        <v>1510</v>
      </c>
      <c r="AY111" s="2" t="s">
        <v>1511</v>
      </c>
      <c r="AZ111" s="2" t="s">
        <v>1511</v>
      </c>
      <c r="BA111" s="2" t="s">
        <v>1512</v>
      </c>
      <c r="BB111" s="2" t="s">
        <v>19</v>
      </c>
      <c r="BD111" s="2" t="s">
        <v>1513</v>
      </c>
      <c r="BE111" s="2" t="s">
        <v>1514</v>
      </c>
      <c r="BF111" s="2" t="s">
        <v>1515</v>
      </c>
    </row>
    <row r="112" spans="1:58" ht="50.25" customHeight="1" x14ac:dyDescent="0.25">
      <c r="A112" s="8" t="s">
        <v>5</v>
      </c>
      <c r="B112" s="1" t="s">
        <v>0</v>
      </c>
      <c r="C112" s="1" t="s">
        <v>1</v>
      </c>
      <c r="D112" s="1" t="s">
        <v>1516</v>
      </c>
      <c r="E112" s="1" t="s">
        <v>1517</v>
      </c>
      <c r="F112" s="1" t="s">
        <v>1518</v>
      </c>
      <c r="H112" s="2" t="s">
        <v>5</v>
      </c>
      <c r="I112" s="2" t="s">
        <v>6</v>
      </c>
      <c r="J112" s="2" t="s">
        <v>5</v>
      </c>
      <c r="K112" s="2" t="s">
        <v>5</v>
      </c>
      <c r="L112" s="2" t="s">
        <v>7</v>
      </c>
      <c r="N112" s="1" t="s">
        <v>1519</v>
      </c>
      <c r="O112" s="2" t="s">
        <v>474</v>
      </c>
      <c r="P112" s="1" t="s">
        <v>541</v>
      </c>
      <c r="Q112" s="2" t="s">
        <v>10</v>
      </c>
      <c r="R112" s="2" t="s">
        <v>29</v>
      </c>
      <c r="T112" s="2" t="s">
        <v>12</v>
      </c>
      <c r="U112" s="3">
        <v>15</v>
      </c>
      <c r="V112" s="3">
        <v>15</v>
      </c>
      <c r="W112" s="4" t="s">
        <v>1520</v>
      </c>
      <c r="X112" s="4" t="s">
        <v>1520</v>
      </c>
      <c r="Y112" s="4" t="s">
        <v>1521</v>
      </c>
      <c r="Z112" s="4" t="s">
        <v>1521</v>
      </c>
      <c r="AA112" s="3">
        <v>145</v>
      </c>
      <c r="AB112" s="3">
        <v>124</v>
      </c>
      <c r="AC112" s="3">
        <v>306</v>
      </c>
      <c r="AD112" s="3">
        <v>2</v>
      </c>
      <c r="AE112" s="3">
        <v>2</v>
      </c>
      <c r="AF112" s="3">
        <v>1</v>
      </c>
      <c r="AG112" s="3">
        <v>5</v>
      </c>
      <c r="AH112" s="3">
        <v>0</v>
      </c>
      <c r="AI112" s="3">
        <v>2</v>
      </c>
      <c r="AJ112" s="3">
        <v>0</v>
      </c>
      <c r="AK112" s="3">
        <v>0</v>
      </c>
      <c r="AL112" s="3">
        <v>0</v>
      </c>
      <c r="AM112" s="3">
        <v>2</v>
      </c>
      <c r="AN112" s="3">
        <v>1</v>
      </c>
      <c r="AO112" s="3">
        <v>1</v>
      </c>
      <c r="AP112" s="3">
        <v>0</v>
      </c>
      <c r="AQ112" s="3">
        <v>1</v>
      </c>
      <c r="AR112" s="2" t="s">
        <v>5</v>
      </c>
      <c r="AS112" s="2" t="s">
        <v>5</v>
      </c>
      <c r="AU112" s="5" t="str">
        <f>HYPERLINK("https://creighton-primo.hosted.exlibrisgroup.com/primo-explore/search?tab=default_tab&amp;search_scope=EVERYTHING&amp;vid=01CRU&amp;lang=en_US&amp;offset=0&amp;query=any,contains,991001450209702656","Catalog Record")</f>
        <v>Catalog Record</v>
      </c>
      <c r="AV112" s="5" t="str">
        <f>HYPERLINK("http://www.worldcat.org/oclc/20353559","WorldCat Record")</f>
        <v>WorldCat Record</v>
      </c>
      <c r="AW112" s="2" t="s">
        <v>1522</v>
      </c>
      <c r="AX112" s="2" t="s">
        <v>1523</v>
      </c>
      <c r="AY112" s="2" t="s">
        <v>1524</v>
      </c>
      <c r="AZ112" s="2" t="s">
        <v>1524</v>
      </c>
      <c r="BA112" s="2" t="s">
        <v>1525</v>
      </c>
      <c r="BB112" s="2" t="s">
        <v>19</v>
      </c>
      <c r="BD112" s="2" t="s">
        <v>1526</v>
      </c>
      <c r="BE112" s="2" t="s">
        <v>1527</v>
      </c>
      <c r="BF112" s="2" t="s">
        <v>1528</v>
      </c>
    </row>
    <row r="113" spans="1:58" ht="50.25" customHeight="1" x14ac:dyDescent="0.25">
      <c r="A113" s="8" t="s">
        <v>5</v>
      </c>
      <c r="B113" s="1" t="s">
        <v>0</v>
      </c>
      <c r="C113" s="1" t="s">
        <v>1</v>
      </c>
      <c r="D113" s="1" t="s">
        <v>1529</v>
      </c>
      <c r="E113" s="1" t="s">
        <v>1530</v>
      </c>
      <c r="F113" s="1" t="s">
        <v>1531</v>
      </c>
      <c r="H113" s="2" t="s">
        <v>5</v>
      </c>
      <c r="I113" s="2" t="s">
        <v>6</v>
      </c>
      <c r="J113" s="2" t="s">
        <v>5</v>
      </c>
      <c r="K113" s="2" t="s">
        <v>5</v>
      </c>
      <c r="L113" s="2" t="s">
        <v>7</v>
      </c>
      <c r="N113" s="1" t="s">
        <v>1532</v>
      </c>
      <c r="O113" s="2" t="s">
        <v>319</v>
      </c>
      <c r="Q113" s="2" t="s">
        <v>10</v>
      </c>
      <c r="R113" s="2" t="s">
        <v>1385</v>
      </c>
      <c r="T113" s="2" t="s">
        <v>12</v>
      </c>
      <c r="U113" s="3">
        <v>9</v>
      </c>
      <c r="V113" s="3">
        <v>9</v>
      </c>
      <c r="W113" s="4" t="s">
        <v>1533</v>
      </c>
      <c r="X113" s="4" t="s">
        <v>1533</v>
      </c>
      <c r="Y113" s="4" t="s">
        <v>1534</v>
      </c>
      <c r="Z113" s="4" t="s">
        <v>1534</v>
      </c>
      <c r="AA113" s="3">
        <v>173</v>
      </c>
      <c r="AB113" s="3">
        <v>164</v>
      </c>
      <c r="AC113" s="3">
        <v>191</v>
      </c>
      <c r="AD113" s="3">
        <v>1</v>
      </c>
      <c r="AE113" s="3">
        <v>1</v>
      </c>
      <c r="AF113" s="3">
        <v>1</v>
      </c>
      <c r="AG113" s="3">
        <v>1</v>
      </c>
      <c r="AH113" s="3">
        <v>0</v>
      </c>
      <c r="AI113" s="3">
        <v>0</v>
      </c>
      <c r="AJ113" s="3">
        <v>1</v>
      </c>
      <c r="AK113" s="3">
        <v>1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2" t="s">
        <v>5</v>
      </c>
      <c r="AS113" s="2" t="s">
        <v>5</v>
      </c>
      <c r="AU113" s="5" t="str">
        <f>HYPERLINK("https://creighton-primo.hosted.exlibrisgroup.com/primo-explore/search?tab=default_tab&amp;search_scope=EVERYTHING&amp;vid=01CRU&amp;lang=en_US&amp;offset=0&amp;query=any,contains,991000666899702656","Catalog Record")</f>
        <v>Catalog Record</v>
      </c>
      <c r="AV113" s="5" t="str">
        <f>HYPERLINK("http://www.worldcat.org/oclc/27070269","WorldCat Record")</f>
        <v>WorldCat Record</v>
      </c>
      <c r="AW113" s="2" t="s">
        <v>1535</v>
      </c>
      <c r="AX113" s="2" t="s">
        <v>1536</v>
      </c>
      <c r="AY113" s="2" t="s">
        <v>1537</v>
      </c>
      <c r="AZ113" s="2" t="s">
        <v>1537</v>
      </c>
      <c r="BA113" s="2" t="s">
        <v>1538</v>
      </c>
      <c r="BB113" s="2" t="s">
        <v>19</v>
      </c>
      <c r="BD113" s="2" t="s">
        <v>1539</v>
      </c>
      <c r="BE113" s="2" t="s">
        <v>1540</v>
      </c>
      <c r="BF113" s="2" t="s">
        <v>1541</v>
      </c>
    </row>
    <row r="114" spans="1:58" ht="50.25" customHeight="1" x14ac:dyDescent="0.25">
      <c r="A114" s="8" t="s">
        <v>5</v>
      </c>
      <c r="B114" s="1" t="s">
        <v>0</v>
      </c>
      <c r="C114" s="1" t="s">
        <v>1</v>
      </c>
      <c r="D114" s="1" t="s">
        <v>1542</v>
      </c>
      <c r="E114" s="1" t="s">
        <v>1543</v>
      </c>
      <c r="F114" s="1" t="s">
        <v>1544</v>
      </c>
      <c r="H114" s="2" t="s">
        <v>5</v>
      </c>
      <c r="I114" s="2" t="s">
        <v>6</v>
      </c>
      <c r="J114" s="2" t="s">
        <v>5</v>
      </c>
      <c r="K114" s="2" t="s">
        <v>5</v>
      </c>
      <c r="L114" s="2" t="s">
        <v>7</v>
      </c>
      <c r="M114" s="1" t="s">
        <v>1545</v>
      </c>
      <c r="N114" s="1" t="s">
        <v>1546</v>
      </c>
      <c r="O114" s="2" t="s">
        <v>349</v>
      </c>
      <c r="P114" s="1" t="s">
        <v>1547</v>
      </c>
      <c r="Q114" s="2" t="s">
        <v>10</v>
      </c>
      <c r="R114" s="2" t="s">
        <v>61</v>
      </c>
      <c r="T114" s="2" t="s">
        <v>12</v>
      </c>
      <c r="U114" s="3">
        <v>4</v>
      </c>
      <c r="V114" s="3">
        <v>4</v>
      </c>
      <c r="W114" s="4" t="s">
        <v>1548</v>
      </c>
      <c r="X114" s="4" t="s">
        <v>1548</v>
      </c>
      <c r="Y114" s="4" t="s">
        <v>96</v>
      </c>
      <c r="Z114" s="4" t="s">
        <v>96</v>
      </c>
      <c r="AA114" s="3">
        <v>14</v>
      </c>
      <c r="AB114" s="3">
        <v>14</v>
      </c>
      <c r="AC114" s="3">
        <v>738</v>
      </c>
      <c r="AD114" s="3">
        <v>1</v>
      </c>
      <c r="AE114" s="3">
        <v>3</v>
      </c>
      <c r="AF114" s="3">
        <v>0</v>
      </c>
      <c r="AG114" s="3">
        <v>10</v>
      </c>
      <c r="AH114" s="3">
        <v>0</v>
      </c>
      <c r="AI114" s="3">
        <v>5</v>
      </c>
      <c r="AJ114" s="3">
        <v>0</v>
      </c>
      <c r="AK114" s="3">
        <v>2</v>
      </c>
      <c r="AL114" s="3">
        <v>0</v>
      </c>
      <c r="AM114" s="3">
        <v>4</v>
      </c>
      <c r="AN114" s="3">
        <v>0</v>
      </c>
      <c r="AO114" s="3">
        <v>1</v>
      </c>
      <c r="AP114" s="3">
        <v>0</v>
      </c>
      <c r="AQ114" s="3">
        <v>0</v>
      </c>
      <c r="AR114" s="2" t="s">
        <v>5</v>
      </c>
      <c r="AS114" s="2" t="s">
        <v>5</v>
      </c>
      <c r="AU114" s="5" t="str">
        <f>HYPERLINK("https://creighton-primo.hosted.exlibrisgroup.com/primo-explore/search?tab=default_tab&amp;search_scope=EVERYTHING&amp;vid=01CRU&amp;lang=en_US&amp;offset=0&amp;query=any,contains,991000435579702656","Catalog Record")</f>
        <v>Catalog Record</v>
      </c>
      <c r="AV114" s="5" t="str">
        <f>HYPERLINK("http://www.worldcat.org/oclc/47283361","WorldCat Record")</f>
        <v>WorldCat Record</v>
      </c>
      <c r="AW114" s="2" t="s">
        <v>1549</v>
      </c>
      <c r="AX114" s="2" t="s">
        <v>1550</v>
      </c>
      <c r="AY114" s="2" t="s">
        <v>1551</v>
      </c>
      <c r="AZ114" s="2" t="s">
        <v>1551</v>
      </c>
      <c r="BA114" s="2" t="s">
        <v>1552</v>
      </c>
      <c r="BB114" s="2" t="s">
        <v>19</v>
      </c>
      <c r="BD114" s="2" t="s">
        <v>1553</v>
      </c>
      <c r="BE114" s="2" t="s">
        <v>1554</v>
      </c>
      <c r="BF114" s="2" t="s">
        <v>1555</v>
      </c>
    </row>
    <row r="115" spans="1:58" ht="50.25" customHeight="1" x14ac:dyDescent="0.25">
      <c r="A115" s="8" t="s">
        <v>5</v>
      </c>
      <c r="B115" s="1" t="s">
        <v>0</v>
      </c>
      <c r="C115" s="1" t="s">
        <v>1</v>
      </c>
      <c r="D115" s="1" t="s">
        <v>1556</v>
      </c>
      <c r="E115" s="1" t="s">
        <v>1557</v>
      </c>
      <c r="F115" s="1" t="s">
        <v>1558</v>
      </c>
      <c r="H115" s="2" t="s">
        <v>5</v>
      </c>
      <c r="I115" s="2" t="s">
        <v>6</v>
      </c>
      <c r="J115" s="2" t="s">
        <v>5</v>
      </c>
      <c r="K115" s="2" t="s">
        <v>5</v>
      </c>
      <c r="L115" s="2" t="s">
        <v>7</v>
      </c>
      <c r="N115" s="1" t="s">
        <v>1559</v>
      </c>
      <c r="O115" s="2" t="s">
        <v>1095</v>
      </c>
      <c r="Q115" s="2" t="s">
        <v>10</v>
      </c>
      <c r="R115" s="2" t="s">
        <v>1385</v>
      </c>
      <c r="T115" s="2" t="s">
        <v>12</v>
      </c>
      <c r="U115" s="3">
        <v>3</v>
      </c>
      <c r="V115" s="3">
        <v>3</v>
      </c>
      <c r="W115" s="4" t="s">
        <v>1560</v>
      </c>
      <c r="X115" s="4" t="s">
        <v>1560</v>
      </c>
      <c r="Y115" s="4" t="s">
        <v>1534</v>
      </c>
      <c r="Z115" s="4" t="s">
        <v>1534</v>
      </c>
      <c r="AA115" s="3">
        <v>25</v>
      </c>
      <c r="AB115" s="3">
        <v>23</v>
      </c>
      <c r="AC115" s="3">
        <v>28</v>
      </c>
      <c r="AD115" s="3">
        <v>1</v>
      </c>
      <c r="AE115" s="3">
        <v>1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2" t="s">
        <v>5</v>
      </c>
      <c r="AS115" s="2" t="s">
        <v>5</v>
      </c>
      <c r="AU115" s="5" t="str">
        <f>HYPERLINK("https://creighton-primo.hosted.exlibrisgroup.com/primo-explore/search?tab=default_tab&amp;search_scope=EVERYTHING&amp;vid=01CRU&amp;lang=en_US&amp;offset=0&amp;query=any,contains,991000666799702656","Catalog Record")</f>
        <v>Catalog Record</v>
      </c>
      <c r="AV115" s="5" t="str">
        <f>HYPERLINK("http://www.worldcat.org/oclc/33059990","WorldCat Record")</f>
        <v>WorldCat Record</v>
      </c>
      <c r="AW115" s="2" t="s">
        <v>1561</v>
      </c>
      <c r="AX115" s="2" t="s">
        <v>1562</v>
      </c>
      <c r="AY115" s="2" t="s">
        <v>1563</v>
      </c>
      <c r="AZ115" s="2" t="s">
        <v>1563</v>
      </c>
      <c r="BA115" s="2" t="s">
        <v>1564</v>
      </c>
      <c r="BB115" s="2" t="s">
        <v>19</v>
      </c>
      <c r="BD115" s="2" t="s">
        <v>1565</v>
      </c>
      <c r="BE115" s="2" t="s">
        <v>1566</v>
      </c>
      <c r="BF115" s="2" t="s">
        <v>1567</v>
      </c>
    </row>
    <row r="116" spans="1:58" ht="50.25" customHeight="1" x14ac:dyDescent="0.25">
      <c r="A116" s="8" t="s">
        <v>5</v>
      </c>
      <c r="B116" s="1" t="s">
        <v>0</v>
      </c>
      <c r="C116" s="1" t="s">
        <v>1</v>
      </c>
      <c r="D116" s="1" t="s">
        <v>1568</v>
      </c>
      <c r="E116" s="1" t="s">
        <v>1569</v>
      </c>
      <c r="F116" s="1" t="s">
        <v>1570</v>
      </c>
      <c r="H116" s="2" t="s">
        <v>5</v>
      </c>
      <c r="I116" s="2" t="s">
        <v>6</v>
      </c>
      <c r="J116" s="2" t="s">
        <v>5</v>
      </c>
      <c r="K116" s="2" t="s">
        <v>5</v>
      </c>
      <c r="L116" s="2" t="s">
        <v>7</v>
      </c>
      <c r="N116" s="1" t="s">
        <v>1571</v>
      </c>
      <c r="O116" s="2" t="s">
        <v>155</v>
      </c>
      <c r="Q116" s="2" t="s">
        <v>10</v>
      </c>
      <c r="R116" s="2" t="s">
        <v>1385</v>
      </c>
      <c r="T116" s="2" t="s">
        <v>12</v>
      </c>
      <c r="U116" s="3">
        <v>2</v>
      </c>
      <c r="V116" s="3">
        <v>2</v>
      </c>
      <c r="W116" s="4" t="s">
        <v>1572</v>
      </c>
      <c r="X116" s="4" t="s">
        <v>1572</v>
      </c>
      <c r="Y116" s="4" t="s">
        <v>1573</v>
      </c>
      <c r="Z116" s="4" t="s">
        <v>1573</v>
      </c>
      <c r="AA116" s="3">
        <v>101</v>
      </c>
      <c r="AB116" s="3">
        <v>82</v>
      </c>
      <c r="AC116" s="3">
        <v>87</v>
      </c>
      <c r="AD116" s="3">
        <v>1</v>
      </c>
      <c r="AE116" s="3">
        <v>1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2" t="s">
        <v>5</v>
      </c>
      <c r="AS116" s="2" t="s">
        <v>5</v>
      </c>
      <c r="AU116" s="5" t="str">
        <f>HYPERLINK("https://creighton-primo.hosted.exlibrisgroup.com/primo-explore/search?tab=default_tab&amp;search_scope=EVERYTHING&amp;vid=01CRU&amp;lang=en_US&amp;offset=0&amp;query=any,contains,991001269469702656","Catalog Record")</f>
        <v>Catalog Record</v>
      </c>
      <c r="AV116" s="5" t="str">
        <f>HYPERLINK("http://www.worldcat.org/oclc/36923358","WorldCat Record")</f>
        <v>WorldCat Record</v>
      </c>
      <c r="AW116" s="2" t="s">
        <v>1574</v>
      </c>
      <c r="AX116" s="2" t="s">
        <v>1575</v>
      </c>
      <c r="AY116" s="2" t="s">
        <v>1576</v>
      </c>
      <c r="AZ116" s="2" t="s">
        <v>1576</v>
      </c>
      <c r="BA116" s="2" t="s">
        <v>1577</v>
      </c>
      <c r="BB116" s="2" t="s">
        <v>19</v>
      </c>
      <c r="BD116" s="2" t="s">
        <v>1578</v>
      </c>
      <c r="BE116" s="2" t="s">
        <v>1579</v>
      </c>
      <c r="BF116" s="2" t="s">
        <v>1580</v>
      </c>
    </row>
    <row r="117" spans="1:58" ht="50.25" customHeight="1" x14ac:dyDescent="0.25">
      <c r="A117" s="8" t="s">
        <v>5</v>
      </c>
      <c r="B117" s="1" t="s">
        <v>0</v>
      </c>
      <c r="C117" s="1" t="s">
        <v>1</v>
      </c>
      <c r="D117" s="1" t="s">
        <v>1581</v>
      </c>
      <c r="E117" s="1" t="s">
        <v>1582</v>
      </c>
      <c r="F117" s="1" t="s">
        <v>1583</v>
      </c>
      <c r="H117" s="2" t="s">
        <v>5</v>
      </c>
      <c r="I117" s="2" t="s">
        <v>6</v>
      </c>
      <c r="J117" s="2" t="s">
        <v>5</v>
      </c>
      <c r="K117" s="2" t="s">
        <v>5</v>
      </c>
      <c r="L117" s="2" t="s">
        <v>7</v>
      </c>
      <c r="M117" s="1" t="s">
        <v>1545</v>
      </c>
      <c r="N117" s="1" t="s">
        <v>1584</v>
      </c>
      <c r="O117" s="2" t="s">
        <v>228</v>
      </c>
      <c r="Q117" s="2" t="s">
        <v>10</v>
      </c>
      <c r="R117" s="2" t="s">
        <v>61</v>
      </c>
      <c r="T117" s="2" t="s">
        <v>12</v>
      </c>
      <c r="U117" s="3">
        <v>6</v>
      </c>
      <c r="V117" s="3">
        <v>6</v>
      </c>
      <c r="W117" s="4" t="s">
        <v>1585</v>
      </c>
      <c r="X117" s="4" t="s">
        <v>1585</v>
      </c>
      <c r="Y117" s="4" t="s">
        <v>1586</v>
      </c>
      <c r="Z117" s="4" t="s">
        <v>1586</v>
      </c>
      <c r="AA117" s="3">
        <v>8</v>
      </c>
      <c r="AB117" s="3">
        <v>8</v>
      </c>
      <c r="AC117" s="3">
        <v>8</v>
      </c>
      <c r="AD117" s="3">
        <v>1</v>
      </c>
      <c r="AE117" s="3">
        <v>1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2" t="s">
        <v>5</v>
      </c>
      <c r="AS117" s="2" t="s">
        <v>5</v>
      </c>
      <c r="AU117" s="5" t="str">
        <f>HYPERLINK("https://creighton-primo.hosted.exlibrisgroup.com/primo-explore/search?tab=default_tab&amp;search_scope=EVERYTHING&amp;vid=01CRU&amp;lang=en_US&amp;offset=0&amp;query=any,contains,991001414599702656","Catalog Record")</f>
        <v>Catalog Record</v>
      </c>
      <c r="AV117" s="5" t="str">
        <f>HYPERLINK("http://www.worldcat.org/oclc/18321172","WorldCat Record")</f>
        <v>WorldCat Record</v>
      </c>
      <c r="AW117" s="2" t="s">
        <v>1587</v>
      </c>
      <c r="AX117" s="2" t="s">
        <v>1588</v>
      </c>
      <c r="AY117" s="2" t="s">
        <v>1589</v>
      </c>
      <c r="AZ117" s="2" t="s">
        <v>1589</v>
      </c>
      <c r="BA117" s="2" t="s">
        <v>1590</v>
      </c>
      <c r="BB117" s="2" t="s">
        <v>19</v>
      </c>
      <c r="BD117" s="2" t="s">
        <v>1591</v>
      </c>
      <c r="BE117" s="2" t="s">
        <v>1592</v>
      </c>
      <c r="BF117" s="2" t="s">
        <v>1593</v>
      </c>
    </row>
    <row r="118" spans="1:58" ht="50.25" customHeight="1" x14ac:dyDescent="0.25">
      <c r="A118" s="8" t="s">
        <v>5</v>
      </c>
      <c r="B118" s="1" t="s">
        <v>0</v>
      </c>
      <c r="C118" s="1" t="s">
        <v>1</v>
      </c>
      <c r="D118" s="1" t="s">
        <v>1594</v>
      </c>
      <c r="E118" s="1" t="s">
        <v>1595</v>
      </c>
      <c r="F118" s="1" t="s">
        <v>1596</v>
      </c>
      <c r="H118" s="2" t="s">
        <v>5</v>
      </c>
      <c r="I118" s="2" t="s">
        <v>6</v>
      </c>
      <c r="J118" s="2" t="s">
        <v>5</v>
      </c>
      <c r="K118" s="2" t="s">
        <v>5</v>
      </c>
      <c r="L118" s="2" t="s">
        <v>7</v>
      </c>
      <c r="N118" s="1" t="s">
        <v>1597</v>
      </c>
      <c r="O118" s="2" t="s">
        <v>9</v>
      </c>
      <c r="P118" s="1" t="s">
        <v>320</v>
      </c>
      <c r="Q118" s="2" t="s">
        <v>10</v>
      </c>
      <c r="R118" s="2" t="s">
        <v>110</v>
      </c>
      <c r="T118" s="2" t="s">
        <v>12</v>
      </c>
      <c r="U118" s="3">
        <v>5</v>
      </c>
      <c r="V118" s="3">
        <v>5</v>
      </c>
      <c r="W118" s="4" t="s">
        <v>1598</v>
      </c>
      <c r="X118" s="4" t="s">
        <v>1598</v>
      </c>
      <c r="Y118" s="4" t="s">
        <v>785</v>
      </c>
      <c r="Z118" s="4" t="s">
        <v>785</v>
      </c>
      <c r="AA118" s="3">
        <v>203</v>
      </c>
      <c r="AB118" s="3">
        <v>145</v>
      </c>
      <c r="AC118" s="3">
        <v>269</v>
      </c>
      <c r="AD118" s="3">
        <v>1</v>
      </c>
      <c r="AE118" s="3">
        <v>2</v>
      </c>
      <c r="AF118" s="3">
        <v>4</v>
      </c>
      <c r="AG118" s="3">
        <v>10</v>
      </c>
      <c r="AH118" s="3">
        <v>1</v>
      </c>
      <c r="AI118" s="3">
        <v>2</v>
      </c>
      <c r="AJ118" s="3">
        <v>1</v>
      </c>
      <c r="AK118" s="3">
        <v>3</v>
      </c>
      <c r="AL118" s="3">
        <v>1</v>
      </c>
      <c r="AM118" s="3">
        <v>4</v>
      </c>
      <c r="AN118" s="3">
        <v>0</v>
      </c>
      <c r="AO118" s="3">
        <v>1</v>
      </c>
      <c r="AP118" s="3">
        <v>1</v>
      </c>
      <c r="AQ118" s="3">
        <v>1</v>
      </c>
      <c r="AR118" s="2" t="s">
        <v>5</v>
      </c>
      <c r="AS118" s="2" t="s">
        <v>90</v>
      </c>
      <c r="AT118" s="5" t="str">
        <f>HYPERLINK("http://catalog.hathitrust.org/Record/005250376","HathiTrust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HYPERLINK("https://creighton-primo.hosted.exlibrisgroup.com/primo-explore/search?tab=default_tab&amp;search_scope=EVERYTHING&amp;vid=01CRU&amp;lang=en_US&amp;offset=0&amp;query=any,contains,991000532779702656","Catalog Record")</f>
        <v>Catalog Record</v>
      </c>
      <c r="AV118" s="5" t="str">
        <f>HYPERLINK("http://www.worldcat.org/oclc/59003652","WorldCat Record")</f>
        <v>WorldCat Record</v>
      </c>
      <c r="AW118" s="2" t="s">
        <v>1599</v>
      </c>
      <c r="AX118" s="2" t="s">
        <v>1600</v>
      </c>
      <c r="AY118" s="2" t="s">
        <v>1601</v>
      </c>
      <c r="AZ118" s="2" t="s">
        <v>1601</v>
      </c>
      <c r="BA118" s="2" t="s">
        <v>1602</v>
      </c>
      <c r="BB118" s="2" t="s">
        <v>19</v>
      </c>
      <c r="BD118" s="2" t="s">
        <v>1603</v>
      </c>
      <c r="BE118" s="2" t="s">
        <v>1604</v>
      </c>
      <c r="BF118" s="2" t="s">
        <v>1605</v>
      </c>
    </row>
    <row r="119" spans="1:58" ht="50.25" customHeight="1" x14ac:dyDescent="0.25">
      <c r="A119" s="8" t="s">
        <v>5</v>
      </c>
      <c r="B119" s="1" t="s">
        <v>0</v>
      </c>
      <c r="C119" s="1" t="s">
        <v>1</v>
      </c>
      <c r="D119" s="1" t="s">
        <v>1606</v>
      </c>
      <c r="E119" s="1" t="s">
        <v>1607</v>
      </c>
      <c r="F119" s="1" t="s">
        <v>1608</v>
      </c>
      <c r="H119" s="2" t="s">
        <v>5</v>
      </c>
      <c r="I119" s="2" t="s">
        <v>6</v>
      </c>
      <c r="J119" s="2" t="s">
        <v>5</v>
      </c>
      <c r="K119" s="2" t="s">
        <v>5</v>
      </c>
      <c r="L119" s="2" t="s">
        <v>770</v>
      </c>
      <c r="N119" s="1" t="s">
        <v>1609</v>
      </c>
      <c r="O119" s="2" t="s">
        <v>1610</v>
      </c>
      <c r="Q119" s="2" t="s">
        <v>10</v>
      </c>
      <c r="R119" s="2" t="s">
        <v>184</v>
      </c>
      <c r="T119" s="2" t="s">
        <v>12</v>
      </c>
      <c r="U119" s="3">
        <v>3</v>
      </c>
      <c r="V119" s="3">
        <v>3</v>
      </c>
      <c r="W119" s="4" t="s">
        <v>1598</v>
      </c>
      <c r="X119" s="4" t="s">
        <v>1598</v>
      </c>
      <c r="Y119" s="4" t="s">
        <v>1611</v>
      </c>
      <c r="Z119" s="4" t="s">
        <v>1611</v>
      </c>
      <c r="AA119" s="3">
        <v>87</v>
      </c>
      <c r="AB119" s="3">
        <v>79</v>
      </c>
      <c r="AC119" s="3">
        <v>1113</v>
      </c>
      <c r="AD119" s="3">
        <v>1</v>
      </c>
      <c r="AE119" s="3">
        <v>14</v>
      </c>
      <c r="AF119" s="3">
        <v>0</v>
      </c>
      <c r="AG119" s="3">
        <v>41</v>
      </c>
      <c r="AH119" s="3">
        <v>0</v>
      </c>
      <c r="AI119" s="3">
        <v>12</v>
      </c>
      <c r="AJ119" s="3">
        <v>0</v>
      </c>
      <c r="AK119" s="3">
        <v>9</v>
      </c>
      <c r="AL119" s="3">
        <v>0</v>
      </c>
      <c r="AM119" s="3">
        <v>12</v>
      </c>
      <c r="AN119" s="3">
        <v>0</v>
      </c>
      <c r="AO119" s="3">
        <v>12</v>
      </c>
      <c r="AP119" s="3">
        <v>0</v>
      </c>
      <c r="AQ119" s="3">
        <v>2</v>
      </c>
      <c r="AR119" s="2" t="s">
        <v>5</v>
      </c>
      <c r="AS119" s="2" t="s">
        <v>5</v>
      </c>
      <c r="AU119" s="5" t="str">
        <f>HYPERLINK("https://creighton-primo.hosted.exlibrisgroup.com/primo-explore/search?tab=default_tab&amp;search_scope=EVERYTHING&amp;vid=01CRU&amp;lang=en_US&amp;offset=0&amp;query=any,contains,991001474399702656","Catalog Record")</f>
        <v>Catalog Record</v>
      </c>
      <c r="AV119" s="5" t="str">
        <f>HYPERLINK("http://www.worldcat.org/oclc/252583833","WorldCat Record")</f>
        <v>WorldCat Record</v>
      </c>
      <c r="AW119" s="2" t="s">
        <v>1612</v>
      </c>
      <c r="AX119" s="2" t="s">
        <v>1613</v>
      </c>
      <c r="AY119" s="2" t="s">
        <v>1614</v>
      </c>
      <c r="AZ119" s="2" t="s">
        <v>1614</v>
      </c>
      <c r="BA119" s="2" t="s">
        <v>1615</v>
      </c>
      <c r="BB119" s="2" t="s">
        <v>19</v>
      </c>
      <c r="BD119" s="2" t="s">
        <v>1616</v>
      </c>
      <c r="BE119" s="2" t="s">
        <v>1617</v>
      </c>
      <c r="BF119" s="2" t="s">
        <v>1618</v>
      </c>
    </row>
    <row r="120" spans="1:58" ht="50.25" customHeight="1" x14ac:dyDescent="0.25">
      <c r="A120" s="8" t="s">
        <v>5</v>
      </c>
      <c r="B120" s="1" t="s">
        <v>0</v>
      </c>
      <c r="C120" s="1" t="s">
        <v>1</v>
      </c>
      <c r="D120" s="1" t="s">
        <v>1619</v>
      </c>
      <c r="E120" s="1" t="s">
        <v>1620</v>
      </c>
      <c r="F120" s="1" t="s">
        <v>1621</v>
      </c>
      <c r="H120" s="2" t="s">
        <v>5</v>
      </c>
      <c r="I120" s="2" t="s">
        <v>6</v>
      </c>
      <c r="J120" s="2" t="s">
        <v>5</v>
      </c>
      <c r="K120" s="2" t="s">
        <v>5</v>
      </c>
      <c r="L120" s="2" t="s">
        <v>7</v>
      </c>
      <c r="N120" s="1" t="s">
        <v>1622</v>
      </c>
      <c r="O120" s="2" t="s">
        <v>389</v>
      </c>
      <c r="Q120" s="2" t="s">
        <v>10</v>
      </c>
      <c r="R120" s="2" t="s">
        <v>184</v>
      </c>
      <c r="T120" s="2" t="s">
        <v>12</v>
      </c>
      <c r="U120" s="3">
        <v>0</v>
      </c>
      <c r="V120" s="3">
        <v>0</v>
      </c>
      <c r="W120" s="4" t="s">
        <v>1623</v>
      </c>
      <c r="X120" s="4" t="s">
        <v>1623</v>
      </c>
      <c r="Y120" s="4" t="s">
        <v>1623</v>
      </c>
      <c r="Z120" s="4" t="s">
        <v>1623</v>
      </c>
      <c r="AA120" s="3">
        <v>27</v>
      </c>
      <c r="AB120" s="3">
        <v>27</v>
      </c>
      <c r="AC120" s="3">
        <v>32</v>
      </c>
      <c r="AD120" s="3">
        <v>1</v>
      </c>
      <c r="AE120" s="3">
        <v>1</v>
      </c>
      <c r="AF120" s="3">
        <v>1</v>
      </c>
      <c r="AG120" s="3">
        <v>1</v>
      </c>
      <c r="AH120" s="3">
        <v>1</v>
      </c>
      <c r="AI120" s="3">
        <v>1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2" t="s">
        <v>5</v>
      </c>
      <c r="AS120" s="2" t="s">
        <v>5</v>
      </c>
      <c r="AU120" s="5" t="str">
        <f>HYPERLINK("https://creighton-primo.hosted.exlibrisgroup.com/primo-explore/search?tab=default_tab&amp;search_scope=EVERYTHING&amp;vid=01CRU&amp;lang=en_US&amp;offset=0&amp;query=any,contains,991000663379702656","Catalog Record")</f>
        <v>Catalog Record</v>
      </c>
      <c r="AV120" s="5" t="str">
        <f>HYPERLINK("http://www.worldcat.org/oclc/50072549","WorldCat Record")</f>
        <v>WorldCat Record</v>
      </c>
      <c r="AW120" s="2" t="s">
        <v>1624</v>
      </c>
      <c r="AX120" s="2" t="s">
        <v>1625</v>
      </c>
      <c r="AY120" s="2" t="s">
        <v>1626</v>
      </c>
      <c r="AZ120" s="2" t="s">
        <v>1626</v>
      </c>
      <c r="BA120" s="2" t="s">
        <v>1627</v>
      </c>
      <c r="BB120" s="2" t="s">
        <v>19</v>
      </c>
      <c r="BD120" s="2" t="s">
        <v>1628</v>
      </c>
      <c r="BE120" s="2" t="s">
        <v>1629</v>
      </c>
      <c r="BF120" s="2" t="s">
        <v>1630</v>
      </c>
    </row>
    <row r="121" spans="1:58" ht="50.25" customHeight="1" x14ac:dyDescent="0.25">
      <c r="A121" s="8" t="s">
        <v>5</v>
      </c>
      <c r="B121" s="1" t="s">
        <v>0</v>
      </c>
      <c r="C121" s="1" t="s">
        <v>1</v>
      </c>
      <c r="D121" s="1" t="s">
        <v>1631</v>
      </c>
      <c r="E121" s="1" t="s">
        <v>1632</v>
      </c>
      <c r="F121" s="1" t="s">
        <v>1633</v>
      </c>
      <c r="H121" s="2" t="s">
        <v>5</v>
      </c>
      <c r="I121" s="2" t="s">
        <v>6</v>
      </c>
      <c r="J121" s="2" t="s">
        <v>5</v>
      </c>
      <c r="K121" s="2" t="s">
        <v>5</v>
      </c>
      <c r="L121" s="2" t="s">
        <v>7</v>
      </c>
      <c r="N121" s="1" t="s">
        <v>1634</v>
      </c>
      <c r="O121" s="2" t="s">
        <v>680</v>
      </c>
      <c r="Q121" s="2" t="s">
        <v>10</v>
      </c>
      <c r="R121" s="2" t="s">
        <v>110</v>
      </c>
      <c r="T121" s="2" t="s">
        <v>12</v>
      </c>
      <c r="U121" s="3">
        <v>2</v>
      </c>
      <c r="V121" s="3">
        <v>2</v>
      </c>
      <c r="W121" s="4" t="s">
        <v>784</v>
      </c>
      <c r="X121" s="4" t="s">
        <v>784</v>
      </c>
      <c r="Y121" s="4" t="s">
        <v>785</v>
      </c>
      <c r="Z121" s="4" t="s">
        <v>785</v>
      </c>
      <c r="AA121" s="3">
        <v>238</v>
      </c>
      <c r="AB121" s="3">
        <v>205</v>
      </c>
      <c r="AC121" s="3">
        <v>604</v>
      </c>
      <c r="AD121" s="3">
        <v>2</v>
      </c>
      <c r="AE121" s="3">
        <v>6</v>
      </c>
      <c r="AF121" s="3">
        <v>4</v>
      </c>
      <c r="AG121" s="3">
        <v>27</v>
      </c>
      <c r="AH121" s="3">
        <v>1</v>
      </c>
      <c r="AI121" s="3">
        <v>8</v>
      </c>
      <c r="AJ121" s="3">
        <v>1</v>
      </c>
      <c r="AK121" s="3">
        <v>8</v>
      </c>
      <c r="AL121" s="3">
        <v>1</v>
      </c>
      <c r="AM121" s="3">
        <v>8</v>
      </c>
      <c r="AN121" s="3">
        <v>1</v>
      </c>
      <c r="AO121" s="3">
        <v>5</v>
      </c>
      <c r="AP121" s="3">
        <v>0</v>
      </c>
      <c r="AQ121" s="3">
        <v>1</v>
      </c>
      <c r="AR121" s="2" t="s">
        <v>5</v>
      </c>
      <c r="AS121" s="2" t="s">
        <v>5</v>
      </c>
      <c r="AU121" s="5" t="str">
        <f>HYPERLINK("https://creighton-primo.hosted.exlibrisgroup.com/primo-explore/search?tab=default_tab&amp;search_scope=EVERYTHING&amp;vid=01CRU&amp;lang=en_US&amp;offset=0&amp;query=any,contains,991000532809702656","Catalog Record")</f>
        <v>Catalog Record</v>
      </c>
      <c r="AV121" s="5" t="str">
        <f>HYPERLINK("http://www.worldcat.org/oclc/56404903","WorldCat Record")</f>
        <v>WorldCat Record</v>
      </c>
      <c r="AW121" s="2" t="s">
        <v>1635</v>
      </c>
      <c r="AX121" s="2" t="s">
        <v>1636</v>
      </c>
      <c r="AY121" s="2" t="s">
        <v>1637</v>
      </c>
      <c r="AZ121" s="2" t="s">
        <v>1637</v>
      </c>
      <c r="BA121" s="2" t="s">
        <v>1638</v>
      </c>
      <c r="BB121" s="2" t="s">
        <v>19</v>
      </c>
      <c r="BD121" s="2" t="s">
        <v>1639</v>
      </c>
      <c r="BE121" s="2" t="s">
        <v>1640</v>
      </c>
      <c r="BF121" s="2" t="s">
        <v>1641</v>
      </c>
    </row>
    <row r="122" spans="1:58" ht="50.25" customHeight="1" x14ac:dyDescent="0.25">
      <c r="A122" s="8" t="s">
        <v>5</v>
      </c>
      <c r="B122" s="1" t="s">
        <v>0</v>
      </c>
      <c r="C122" s="1" t="s">
        <v>1</v>
      </c>
      <c r="D122" s="1" t="s">
        <v>1642</v>
      </c>
      <c r="E122" s="1" t="s">
        <v>1643</v>
      </c>
      <c r="F122" s="1" t="s">
        <v>1644</v>
      </c>
      <c r="H122" s="2" t="s">
        <v>5</v>
      </c>
      <c r="I122" s="2" t="s">
        <v>6</v>
      </c>
      <c r="J122" s="2" t="s">
        <v>5</v>
      </c>
      <c r="K122" s="2" t="s">
        <v>5</v>
      </c>
      <c r="L122" s="2" t="s">
        <v>7</v>
      </c>
      <c r="N122" s="1" t="s">
        <v>1645</v>
      </c>
      <c r="O122" s="2" t="s">
        <v>60</v>
      </c>
      <c r="Q122" s="2" t="s">
        <v>10</v>
      </c>
      <c r="R122" s="2" t="s">
        <v>77</v>
      </c>
      <c r="T122" s="2" t="s">
        <v>12</v>
      </c>
      <c r="U122" s="3">
        <v>1</v>
      </c>
      <c r="V122" s="3">
        <v>1</v>
      </c>
      <c r="W122" s="4" t="s">
        <v>63</v>
      </c>
      <c r="X122" s="4" t="s">
        <v>63</v>
      </c>
      <c r="Y122" s="4" t="s">
        <v>1646</v>
      </c>
      <c r="Z122" s="4" t="s">
        <v>1646</v>
      </c>
      <c r="AA122" s="3">
        <v>261</v>
      </c>
      <c r="AB122" s="3">
        <v>162</v>
      </c>
      <c r="AC122" s="3">
        <v>220</v>
      </c>
      <c r="AD122" s="3">
        <v>1</v>
      </c>
      <c r="AE122" s="3">
        <v>1</v>
      </c>
      <c r="AF122" s="3">
        <v>7</v>
      </c>
      <c r="AG122" s="3">
        <v>10</v>
      </c>
      <c r="AH122" s="3">
        <v>0</v>
      </c>
      <c r="AI122" s="3">
        <v>0</v>
      </c>
      <c r="AJ122" s="3">
        <v>3</v>
      </c>
      <c r="AK122" s="3">
        <v>6</v>
      </c>
      <c r="AL122" s="3">
        <v>5</v>
      </c>
      <c r="AM122" s="3">
        <v>6</v>
      </c>
      <c r="AN122" s="3">
        <v>0</v>
      </c>
      <c r="AO122" s="3">
        <v>0</v>
      </c>
      <c r="AP122" s="3">
        <v>0</v>
      </c>
      <c r="AQ122" s="3">
        <v>0</v>
      </c>
      <c r="AR122" s="2" t="s">
        <v>5</v>
      </c>
      <c r="AS122" s="2" t="s">
        <v>5</v>
      </c>
      <c r="AU122" s="5" t="str">
        <f>HYPERLINK("https://creighton-primo.hosted.exlibrisgroup.com/primo-explore/search?tab=default_tab&amp;search_scope=EVERYTHING&amp;vid=01CRU&amp;lang=en_US&amp;offset=0&amp;query=any,contains,991000473729702656","Catalog Record")</f>
        <v>Catalog Record</v>
      </c>
      <c r="AV122" s="5" t="str">
        <f>HYPERLINK("http://www.worldcat.org/oclc/55037645","WorldCat Record")</f>
        <v>WorldCat Record</v>
      </c>
      <c r="AW122" s="2" t="s">
        <v>1647</v>
      </c>
      <c r="AX122" s="2" t="s">
        <v>1648</v>
      </c>
      <c r="AY122" s="2" t="s">
        <v>1649</v>
      </c>
      <c r="AZ122" s="2" t="s">
        <v>1649</v>
      </c>
      <c r="BA122" s="2" t="s">
        <v>1650</v>
      </c>
      <c r="BB122" s="2" t="s">
        <v>19</v>
      </c>
      <c r="BD122" s="2" t="s">
        <v>1651</v>
      </c>
      <c r="BE122" s="2" t="s">
        <v>1652</v>
      </c>
      <c r="BF122" s="2" t="s">
        <v>1653</v>
      </c>
    </row>
    <row r="123" spans="1:58" ht="50.25" customHeight="1" x14ac:dyDescent="0.25">
      <c r="A123" s="8" t="s">
        <v>5</v>
      </c>
      <c r="B123" s="1" t="s">
        <v>0</v>
      </c>
      <c r="C123" s="1" t="s">
        <v>1</v>
      </c>
      <c r="D123" s="1" t="s">
        <v>1654</v>
      </c>
      <c r="E123" s="1" t="s">
        <v>1655</v>
      </c>
      <c r="F123" s="1" t="s">
        <v>1656</v>
      </c>
      <c r="H123" s="2" t="s">
        <v>5</v>
      </c>
      <c r="I123" s="2" t="s">
        <v>6</v>
      </c>
      <c r="J123" s="2" t="s">
        <v>5</v>
      </c>
      <c r="K123" s="2" t="s">
        <v>90</v>
      </c>
      <c r="L123" s="2" t="s">
        <v>7</v>
      </c>
      <c r="M123" s="1" t="s">
        <v>1657</v>
      </c>
      <c r="N123" s="1" t="s">
        <v>1658</v>
      </c>
      <c r="O123" s="2" t="s">
        <v>319</v>
      </c>
      <c r="P123" s="1" t="s">
        <v>320</v>
      </c>
      <c r="Q123" s="2" t="s">
        <v>10</v>
      </c>
      <c r="R123" s="2" t="s">
        <v>405</v>
      </c>
      <c r="S123" s="1" t="s">
        <v>1659</v>
      </c>
      <c r="T123" s="2" t="s">
        <v>12</v>
      </c>
      <c r="U123" s="3">
        <v>21</v>
      </c>
      <c r="V123" s="3">
        <v>21</v>
      </c>
      <c r="W123" s="4" t="s">
        <v>1660</v>
      </c>
      <c r="X123" s="4" t="s">
        <v>1660</v>
      </c>
      <c r="Y123" s="4" t="s">
        <v>1661</v>
      </c>
      <c r="Z123" s="4" t="s">
        <v>1661</v>
      </c>
      <c r="AA123" s="3">
        <v>495</v>
      </c>
      <c r="AB123" s="3">
        <v>464</v>
      </c>
      <c r="AC123" s="3">
        <v>1661</v>
      </c>
      <c r="AD123" s="3">
        <v>5</v>
      </c>
      <c r="AE123" s="3">
        <v>8</v>
      </c>
      <c r="AF123" s="3">
        <v>21</v>
      </c>
      <c r="AG123" s="3">
        <v>46</v>
      </c>
      <c r="AH123" s="3">
        <v>4</v>
      </c>
      <c r="AI123" s="3">
        <v>18</v>
      </c>
      <c r="AJ123" s="3">
        <v>6</v>
      </c>
      <c r="AK123" s="3">
        <v>11</v>
      </c>
      <c r="AL123" s="3">
        <v>11</v>
      </c>
      <c r="AM123" s="3">
        <v>19</v>
      </c>
      <c r="AN123" s="3">
        <v>4</v>
      </c>
      <c r="AO123" s="3">
        <v>6</v>
      </c>
      <c r="AP123" s="3">
        <v>1</v>
      </c>
      <c r="AQ123" s="3">
        <v>1</v>
      </c>
      <c r="AR123" s="2" t="s">
        <v>5</v>
      </c>
      <c r="AS123" s="2" t="s">
        <v>5</v>
      </c>
      <c r="AU123" s="5" t="str">
        <f>HYPERLINK("https://creighton-primo.hosted.exlibrisgroup.com/primo-explore/search?tab=default_tab&amp;search_scope=EVERYTHING&amp;vid=01CRU&amp;lang=en_US&amp;offset=0&amp;query=any,contains,991001479459702656","Catalog Record")</f>
        <v>Catalog Record</v>
      </c>
      <c r="AV123" s="5" t="str">
        <f>HYPERLINK("http://www.worldcat.org/oclc/26766739","WorldCat Record")</f>
        <v>WorldCat Record</v>
      </c>
      <c r="AW123" s="2" t="s">
        <v>1662</v>
      </c>
      <c r="AX123" s="2" t="s">
        <v>1663</v>
      </c>
      <c r="AY123" s="2" t="s">
        <v>1664</v>
      </c>
      <c r="AZ123" s="2" t="s">
        <v>1664</v>
      </c>
      <c r="BA123" s="2" t="s">
        <v>1665</v>
      </c>
      <c r="BB123" s="2" t="s">
        <v>19</v>
      </c>
      <c r="BD123" s="2" t="s">
        <v>1666</v>
      </c>
      <c r="BE123" s="2" t="s">
        <v>1667</v>
      </c>
      <c r="BF123" s="2" t="s">
        <v>1668</v>
      </c>
    </row>
    <row r="124" spans="1:58" ht="50.25" customHeight="1" x14ac:dyDescent="0.25">
      <c r="A124" s="8" t="s">
        <v>5</v>
      </c>
      <c r="B124" s="1" t="s">
        <v>0</v>
      </c>
      <c r="C124" s="1" t="s">
        <v>1</v>
      </c>
      <c r="D124" s="1" t="s">
        <v>1669</v>
      </c>
      <c r="E124" s="1" t="s">
        <v>1670</v>
      </c>
      <c r="F124" s="1" t="s">
        <v>1671</v>
      </c>
      <c r="H124" s="2" t="s">
        <v>5</v>
      </c>
      <c r="I124" s="2" t="s">
        <v>6</v>
      </c>
      <c r="J124" s="2" t="s">
        <v>5</v>
      </c>
      <c r="K124" s="2" t="s">
        <v>90</v>
      </c>
      <c r="L124" s="2" t="s">
        <v>7</v>
      </c>
      <c r="M124" s="1" t="s">
        <v>1672</v>
      </c>
      <c r="N124" s="1" t="s">
        <v>1673</v>
      </c>
      <c r="O124" s="2" t="s">
        <v>259</v>
      </c>
      <c r="Q124" s="2" t="s">
        <v>10</v>
      </c>
      <c r="R124" s="2" t="s">
        <v>405</v>
      </c>
      <c r="S124" s="1" t="s">
        <v>1674</v>
      </c>
      <c r="T124" s="2" t="s">
        <v>12</v>
      </c>
      <c r="U124" s="3">
        <v>10</v>
      </c>
      <c r="V124" s="3">
        <v>10</v>
      </c>
      <c r="W124" s="4" t="s">
        <v>1675</v>
      </c>
      <c r="X124" s="4" t="s">
        <v>1675</v>
      </c>
      <c r="Y124" s="4" t="s">
        <v>1676</v>
      </c>
      <c r="Z124" s="4" t="s">
        <v>1676</v>
      </c>
      <c r="AA124" s="3">
        <v>276</v>
      </c>
      <c r="AB124" s="3">
        <v>216</v>
      </c>
      <c r="AC124" s="3">
        <v>595</v>
      </c>
      <c r="AD124" s="3">
        <v>1</v>
      </c>
      <c r="AE124" s="3">
        <v>4</v>
      </c>
      <c r="AF124" s="3">
        <v>4</v>
      </c>
      <c r="AG124" s="3">
        <v>25</v>
      </c>
      <c r="AH124" s="3">
        <v>2</v>
      </c>
      <c r="AI124" s="3">
        <v>13</v>
      </c>
      <c r="AJ124" s="3">
        <v>1</v>
      </c>
      <c r="AK124" s="3">
        <v>5</v>
      </c>
      <c r="AL124" s="3">
        <v>4</v>
      </c>
      <c r="AM124" s="3">
        <v>11</v>
      </c>
      <c r="AN124" s="3">
        <v>0</v>
      </c>
      <c r="AO124" s="3">
        <v>3</v>
      </c>
      <c r="AP124" s="3">
        <v>0</v>
      </c>
      <c r="AQ124" s="3">
        <v>0</v>
      </c>
      <c r="AR124" s="2" t="s">
        <v>5</v>
      </c>
      <c r="AS124" s="2" t="s">
        <v>90</v>
      </c>
      <c r="AT124" s="5" t="str">
        <f>HYPERLINK("http://catalog.hathitrust.org/Record/004531544","HathiTrust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HYPERLINK("https://creighton-primo.hosted.exlibrisgroup.com/primo-explore/search?tab=default_tab&amp;search_scope=EVERYTHING&amp;vid=01CRU&amp;lang=en_US&amp;offset=0&amp;query=any,contains,991001196409702656","Catalog Record")</f>
        <v>Catalog Record</v>
      </c>
      <c r="AV124" s="5" t="str">
        <f>HYPERLINK("http://www.worldcat.org/oclc/29668482","WorldCat Record")</f>
        <v>WorldCat Record</v>
      </c>
      <c r="AW124" s="2" t="s">
        <v>1677</v>
      </c>
      <c r="AX124" s="2" t="s">
        <v>1678</v>
      </c>
      <c r="AY124" s="2" t="s">
        <v>1679</v>
      </c>
      <c r="AZ124" s="2" t="s">
        <v>1679</v>
      </c>
      <c r="BA124" s="2" t="s">
        <v>1680</v>
      </c>
      <c r="BB124" s="2" t="s">
        <v>19</v>
      </c>
      <c r="BD124" s="2" t="s">
        <v>1681</v>
      </c>
      <c r="BE124" s="2" t="s">
        <v>1682</v>
      </c>
      <c r="BF124" s="2" t="s">
        <v>1683</v>
      </c>
    </row>
    <row r="125" spans="1:58" ht="50.25" customHeight="1" x14ac:dyDescent="0.25">
      <c r="A125" s="8" t="s">
        <v>5</v>
      </c>
      <c r="B125" s="1" t="s">
        <v>0</v>
      </c>
      <c r="C125" s="1" t="s">
        <v>1</v>
      </c>
      <c r="D125" s="1" t="s">
        <v>1684</v>
      </c>
      <c r="E125" s="1" t="s">
        <v>1685</v>
      </c>
      <c r="F125" s="1" t="s">
        <v>1686</v>
      </c>
      <c r="H125" s="2" t="s">
        <v>5</v>
      </c>
      <c r="I125" s="2" t="s">
        <v>6</v>
      </c>
      <c r="J125" s="2" t="s">
        <v>5</v>
      </c>
      <c r="K125" s="2" t="s">
        <v>5</v>
      </c>
      <c r="L125" s="2" t="s">
        <v>7</v>
      </c>
      <c r="N125" s="1" t="s">
        <v>1687</v>
      </c>
      <c r="O125" s="2" t="s">
        <v>289</v>
      </c>
      <c r="Q125" s="2" t="s">
        <v>10</v>
      </c>
      <c r="R125" s="2" t="s">
        <v>110</v>
      </c>
      <c r="S125" s="1" t="s">
        <v>1688</v>
      </c>
      <c r="T125" s="2" t="s">
        <v>12</v>
      </c>
      <c r="U125" s="3">
        <v>2</v>
      </c>
      <c r="V125" s="3">
        <v>2</v>
      </c>
      <c r="W125" s="4" t="s">
        <v>1689</v>
      </c>
      <c r="X125" s="4" t="s">
        <v>1689</v>
      </c>
      <c r="Y125" s="4" t="s">
        <v>1690</v>
      </c>
      <c r="Z125" s="4" t="s">
        <v>1690</v>
      </c>
      <c r="AA125" s="3">
        <v>52</v>
      </c>
      <c r="AB125" s="3">
        <v>40</v>
      </c>
      <c r="AC125" s="3">
        <v>40</v>
      </c>
      <c r="AD125" s="3">
        <v>1</v>
      </c>
      <c r="AE125" s="3">
        <v>1</v>
      </c>
      <c r="AF125" s="3">
        <v>1</v>
      </c>
      <c r="AG125" s="3">
        <v>1</v>
      </c>
      <c r="AH125" s="3">
        <v>0</v>
      </c>
      <c r="AI125" s="3">
        <v>0</v>
      </c>
      <c r="AJ125" s="3">
        <v>1</v>
      </c>
      <c r="AK125" s="3">
        <v>1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2" t="s">
        <v>5</v>
      </c>
      <c r="AS125" s="2" t="s">
        <v>5</v>
      </c>
      <c r="AU125" s="5" t="str">
        <f>HYPERLINK("https://creighton-primo.hosted.exlibrisgroup.com/primo-explore/search?tab=default_tab&amp;search_scope=EVERYTHING&amp;vid=01CRU&amp;lang=en_US&amp;offset=0&amp;query=any,contains,991000367169702656","Catalog Record")</f>
        <v>Catalog Record</v>
      </c>
      <c r="AV125" s="5" t="str">
        <f>HYPERLINK("http://www.worldcat.org/oclc/41383760","WorldCat Record")</f>
        <v>WorldCat Record</v>
      </c>
      <c r="AW125" s="2" t="s">
        <v>1691</v>
      </c>
      <c r="AX125" s="2" t="s">
        <v>1692</v>
      </c>
      <c r="AY125" s="2" t="s">
        <v>1693</v>
      </c>
      <c r="AZ125" s="2" t="s">
        <v>1693</v>
      </c>
      <c r="BA125" s="2" t="s">
        <v>1694</v>
      </c>
      <c r="BB125" s="2" t="s">
        <v>19</v>
      </c>
      <c r="BD125" s="2" t="s">
        <v>1695</v>
      </c>
      <c r="BE125" s="2" t="s">
        <v>1696</v>
      </c>
      <c r="BF125" s="2" t="s">
        <v>1697</v>
      </c>
    </row>
    <row r="126" spans="1:58" ht="50.25" customHeight="1" x14ac:dyDescent="0.25">
      <c r="A126" s="8" t="s">
        <v>5</v>
      </c>
      <c r="B126" s="1" t="s">
        <v>0</v>
      </c>
      <c r="C126" s="1" t="s">
        <v>1</v>
      </c>
      <c r="D126" s="1" t="s">
        <v>1698</v>
      </c>
      <c r="E126" s="1" t="s">
        <v>1699</v>
      </c>
      <c r="F126" s="1" t="s">
        <v>1700</v>
      </c>
      <c r="H126" s="2" t="s">
        <v>5</v>
      </c>
      <c r="I126" s="2" t="s">
        <v>6</v>
      </c>
      <c r="J126" s="2" t="s">
        <v>5</v>
      </c>
      <c r="K126" s="2" t="s">
        <v>5</v>
      </c>
      <c r="L126" s="2" t="s">
        <v>7</v>
      </c>
      <c r="N126" s="1" t="s">
        <v>1701</v>
      </c>
      <c r="O126" s="2" t="s">
        <v>109</v>
      </c>
      <c r="Q126" s="2" t="s">
        <v>10</v>
      </c>
      <c r="R126" s="2" t="s">
        <v>61</v>
      </c>
      <c r="T126" s="2" t="s">
        <v>12</v>
      </c>
      <c r="U126" s="3">
        <v>1</v>
      </c>
      <c r="V126" s="3">
        <v>1</v>
      </c>
      <c r="W126" s="4" t="s">
        <v>1702</v>
      </c>
      <c r="X126" s="4" t="s">
        <v>1702</v>
      </c>
      <c r="Y126" s="4" t="s">
        <v>336</v>
      </c>
      <c r="Z126" s="4" t="s">
        <v>336</v>
      </c>
      <c r="AA126" s="3">
        <v>216</v>
      </c>
      <c r="AB126" s="3">
        <v>198</v>
      </c>
      <c r="AC126" s="3">
        <v>205</v>
      </c>
      <c r="AD126" s="3">
        <v>1</v>
      </c>
      <c r="AE126" s="3">
        <v>1</v>
      </c>
      <c r="AF126" s="3">
        <v>10</v>
      </c>
      <c r="AG126" s="3">
        <v>10</v>
      </c>
      <c r="AH126" s="3">
        <v>5</v>
      </c>
      <c r="AI126" s="3">
        <v>5</v>
      </c>
      <c r="AJ126" s="3">
        <v>3</v>
      </c>
      <c r="AK126" s="3">
        <v>3</v>
      </c>
      <c r="AL126" s="3">
        <v>5</v>
      </c>
      <c r="AM126" s="3">
        <v>5</v>
      </c>
      <c r="AN126" s="3">
        <v>0</v>
      </c>
      <c r="AO126" s="3">
        <v>0</v>
      </c>
      <c r="AP126" s="3">
        <v>0</v>
      </c>
      <c r="AQ126" s="3">
        <v>0</v>
      </c>
      <c r="AR126" s="2" t="s">
        <v>5</v>
      </c>
      <c r="AS126" s="2" t="s">
        <v>90</v>
      </c>
      <c r="AT126" s="5" t="str">
        <f>HYPERLINK("http://catalog.hathitrust.org/Record/004303753","HathiTrust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HYPERLINK("https://creighton-primo.hosted.exlibrisgroup.com/primo-explore/search?tab=default_tab&amp;search_scope=EVERYTHING&amp;vid=01CRU&amp;lang=en_US&amp;offset=0&amp;query=any,contains,991000370969702656","Catalog Record")</f>
        <v>Catalog Record</v>
      </c>
      <c r="AV126" s="5" t="str">
        <f>HYPERLINK("http://www.worldcat.org/oclc/50291118","WorldCat Record")</f>
        <v>WorldCat Record</v>
      </c>
      <c r="AW126" s="2" t="s">
        <v>1703</v>
      </c>
      <c r="AX126" s="2" t="s">
        <v>1704</v>
      </c>
      <c r="AY126" s="2" t="s">
        <v>1705</v>
      </c>
      <c r="AZ126" s="2" t="s">
        <v>1705</v>
      </c>
      <c r="BA126" s="2" t="s">
        <v>1706</v>
      </c>
      <c r="BB126" s="2" t="s">
        <v>19</v>
      </c>
      <c r="BD126" s="2" t="s">
        <v>1707</v>
      </c>
      <c r="BE126" s="2" t="s">
        <v>1708</v>
      </c>
      <c r="BF126" s="2" t="s">
        <v>1709</v>
      </c>
    </row>
    <row r="127" spans="1:58" ht="50.25" customHeight="1" x14ac:dyDescent="0.25">
      <c r="A127" s="8" t="s">
        <v>5</v>
      </c>
      <c r="B127" s="1" t="s">
        <v>0</v>
      </c>
      <c r="C127" s="1" t="s">
        <v>1</v>
      </c>
      <c r="D127" s="1" t="s">
        <v>1710</v>
      </c>
      <c r="E127" s="1" t="s">
        <v>1711</v>
      </c>
      <c r="F127" s="1" t="s">
        <v>1712</v>
      </c>
      <c r="H127" s="2" t="s">
        <v>5</v>
      </c>
      <c r="I127" s="2" t="s">
        <v>6</v>
      </c>
      <c r="J127" s="2" t="s">
        <v>5</v>
      </c>
      <c r="K127" s="2" t="s">
        <v>5</v>
      </c>
      <c r="L127" s="2" t="s">
        <v>7</v>
      </c>
      <c r="M127" s="1" t="s">
        <v>1713</v>
      </c>
      <c r="N127" s="1" t="s">
        <v>1714</v>
      </c>
      <c r="O127" s="2" t="s">
        <v>1138</v>
      </c>
      <c r="Q127" s="2" t="s">
        <v>10</v>
      </c>
      <c r="R127" s="2" t="s">
        <v>11</v>
      </c>
      <c r="T127" s="2" t="s">
        <v>12</v>
      </c>
      <c r="U127" s="3">
        <v>8</v>
      </c>
      <c r="V127" s="3">
        <v>8</v>
      </c>
      <c r="W127" s="4" t="s">
        <v>1715</v>
      </c>
      <c r="X127" s="4" t="s">
        <v>1715</v>
      </c>
      <c r="Y127" s="4" t="s">
        <v>519</v>
      </c>
      <c r="Z127" s="4" t="s">
        <v>519</v>
      </c>
      <c r="AA127" s="3">
        <v>345</v>
      </c>
      <c r="AB127" s="3">
        <v>323</v>
      </c>
      <c r="AC127" s="3">
        <v>325</v>
      </c>
      <c r="AD127" s="3">
        <v>2</v>
      </c>
      <c r="AE127" s="3">
        <v>2</v>
      </c>
      <c r="AF127" s="3">
        <v>8</v>
      </c>
      <c r="AG127" s="3">
        <v>8</v>
      </c>
      <c r="AH127" s="3">
        <v>3</v>
      </c>
      <c r="AI127" s="3">
        <v>3</v>
      </c>
      <c r="AJ127" s="3">
        <v>3</v>
      </c>
      <c r="AK127" s="3">
        <v>3</v>
      </c>
      <c r="AL127" s="3">
        <v>5</v>
      </c>
      <c r="AM127" s="3">
        <v>5</v>
      </c>
      <c r="AN127" s="3">
        <v>0</v>
      </c>
      <c r="AO127" s="3">
        <v>0</v>
      </c>
      <c r="AP127" s="3">
        <v>0</v>
      </c>
      <c r="AQ127" s="3">
        <v>0</v>
      </c>
      <c r="AR127" s="2" t="s">
        <v>5</v>
      </c>
      <c r="AS127" s="2" t="s">
        <v>90</v>
      </c>
      <c r="AT127" s="5" t="str">
        <f>HYPERLINK("http://catalog.hathitrust.org/Record/000273846","HathiTrust Record")</f>
        <v>HathiTrust Record</v>
      </c>
      <c r="AU127" s="5" t="str">
        <f>HYPERLINK("https://creighton-primo.hosted.exlibrisgroup.com/primo-explore/search?tab=default_tab&amp;search_scope=EVERYTHING&amp;vid=01CRU&amp;lang=en_US&amp;offset=0&amp;query=any,contains,991000754119702656","Catalog Record")</f>
        <v>Catalog Record</v>
      </c>
      <c r="AV127" s="5" t="str">
        <f>HYPERLINK("http://www.worldcat.org/oclc/7835389","WorldCat Record")</f>
        <v>WorldCat Record</v>
      </c>
      <c r="AW127" s="2" t="s">
        <v>1716</v>
      </c>
      <c r="AX127" s="2" t="s">
        <v>1717</v>
      </c>
      <c r="AY127" s="2" t="s">
        <v>1718</v>
      </c>
      <c r="AZ127" s="2" t="s">
        <v>1718</v>
      </c>
      <c r="BA127" s="2" t="s">
        <v>1719</v>
      </c>
      <c r="BB127" s="2" t="s">
        <v>19</v>
      </c>
      <c r="BD127" s="2" t="s">
        <v>1720</v>
      </c>
      <c r="BE127" s="2" t="s">
        <v>1721</v>
      </c>
      <c r="BF127" s="2" t="s">
        <v>1722</v>
      </c>
    </row>
    <row r="128" spans="1:58" ht="50.25" customHeight="1" x14ac:dyDescent="0.25">
      <c r="A128" s="8" t="s">
        <v>5</v>
      </c>
      <c r="B128" s="1" t="s">
        <v>0</v>
      </c>
      <c r="C128" s="1" t="s">
        <v>1</v>
      </c>
      <c r="D128" s="1" t="s">
        <v>1723</v>
      </c>
      <c r="E128" s="1" t="s">
        <v>1724</v>
      </c>
      <c r="F128" s="1" t="s">
        <v>1725</v>
      </c>
      <c r="H128" s="2" t="s">
        <v>5</v>
      </c>
      <c r="I128" s="2" t="s">
        <v>6</v>
      </c>
      <c r="J128" s="2" t="s">
        <v>5</v>
      </c>
      <c r="K128" s="2" t="s">
        <v>5</v>
      </c>
      <c r="L128" s="2" t="s">
        <v>7</v>
      </c>
      <c r="M128" s="1" t="s">
        <v>1726</v>
      </c>
      <c r="N128" s="1" t="s">
        <v>1727</v>
      </c>
      <c r="O128" s="2" t="s">
        <v>1728</v>
      </c>
      <c r="Q128" s="2" t="s">
        <v>10</v>
      </c>
      <c r="R128" s="2" t="s">
        <v>405</v>
      </c>
      <c r="T128" s="2" t="s">
        <v>12</v>
      </c>
      <c r="U128" s="3">
        <v>6</v>
      </c>
      <c r="V128" s="3">
        <v>6</v>
      </c>
      <c r="W128" s="4" t="s">
        <v>1729</v>
      </c>
      <c r="X128" s="4" t="s">
        <v>1729</v>
      </c>
      <c r="Y128" s="4" t="s">
        <v>1730</v>
      </c>
      <c r="Z128" s="4" t="s">
        <v>1730</v>
      </c>
      <c r="AA128" s="3">
        <v>388</v>
      </c>
      <c r="AB128" s="3">
        <v>345</v>
      </c>
      <c r="AC128" s="3">
        <v>618</v>
      </c>
      <c r="AD128" s="3">
        <v>4</v>
      </c>
      <c r="AE128" s="3">
        <v>6</v>
      </c>
      <c r="AF128" s="3">
        <v>10</v>
      </c>
      <c r="AG128" s="3">
        <v>22</v>
      </c>
      <c r="AH128" s="3">
        <v>2</v>
      </c>
      <c r="AI128" s="3">
        <v>5</v>
      </c>
      <c r="AJ128" s="3">
        <v>1</v>
      </c>
      <c r="AK128" s="3">
        <v>5</v>
      </c>
      <c r="AL128" s="3">
        <v>5</v>
      </c>
      <c r="AM128" s="3">
        <v>10</v>
      </c>
      <c r="AN128" s="3">
        <v>3</v>
      </c>
      <c r="AO128" s="3">
        <v>5</v>
      </c>
      <c r="AP128" s="3">
        <v>0</v>
      </c>
      <c r="AQ128" s="3">
        <v>0</v>
      </c>
      <c r="AR128" s="2" t="s">
        <v>5</v>
      </c>
      <c r="AS128" s="2" t="s">
        <v>90</v>
      </c>
      <c r="AT128" s="5" t="str">
        <f>HYPERLINK("http://catalog.hathitrust.org/Record/001559108","HathiTrust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HYPERLINK("https://creighton-primo.hosted.exlibrisgroup.com/primo-explore/search?tab=default_tab&amp;search_scope=EVERYTHING&amp;vid=01CRU&amp;lang=en_US&amp;offset=0&amp;query=any,contains,991000664349702656","Catalog Record")</f>
        <v>Catalog Record</v>
      </c>
      <c r="AV128" s="5" t="str">
        <f>HYPERLINK("http://www.worldcat.org/oclc/630792","WorldCat Record")</f>
        <v>WorldCat Record</v>
      </c>
      <c r="AW128" s="2" t="s">
        <v>1731</v>
      </c>
      <c r="AX128" s="2" t="s">
        <v>1732</v>
      </c>
      <c r="AY128" s="2" t="s">
        <v>1733</v>
      </c>
      <c r="AZ128" s="2" t="s">
        <v>1733</v>
      </c>
      <c r="BA128" s="2" t="s">
        <v>1734</v>
      </c>
      <c r="BB128" s="2" t="s">
        <v>19</v>
      </c>
      <c r="BE128" s="2" t="s">
        <v>1735</v>
      </c>
      <c r="BF128" s="2" t="s">
        <v>1736</v>
      </c>
    </row>
    <row r="129" spans="1:58" ht="50.25" customHeight="1" x14ac:dyDescent="0.25">
      <c r="A129" s="8" t="s">
        <v>5</v>
      </c>
      <c r="B129" s="1" t="s">
        <v>0</v>
      </c>
      <c r="C129" s="1" t="s">
        <v>1</v>
      </c>
      <c r="D129" s="1" t="s">
        <v>1737</v>
      </c>
      <c r="E129" s="1" t="s">
        <v>1738</v>
      </c>
      <c r="F129" s="1" t="s">
        <v>1739</v>
      </c>
      <c r="H129" s="2" t="s">
        <v>5</v>
      </c>
      <c r="I129" s="2" t="s">
        <v>6</v>
      </c>
      <c r="J129" s="2" t="s">
        <v>5</v>
      </c>
      <c r="K129" s="2" t="s">
        <v>5</v>
      </c>
      <c r="L129" s="2" t="s">
        <v>7</v>
      </c>
      <c r="N129" s="1" t="s">
        <v>1740</v>
      </c>
      <c r="O129" s="2" t="s">
        <v>474</v>
      </c>
      <c r="P129" s="1" t="s">
        <v>1741</v>
      </c>
      <c r="Q129" s="2" t="s">
        <v>10</v>
      </c>
      <c r="R129" s="2" t="s">
        <v>184</v>
      </c>
      <c r="T129" s="2" t="s">
        <v>12</v>
      </c>
      <c r="U129" s="3">
        <v>28</v>
      </c>
      <c r="V129" s="3">
        <v>28</v>
      </c>
      <c r="W129" s="4" t="s">
        <v>1742</v>
      </c>
      <c r="X129" s="4" t="s">
        <v>1742</v>
      </c>
      <c r="Y129" s="4" t="s">
        <v>1743</v>
      </c>
      <c r="Z129" s="4" t="s">
        <v>1743</v>
      </c>
      <c r="AA129" s="3">
        <v>11</v>
      </c>
      <c r="AB129" s="3">
        <v>11</v>
      </c>
      <c r="AC129" s="3">
        <v>47</v>
      </c>
      <c r="AD129" s="3">
        <v>1</v>
      </c>
      <c r="AE129" s="3">
        <v>1</v>
      </c>
      <c r="AF129" s="3">
        <v>0</v>
      </c>
      <c r="AG129" s="3">
        <v>1</v>
      </c>
      <c r="AH129" s="3">
        <v>0</v>
      </c>
      <c r="AI129" s="3">
        <v>0</v>
      </c>
      <c r="AJ129" s="3">
        <v>0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0</v>
      </c>
      <c r="AQ129" s="3">
        <v>0</v>
      </c>
      <c r="AR129" s="2" t="s">
        <v>5</v>
      </c>
      <c r="AS129" s="2" t="s">
        <v>90</v>
      </c>
      <c r="AT129" s="5" t="str">
        <f>HYPERLINK("http://catalog.hathitrust.org/Record/010377065","HathiTrust Record")</f>
        <v>HathiTrust Record</v>
      </c>
      <c r="AU129" s="5" t="str">
        <f>HYPERLINK("https://creighton-primo.hosted.exlibrisgroup.com/primo-explore/search?tab=default_tab&amp;search_scope=EVERYTHING&amp;vid=01CRU&amp;lang=en_US&amp;offset=0&amp;query=any,contains,991001106559702656","Catalog Record")</f>
        <v>Catalog Record</v>
      </c>
      <c r="AV129" s="5" t="str">
        <f>HYPERLINK("http://www.worldcat.org/oclc/19784736","WorldCat Record")</f>
        <v>WorldCat Record</v>
      </c>
      <c r="AW129" s="2" t="s">
        <v>1744</v>
      </c>
      <c r="AX129" s="2" t="s">
        <v>1745</v>
      </c>
      <c r="AY129" s="2" t="s">
        <v>1746</v>
      </c>
      <c r="AZ129" s="2" t="s">
        <v>1746</v>
      </c>
      <c r="BA129" s="2" t="s">
        <v>1747</v>
      </c>
      <c r="BB129" s="2" t="s">
        <v>19</v>
      </c>
      <c r="BE129" s="2" t="s">
        <v>1748</v>
      </c>
      <c r="BF129" s="2" t="s">
        <v>1749</v>
      </c>
    </row>
    <row r="130" spans="1:58" ht="50.25" customHeight="1" x14ac:dyDescent="0.25">
      <c r="A130" s="8" t="s">
        <v>5</v>
      </c>
      <c r="B130" s="1" t="s">
        <v>0</v>
      </c>
      <c r="C130" s="1" t="s">
        <v>1</v>
      </c>
      <c r="D130" s="1" t="s">
        <v>1750</v>
      </c>
      <c r="E130" s="1" t="s">
        <v>1751</v>
      </c>
      <c r="F130" s="1" t="s">
        <v>1752</v>
      </c>
      <c r="H130" s="2" t="s">
        <v>5</v>
      </c>
      <c r="I130" s="2" t="s">
        <v>6</v>
      </c>
      <c r="J130" s="2" t="s">
        <v>5</v>
      </c>
      <c r="K130" s="2" t="s">
        <v>5</v>
      </c>
      <c r="L130" s="2" t="s">
        <v>770</v>
      </c>
      <c r="N130" s="1" t="s">
        <v>1753</v>
      </c>
      <c r="O130" s="2" t="s">
        <v>60</v>
      </c>
      <c r="Q130" s="2" t="s">
        <v>10</v>
      </c>
      <c r="R130" s="2" t="s">
        <v>184</v>
      </c>
      <c r="T130" s="2" t="s">
        <v>12</v>
      </c>
      <c r="U130" s="3">
        <v>7</v>
      </c>
      <c r="V130" s="3">
        <v>7</v>
      </c>
      <c r="W130" s="4" t="s">
        <v>63</v>
      </c>
      <c r="X130" s="4" t="s">
        <v>63</v>
      </c>
      <c r="Y130" s="4" t="s">
        <v>1754</v>
      </c>
      <c r="Z130" s="4" t="s">
        <v>1754</v>
      </c>
      <c r="AA130" s="3">
        <v>252</v>
      </c>
      <c r="AB130" s="3">
        <v>224</v>
      </c>
      <c r="AC130" s="3">
        <v>1694</v>
      </c>
      <c r="AD130" s="3">
        <v>1</v>
      </c>
      <c r="AE130" s="3">
        <v>35</v>
      </c>
      <c r="AF130" s="3">
        <v>10</v>
      </c>
      <c r="AG130" s="3">
        <v>54</v>
      </c>
      <c r="AH130" s="3">
        <v>1</v>
      </c>
      <c r="AI130" s="3">
        <v>17</v>
      </c>
      <c r="AJ130" s="3">
        <v>5</v>
      </c>
      <c r="AK130" s="3">
        <v>11</v>
      </c>
      <c r="AL130" s="3">
        <v>6</v>
      </c>
      <c r="AM130" s="3">
        <v>17</v>
      </c>
      <c r="AN130" s="3">
        <v>0</v>
      </c>
      <c r="AO130" s="3">
        <v>15</v>
      </c>
      <c r="AP130" s="3">
        <v>0</v>
      </c>
      <c r="AQ130" s="3">
        <v>2</v>
      </c>
      <c r="AR130" s="2" t="s">
        <v>5</v>
      </c>
      <c r="AS130" s="2" t="s">
        <v>90</v>
      </c>
      <c r="AT130" s="5" t="str">
        <f>HYPERLINK("http://catalog.hathitrust.org/Record/004734416","HathiTrust Record")</f>
        <v>HathiTrust Record</v>
      </c>
      <c r="AU130" s="5" t="str">
        <f>HYPERLINK("https://creighton-primo.hosted.exlibrisgroup.com/primo-explore/search?tab=default_tab&amp;search_scope=EVERYTHING&amp;vid=01CRU&amp;lang=en_US&amp;offset=0&amp;query=any,contains,991000385999702656","Catalog Record")</f>
        <v>Catalog Record</v>
      </c>
      <c r="AV130" s="5" t="str">
        <f>HYPERLINK("http://www.worldcat.org/oclc/55589206","WorldCat Record")</f>
        <v>WorldCat Record</v>
      </c>
      <c r="AW130" s="2" t="s">
        <v>1755</v>
      </c>
      <c r="AX130" s="2" t="s">
        <v>1756</v>
      </c>
      <c r="AY130" s="2" t="s">
        <v>1757</v>
      </c>
      <c r="AZ130" s="2" t="s">
        <v>1757</v>
      </c>
      <c r="BA130" s="2" t="s">
        <v>1758</v>
      </c>
      <c r="BB130" s="2" t="s">
        <v>19</v>
      </c>
      <c r="BD130" s="2" t="s">
        <v>1759</v>
      </c>
      <c r="BE130" s="2" t="s">
        <v>1760</v>
      </c>
      <c r="BF130" s="2" t="s">
        <v>1761</v>
      </c>
    </row>
    <row r="131" spans="1:58" ht="50.25" customHeight="1" x14ac:dyDescent="0.25">
      <c r="A131" s="8" t="s">
        <v>5</v>
      </c>
      <c r="B131" s="1" t="s">
        <v>0</v>
      </c>
      <c r="C131" s="1" t="s">
        <v>1</v>
      </c>
      <c r="D131" s="1" t="s">
        <v>1762</v>
      </c>
      <c r="E131" s="1" t="s">
        <v>1763</v>
      </c>
      <c r="F131" s="1" t="s">
        <v>1764</v>
      </c>
      <c r="H131" s="2" t="s">
        <v>5</v>
      </c>
      <c r="I131" s="2" t="s">
        <v>6</v>
      </c>
      <c r="J131" s="2" t="s">
        <v>5</v>
      </c>
      <c r="K131" s="2" t="s">
        <v>5</v>
      </c>
      <c r="L131" s="2" t="s">
        <v>7</v>
      </c>
      <c r="M131" s="1" t="s">
        <v>1765</v>
      </c>
      <c r="N131" s="1" t="s">
        <v>1766</v>
      </c>
      <c r="O131" s="2" t="s">
        <v>169</v>
      </c>
      <c r="P131" s="1" t="s">
        <v>1767</v>
      </c>
      <c r="Q131" s="2" t="s">
        <v>10</v>
      </c>
      <c r="R131" s="2" t="s">
        <v>11</v>
      </c>
      <c r="T131" s="2" t="s">
        <v>12</v>
      </c>
      <c r="U131" s="3">
        <v>2</v>
      </c>
      <c r="V131" s="3">
        <v>2</v>
      </c>
      <c r="W131" s="4" t="s">
        <v>1768</v>
      </c>
      <c r="X131" s="4" t="s">
        <v>1768</v>
      </c>
      <c r="Y131" s="4" t="s">
        <v>1754</v>
      </c>
      <c r="Z131" s="4" t="s">
        <v>1754</v>
      </c>
      <c r="AA131" s="3">
        <v>178</v>
      </c>
      <c r="AB131" s="3">
        <v>141</v>
      </c>
      <c r="AC131" s="3">
        <v>436</v>
      </c>
      <c r="AD131" s="3">
        <v>1</v>
      </c>
      <c r="AE131" s="3">
        <v>2</v>
      </c>
      <c r="AF131" s="3">
        <v>1</v>
      </c>
      <c r="AG131" s="3">
        <v>12</v>
      </c>
      <c r="AH131" s="3">
        <v>1</v>
      </c>
      <c r="AI131" s="3">
        <v>4</v>
      </c>
      <c r="AJ131" s="3">
        <v>0</v>
      </c>
      <c r="AK131" s="3">
        <v>3</v>
      </c>
      <c r="AL131" s="3">
        <v>0</v>
      </c>
      <c r="AM131" s="3">
        <v>8</v>
      </c>
      <c r="AN131" s="3">
        <v>0</v>
      </c>
      <c r="AO131" s="3">
        <v>1</v>
      </c>
      <c r="AP131" s="3">
        <v>0</v>
      </c>
      <c r="AQ131" s="3">
        <v>0</v>
      </c>
      <c r="AR131" s="2" t="s">
        <v>5</v>
      </c>
      <c r="AS131" s="2" t="s">
        <v>5</v>
      </c>
      <c r="AU131" s="5" t="str">
        <f>HYPERLINK("https://creighton-primo.hosted.exlibrisgroup.com/primo-explore/search?tab=default_tab&amp;search_scope=EVERYTHING&amp;vid=01CRU&amp;lang=en_US&amp;offset=0&amp;query=any,contains,991000386089702656","Catalog Record")</f>
        <v>Catalog Record</v>
      </c>
      <c r="AV131" s="5" t="str">
        <f>HYPERLINK("http://www.worldcat.org/oclc/38120687","WorldCat Record")</f>
        <v>WorldCat Record</v>
      </c>
      <c r="AW131" s="2" t="s">
        <v>1769</v>
      </c>
      <c r="AX131" s="2" t="s">
        <v>1770</v>
      </c>
      <c r="AY131" s="2" t="s">
        <v>1771</v>
      </c>
      <c r="AZ131" s="2" t="s">
        <v>1771</v>
      </c>
      <c r="BA131" s="2" t="s">
        <v>1772</v>
      </c>
      <c r="BB131" s="2" t="s">
        <v>19</v>
      </c>
      <c r="BD131" s="2" t="s">
        <v>1773</v>
      </c>
      <c r="BE131" s="2" t="s">
        <v>1774</v>
      </c>
      <c r="BF131" s="2" t="s">
        <v>1775</v>
      </c>
    </row>
    <row r="132" spans="1:58" ht="50.25" customHeight="1" x14ac:dyDescent="0.25">
      <c r="A132" s="8" t="s">
        <v>5</v>
      </c>
      <c r="B132" s="1" t="s">
        <v>0</v>
      </c>
      <c r="C132" s="1" t="s">
        <v>1</v>
      </c>
      <c r="D132" s="1" t="s">
        <v>1776</v>
      </c>
      <c r="E132" s="1" t="s">
        <v>1777</v>
      </c>
      <c r="F132" s="1" t="s">
        <v>1778</v>
      </c>
      <c r="H132" s="2" t="s">
        <v>5</v>
      </c>
      <c r="I132" s="2" t="s">
        <v>6</v>
      </c>
      <c r="J132" s="2" t="s">
        <v>5</v>
      </c>
      <c r="K132" s="2" t="s">
        <v>5</v>
      </c>
      <c r="L132" s="2" t="s">
        <v>7</v>
      </c>
      <c r="N132" s="1" t="s">
        <v>1779</v>
      </c>
      <c r="O132" s="2" t="s">
        <v>9</v>
      </c>
      <c r="P132" s="1" t="s">
        <v>320</v>
      </c>
      <c r="Q132" s="2" t="s">
        <v>10</v>
      </c>
      <c r="R132" s="2" t="s">
        <v>405</v>
      </c>
      <c r="T132" s="2" t="s">
        <v>12</v>
      </c>
      <c r="U132" s="3">
        <v>6</v>
      </c>
      <c r="V132" s="3">
        <v>6</v>
      </c>
      <c r="W132" s="4" t="s">
        <v>406</v>
      </c>
      <c r="X132" s="4" t="s">
        <v>406</v>
      </c>
      <c r="Y132" s="4" t="s">
        <v>407</v>
      </c>
      <c r="Z132" s="4" t="s">
        <v>407</v>
      </c>
      <c r="AA132" s="3">
        <v>462</v>
      </c>
      <c r="AB132" s="3">
        <v>373</v>
      </c>
      <c r="AC132" s="3">
        <v>376</v>
      </c>
      <c r="AD132" s="3">
        <v>3</v>
      </c>
      <c r="AE132" s="3">
        <v>3</v>
      </c>
      <c r="AF132" s="3">
        <v>25</v>
      </c>
      <c r="AG132" s="3">
        <v>26</v>
      </c>
      <c r="AH132" s="3">
        <v>7</v>
      </c>
      <c r="AI132" s="3">
        <v>8</v>
      </c>
      <c r="AJ132" s="3">
        <v>9</v>
      </c>
      <c r="AK132" s="3">
        <v>9</v>
      </c>
      <c r="AL132" s="3">
        <v>14</v>
      </c>
      <c r="AM132" s="3">
        <v>15</v>
      </c>
      <c r="AN132" s="3">
        <v>2</v>
      </c>
      <c r="AO132" s="3">
        <v>2</v>
      </c>
      <c r="AP132" s="3">
        <v>0</v>
      </c>
      <c r="AQ132" s="3">
        <v>0</v>
      </c>
      <c r="AR132" s="2" t="s">
        <v>5</v>
      </c>
      <c r="AS132" s="2" t="s">
        <v>5</v>
      </c>
      <c r="AU132" s="5" t="str">
        <f>HYPERLINK("https://creighton-primo.hosted.exlibrisgroup.com/primo-explore/search?tab=default_tab&amp;search_scope=EVERYTHING&amp;vid=01CRU&amp;lang=en_US&amp;offset=0&amp;query=any,contains,991000693099702656","Catalog Record")</f>
        <v>Catalog Record</v>
      </c>
      <c r="AV132" s="5" t="str">
        <f>HYPERLINK("http://www.worldcat.org/oclc/61859788","WorldCat Record")</f>
        <v>WorldCat Record</v>
      </c>
      <c r="AW132" s="2" t="s">
        <v>1780</v>
      </c>
      <c r="AX132" s="2" t="s">
        <v>1781</v>
      </c>
      <c r="AY132" s="2" t="s">
        <v>1782</v>
      </c>
      <c r="AZ132" s="2" t="s">
        <v>1782</v>
      </c>
      <c r="BA132" s="2" t="s">
        <v>1783</v>
      </c>
      <c r="BB132" s="2" t="s">
        <v>19</v>
      </c>
      <c r="BD132" s="2" t="s">
        <v>1784</v>
      </c>
      <c r="BE132" s="2" t="s">
        <v>1785</v>
      </c>
      <c r="BF132" s="2" t="s">
        <v>1786</v>
      </c>
    </row>
    <row r="133" spans="1:58" ht="50.25" customHeight="1" x14ac:dyDescent="0.25">
      <c r="A133" s="8" t="s">
        <v>5</v>
      </c>
      <c r="B133" s="1" t="s">
        <v>0</v>
      </c>
      <c r="C133" s="1" t="s">
        <v>1</v>
      </c>
      <c r="D133" s="1" t="s">
        <v>1787</v>
      </c>
      <c r="E133" s="1" t="s">
        <v>1788</v>
      </c>
      <c r="F133" s="1" t="s">
        <v>1789</v>
      </c>
      <c r="H133" s="2" t="s">
        <v>5</v>
      </c>
      <c r="I133" s="2" t="s">
        <v>6</v>
      </c>
      <c r="J133" s="2" t="s">
        <v>5</v>
      </c>
      <c r="K133" s="2" t="s">
        <v>5</v>
      </c>
      <c r="L133" s="2" t="s">
        <v>7</v>
      </c>
      <c r="M133" s="1" t="s">
        <v>1790</v>
      </c>
      <c r="N133" s="1" t="s">
        <v>1791</v>
      </c>
      <c r="O133" s="2" t="s">
        <v>125</v>
      </c>
      <c r="Q133" s="2" t="s">
        <v>10</v>
      </c>
      <c r="R133" s="2" t="s">
        <v>1792</v>
      </c>
      <c r="T133" s="2" t="s">
        <v>12</v>
      </c>
      <c r="U133" s="3">
        <v>15</v>
      </c>
      <c r="V133" s="3">
        <v>15</v>
      </c>
      <c r="W133" s="4" t="s">
        <v>1793</v>
      </c>
      <c r="X133" s="4" t="s">
        <v>1793</v>
      </c>
      <c r="Y133" s="4" t="s">
        <v>1794</v>
      </c>
      <c r="Z133" s="4" t="s">
        <v>1794</v>
      </c>
      <c r="AA133" s="3">
        <v>325</v>
      </c>
      <c r="AB133" s="3">
        <v>294</v>
      </c>
      <c r="AC133" s="3">
        <v>635</v>
      </c>
      <c r="AD133" s="3">
        <v>2</v>
      </c>
      <c r="AE133" s="3">
        <v>6</v>
      </c>
      <c r="AF133" s="3">
        <v>12</v>
      </c>
      <c r="AG133" s="3">
        <v>22</v>
      </c>
      <c r="AH133" s="3">
        <v>6</v>
      </c>
      <c r="AI133" s="3">
        <v>8</v>
      </c>
      <c r="AJ133" s="3">
        <v>1</v>
      </c>
      <c r="AK133" s="3">
        <v>3</v>
      </c>
      <c r="AL133" s="3">
        <v>6</v>
      </c>
      <c r="AM133" s="3">
        <v>10</v>
      </c>
      <c r="AN133" s="3">
        <v>1</v>
      </c>
      <c r="AO133" s="3">
        <v>5</v>
      </c>
      <c r="AP133" s="3">
        <v>0</v>
      </c>
      <c r="AQ133" s="3">
        <v>0</v>
      </c>
      <c r="AR133" s="2" t="s">
        <v>5</v>
      </c>
      <c r="AS133" s="2" t="s">
        <v>90</v>
      </c>
      <c r="AT133" s="5" t="str">
        <f>HYPERLINK("http://catalog.hathitrust.org/Record/003158501","HathiTrust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HYPERLINK("https://creighton-primo.hosted.exlibrisgroup.com/primo-explore/search?tab=default_tab&amp;search_scope=EVERYTHING&amp;vid=01CRU&amp;lang=en_US&amp;offset=0&amp;query=any,contains,991001505069702656","Catalog Record")</f>
        <v>Catalog Record</v>
      </c>
      <c r="AV133" s="5" t="str">
        <f>HYPERLINK("http://www.worldcat.org/oclc/34080088","WorldCat Record")</f>
        <v>WorldCat Record</v>
      </c>
      <c r="AW133" s="2" t="s">
        <v>1795</v>
      </c>
      <c r="AX133" s="2" t="s">
        <v>1796</v>
      </c>
      <c r="AY133" s="2" t="s">
        <v>1797</v>
      </c>
      <c r="AZ133" s="2" t="s">
        <v>1797</v>
      </c>
      <c r="BA133" s="2" t="s">
        <v>1798</v>
      </c>
      <c r="BB133" s="2" t="s">
        <v>19</v>
      </c>
      <c r="BD133" s="2" t="s">
        <v>1799</v>
      </c>
      <c r="BE133" s="2" t="s">
        <v>1800</v>
      </c>
      <c r="BF133" s="2" t="s">
        <v>1801</v>
      </c>
    </row>
    <row r="134" spans="1:58" ht="50.25" customHeight="1" x14ac:dyDescent="0.25">
      <c r="A134" s="8" t="s">
        <v>5</v>
      </c>
      <c r="B134" s="1" t="s">
        <v>0</v>
      </c>
      <c r="C134" s="1" t="s">
        <v>1</v>
      </c>
      <c r="D134" s="1" t="s">
        <v>1802</v>
      </c>
      <c r="E134" s="1" t="s">
        <v>1803</v>
      </c>
      <c r="F134" s="1" t="s">
        <v>1804</v>
      </c>
      <c r="H134" s="2" t="s">
        <v>5</v>
      </c>
      <c r="I134" s="2" t="s">
        <v>6</v>
      </c>
      <c r="J134" s="2" t="s">
        <v>5</v>
      </c>
      <c r="K134" s="2" t="s">
        <v>90</v>
      </c>
      <c r="L134" s="2" t="s">
        <v>7</v>
      </c>
      <c r="M134" s="1" t="s">
        <v>1805</v>
      </c>
      <c r="N134" s="1" t="s">
        <v>1806</v>
      </c>
      <c r="O134" s="2" t="s">
        <v>141</v>
      </c>
      <c r="Q134" s="2" t="s">
        <v>10</v>
      </c>
      <c r="R134" s="2" t="s">
        <v>11</v>
      </c>
      <c r="T134" s="2" t="s">
        <v>12</v>
      </c>
      <c r="U134" s="3">
        <v>3</v>
      </c>
      <c r="V134" s="3">
        <v>3</v>
      </c>
      <c r="W134" s="4" t="s">
        <v>1807</v>
      </c>
      <c r="X134" s="4" t="s">
        <v>1807</v>
      </c>
      <c r="Y134" s="4" t="s">
        <v>1346</v>
      </c>
      <c r="Z134" s="4" t="s">
        <v>1346</v>
      </c>
      <c r="AA134" s="3">
        <v>208</v>
      </c>
      <c r="AB134" s="3">
        <v>169</v>
      </c>
      <c r="AC134" s="3">
        <v>269</v>
      </c>
      <c r="AD134" s="3">
        <v>2</v>
      </c>
      <c r="AE134" s="3">
        <v>2</v>
      </c>
      <c r="AF134" s="3">
        <v>9</v>
      </c>
      <c r="AG134" s="3">
        <v>14</v>
      </c>
      <c r="AH134" s="3">
        <v>2</v>
      </c>
      <c r="AI134" s="3">
        <v>4</v>
      </c>
      <c r="AJ134" s="3">
        <v>3</v>
      </c>
      <c r="AK134" s="3">
        <v>3</v>
      </c>
      <c r="AL134" s="3">
        <v>5</v>
      </c>
      <c r="AM134" s="3">
        <v>10</v>
      </c>
      <c r="AN134" s="3">
        <v>1</v>
      </c>
      <c r="AO134" s="3">
        <v>1</v>
      </c>
      <c r="AP134" s="3">
        <v>1</v>
      </c>
      <c r="AQ134" s="3">
        <v>1</v>
      </c>
      <c r="AR134" s="2" t="s">
        <v>5</v>
      </c>
      <c r="AS134" s="2" t="s">
        <v>5</v>
      </c>
      <c r="AU134" s="5" t="str">
        <f>HYPERLINK("https://creighton-primo.hosted.exlibrisgroup.com/primo-explore/search?tab=default_tab&amp;search_scope=EVERYTHING&amp;vid=01CRU&amp;lang=en_US&amp;offset=0&amp;query=any,contains,991000723839702656","Catalog Record")</f>
        <v>Catalog Record</v>
      </c>
      <c r="AV134" s="5" t="str">
        <f>HYPERLINK("http://www.worldcat.org/oclc/14188818","WorldCat Record")</f>
        <v>WorldCat Record</v>
      </c>
      <c r="AW134" s="2" t="s">
        <v>1808</v>
      </c>
      <c r="AX134" s="2" t="s">
        <v>1809</v>
      </c>
      <c r="AY134" s="2" t="s">
        <v>1810</v>
      </c>
      <c r="AZ134" s="2" t="s">
        <v>1810</v>
      </c>
      <c r="BA134" s="2" t="s">
        <v>1811</v>
      </c>
      <c r="BB134" s="2" t="s">
        <v>19</v>
      </c>
      <c r="BD134" s="2" t="s">
        <v>1812</v>
      </c>
      <c r="BE134" s="2" t="s">
        <v>1813</v>
      </c>
      <c r="BF134" s="2" t="s">
        <v>1814</v>
      </c>
    </row>
    <row r="135" spans="1:58" ht="50.25" customHeight="1" x14ac:dyDescent="0.25">
      <c r="A135" s="8" t="s">
        <v>5</v>
      </c>
      <c r="B135" s="1" t="s">
        <v>0</v>
      </c>
      <c r="C135" s="1" t="s">
        <v>1</v>
      </c>
      <c r="D135" s="1" t="s">
        <v>1815</v>
      </c>
      <c r="E135" s="1" t="s">
        <v>1816</v>
      </c>
      <c r="F135" s="1" t="s">
        <v>1817</v>
      </c>
      <c r="H135" s="2" t="s">
        <v>5</v>
      </c>
      <c r="I135" s="2" t="s">
        <v>6</v>
      </c>
      <c r="J135" s="2" t="s">
        <v>5</v>
      </c>
      <c r="K135" s="2" t="s">
        <v>90</v>
      </c>
      <c r="L135" s="2" t="s">
        <v>6</v>
      </c>
      <c r="N135" s="1" t="s">
        <v>1818</v>
      </c>
      <c r="O135" s="2" t="s">
        <v>213</v>
      </c>
      <c r="P135" s="1" t="s">
        <v>320</v>
      </c>
      <c r="Q135" s="2" t="s">
        <v>10</v>
      </c>
      <c r="R135" s="2" t="s">
        <v>405</v>
      </c>
      <c r="S135" s="1" t="s">
        <v>1819</v>
      </c>
      <c r="T135" s="2" t="s">
        <v>12</v>
      </c>
      <c r="U135" s="3">
        <v>21</v>
      </c>
      <c r="V135" s="3">
        <v>21</v>
      </c>
      <c r="W135" s="4" t="s">
        <v>1807</v>
      </c>
      <c r="X135" s="4" t="s">
        <v>1807</v>
      </c>
      <c r="Y135" s="4" t="s">
        <v>1820</v>
      </c>
      <c r="Z135" s="4" t="s">
        <v>1820</v>
      </c>
      <c r="AA135" s="3">
        <v>844</v>
      </c>
      <c r="AB135" s="3">
        <v>805</v>
      </c>
      <c r="AC135" s="3">
        <v>1887</v>
      </c>
      <c r="AD135" s="3">
        <v>4</v>
      </c>
      <c r="AE135" s="3">
        <v>9</v>
      </c>
      <c r="AF135" s="3">
        <v>26</v>
      </c>
      <c r="AG135" s="3">
        <v>49</v>
      </c>
      <c r="AH135" s="3">
        <v>9</v>
      </c>
      <c r="AI135" s="3">
        <v>21</v>
      </c>
      <c r="AJ135" s="3">
        <v>6</v>
      </c>
      <c r="AK135" s="3">
        <v>9</v>
      </c>
      <c r="AL135" s="3">
        <v>13</v>
      </c>
      <c r="AM135" s="3">
        <v>20</v>
      </c>
      <c r="AN135" s="3">
        <v>3</v>
      </c>
      <c r="AO135" s="3">
        <v>7</v>
      </c>
      <c r="AP135" s="3">
        <v>2</v>
      </c>
      <c r="AQ135" s="3">
        <v>2</v>
      </c>
      <c r="AR135" s="2" t="s">
        <v>5</v>
      </c>
      <c r="AS135" s="2" t="s">
        <v>90</v>
      </c>
      <c r="AT135" s="5" t="str">
        <f>HYPERLINK("http://catalog.hathitrust.org/Record/002617747","HathiTrust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HYPERLINK("https://creighton-primo.hosted.exlibrisgroup.com/primo-explore/search?tab=default_tab&amp;search_scope=EVERYTHING&amp;vid=01CRU&amp;lang=en_US&amp;offset=0&amp;query=any,contains,991001346729702656","Catalog Record")</f>
        <v>Catalog Record</v>
      </c>
      <c r="AV135" s="5" t="str">
        <f>HYPERLINK("http://www.worldcat.org/oclc/25967214","WorldCat Record")</f>
        <v>WorldCat Record</v>
      </c>
      <c r="AW135" s="2" t="s">
        <v>1821</v>
      </c>
      <c r="AX135" s="2" t="s">
        <v>1822</v>
      </c>
      <c r="AY135" s="2" t="s">
        <v>1823</v>
      </c>
      <c r="AZ135" s="2" t="s">
        <v>1823</v>
      </c>
      <c r="BA135" s="2" t="s">
        <v>1824</v>
      </c>
      <c r="BB135" s="2" t="s">
        <v>19</v>
      </c>
      <c r="BD135" s="2" t="s">
        <v>1825</v>
      </c>
      <c r="BE135" s="2" t="s">
        <v>1826</v>
      </c>
      <c r="BF135" s="2" t="s">
        <v>1827</v>
      </c>
    </row>
    <row r="136" spans="1:58" ht="50.25" customHeight="1" x14ac:dyDescent="0.25">
      <c r="A136" s="8" t="s">
        <v>5</v>
      </c>
      <c r="B136" s="1" t="s">
        <v>0</v>
      </c>
      <c r="C136" s="1" t="s">
        <v>1</v>
      </c>
      <c r="D136" s="1" t="s">
        <v>1828</v>
      </c>
      <c r="E136" s="1" t="s">
        <v>1829</v>
      </c>
      <c r="F136" s="1" t="s">
        <v>1830</v>
      </c>
      <c r="H136" s="2" t="s">
        <v>5</v>
      </c>
      <c r="I136" s="2" t="s">
        <v>6</v>
      </c>
      <c r="J136" s="2" t="s">
        <v>5</v>
      </c>
      <c r="K136" s="2" t="s">
        <v>90</v>
      </c>
      <c r="L136" s="2" t="s">
        <v>6</v>
      </c>
      <c r="N136" s="1" t="s">
        <v>1831</v>
      </c>
      <c r="O136" s="2" t="s">
        <v>349</v>
      </c>
      <c r="P136" s="1" t="s">
        <v>568</v>
      </c>
      <c r="Q136" s="2" t="s">
        <v>10</v>
      </c>
      <c r="R136" s="2" t="s">
        <v>405</v>
      </c>
      <c r="S136" s="1" t="s">
        <v>1819</v>
      </c>
      <c r="T136" s="2" t="s">
        <v>12</v>
      </c>
      <c r="U136" s="3">
        <v>4</v>
      </c>
      <c r="V136" s="3">
        <v>4</v>
      </c>
      <c r="W136" s="4" t="s">
        <v>1832</v>
      </c>
      <c r="X136" s="4" t="s">
        <v>1832</v>
      </c>
      <c r="Y136" s="4" t="s">
        <v>1833</v>
      </c>
      <c r="Z136" s="4" t="s">
        <v>1833</v>
      </c>
      <c r="AA136" s="3">
        <v>595</v>
      </c>
      <c r="AB136" s="3">
        <v>569</v>
      </c>
      <c r="AC136" s="3">
        <v>1887</v>
      </c>
      <c r="AD136" s="3">
        <v>2</v>
      </c>
      <c r="AE136" s="3">
        <v>9</v>
      </c>
      <c r="AF136" s="3">
        <v>19</v>
      </c>
      <c r="AG136" s="3">
        <v>49</v>
      </c>
      <c r="AH136" s="3">
        <v>8</v>
      </c>
      <c r="AI136" s="3">
        <v>21</v>
      </c>
      <c r="AJ136" s="3">
        <v>5</v>
      </c>
      <c r="AK136" s="3">
        <v>9</v>
      </c>
      <c r="AL136" s="3">
        <v>9</v>
      </c>
      <c r="AM136" s="3">
        <v>20</v>
      </c>
      <c r="AN136" s="3">
        <v>1</v>
      </c>
      <c r="AO136" s="3">
        <v>7</v>
      </c>
      <c r="AP136" s="3">
        <v>0</v>
      </c>
      <c r="AQ136" s="3">
        <v>2</v>
      </c>
      <c r="AR136" s="2" t="s">
        <v>5</v>
      </c>
      <c r="AS136" s="2" t="s">
        <v>90</v>
      </c>
      <c r="AT136" s="5" t="str">
        <f>HYPERLINK("http://catalog.hathitrust.org/Record/004169774","HathiTrust Record")</f>
        <v>HathiTrust Record</v>
      </c>
      <c r="AU136" s="5" t="str">
        <f>HYPERLINK("https://creighton-primo.hosted.exlibrisgroup.com/primo-explore/search?tab=default_tab&amp;search_scope=EVERYTHING&amp;vid=01CRU&amp;lang=en_US&amp;offset=0&amp;query=any,contains,991000386579702656","Catalog Record")</f>
        <v>Catalog Record</v>
      </c>
      <c r="AV136" s="5" t="str">
        <f>HYPERLINK("http://www.worldcat.org/oclc/45500393","WorldCat Record")</f>
        <v>WorldCat Record</v>
      </c>
      <c r="AW136" s="2" t="s">
        <v>1821</v>
      </c>
      <c r="AX136" s="2" t="s">
        <v>1834</v>
      </c>
      <c r="AY136" s="2" t="s">
        <v>1835</v>
      </c>
      <c r="AZ136" s="2" t="s">
        <v>1835</v>
      </c>
      <c r="BA136" s="2" t="s">
        <v>1836</v>
      </c>
      <c r="BB136" s="2" t="s">
        <v>19</v>
      </c>
      <c r="BD136" s="2" t="s">
        <v>1837</v>
      </c>
      <c r="BE136" s="2" t="s">
        <v>1838</v>
      </c>
      <c r="BF136" s="2" t="s">
        <v>1839</v>
      </c>
    </row>
    <row r="137" spans="1:58" ht="50.25" customHeight="1" x14ac:dyDescent="0.25">
      <c r="A137" s="8" t="s">
        <v>5</v>
      </c>
      <c r="B137" s="1" t="s">
        <v>0</v>
      </c>
      <c r="C137" s="1" t="s">
        <v>1</v>
      </c>
      <c r="D137" s="1" t="s">
        <v>1840</v>
      </c>
      <c r="E137" s="1" t="s">
        <v>1841</v>
      </c>
      <c r="F137" s="1" t="s">
        <v>1842</v>
      </c>
      <c r="H137" s="2" t="s">
        <v>5</v>
      </c>
      <c r="I137" s="2" t="s">
        <v>6</v>
      </c>
      <c r="J137" s="2" t="s">
        <v>5</v>
      </c>
      <c r="K137" s="2" t="s">
        <v>5</v>
      </c>
      <c r="L137" s="2" t="s">
        <v>7</v>
      </c>
      <c r="N137" s="1" t="s">
        <v>273</v>
      </c>
      <c r="O137" s="2" t="s">
        <v>474</v>
      </c>
      <c r="Q137" s="2" t="s">
        <v>10</v>
      </c>
      <c r="R137" s="2" t="s">
        <v>77</v>
      </c>
      <c r="S137" s="1" t="s">
        <v>1843</v>
      </c>
      <c r="T137" s="2" t="s">
        <v>12</v>
      </c>
      <c r="U137" s="3">
        <v>9</v>
      </c>
      <c r="V137" s="3">
        <v>9</v>
      </c>
      <c r="W137" s="4" t="s">
        <v>555</v>
      </c>
      <c r="X137" s="4" t="s">
        <v>555</v>
      </c>
      <c r="Y137" s="4" t="s">
        <v>1844</v>
      </c>
      <c r="Z137" s="4" t="s">
        <v>1844</v>
      </c>
      <c r="AA137" s="3">
        <v>156</v>
      </c>
      <c r="AB137" s="3">
        <v>80</v>
      </c>
      <c r="AC137" s="3">
        <v>80</v>
      </c>
      <c r="AD137" s="3">
        <v>1</v>
      </c>
      <c r="AE137" s="3">
        <v>1</v>
      </c>
      <c r="AF137" s="3">
        <v>1</v>
      </c>
      <c r="AG137" s="3">
        <v>1</v>
      </c>
      <c r="AH137" s="3">
        <v>0</v>
      </c>
      <c r="AI137" s="3">
        <v>0</v>
      </c>
      <c r="AJ137" s="3">
        <v>1</v>
      </c>
      <c r="AK137" s="3">
        <v>1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2" t="s">
        <v>5</v>
      </c>
      <c r="AS137" s="2" t="s">
        <v>5</v>
      </c>
      <c r="AU137" s="5" t="str">
        <f>HYPERLINK("https://creighton-primo.hosted.exlibrisgroup.com/primo-explore/search?tab=default_tab&amp;search_scope=EVERYTHING&amp;vid=01CRU&amp;lang=en_US&amp;offset=0&amp;query=any,contains,991000814949702656","Catalog Record")</f>
        <v>Catalog Record</v>
      </c>
      <c r="AV137" s="5" t="str">
        <f>HYPERLINK("http://www.worldcat.org/oclc/20320157","WorldCat Record")</f>
        <v>WorldCat Record</v>
      </c>
      <c r="AW137" s="2" t="s">
        <v>1845</v>
      </c>
      <c r="AX137" s="2" t="s">
        <v>1846</v>
      </c>
      <c r="AY137" s="2" t="s">
        <v>1847</v>
      </c>
      <c r="AZ137" s="2" t="s">
        <v>1847</v>
      </c>
      <c r="BA137" s="2" t="s">
        <v>1848</v>
      </c>
      <c r="BB137" s="2" t="s">
        <v>19</v>
      </c>
      <c r="BD137" s="2" t="s">
        <v>1849</v>
      </c>
      <c r="BE137" s="2" t="s">
        <v>1850</v>
      </c>
      <c r="BF137" s="2" t="s">
        <v>1851</v>
      </c>
    </row>
    <row r="138" spans="1:58" ht="50.25" customHeight="1" x14ac:dyDescent="0.25">
      <c r="A138" s="8" t="s">
        <v>5</v>
      </c>
      <c r="B138" s="1" t="s">
        <v>0</v>
      </c>
      <c r="C138" s="1" t="s">
        <v>1</v>
      </c>
      <c r="D138" s="1" t="s">
        <v>1852</v>
      </c>
      <c r="E138" s="1" t="s">
        <v>1853</v>
      </c>
      <c r="F138" s="1" t="s">
        <v>1854</v>
      </c>
      <c r="H138" s="2" t="s">
        <v>5</v>
      </c>
      <c r="I138" s="2" t="s">
        <v>6</v>
      </c>
      <c r="J138" s="2" t="s">
        <v>5</v>
      </c>
      <c r="K138" s="2" t="s">
        <v>5</v>
      </c>
      <c r="L138" s="2" t="s">
        <v>7</v>
      </c>
      <c r="N138" s="1" t="s">
        <v>1855</v>
      </c>
      <c r="O138" s="2" t="s">
        <v>274</v>
      </c>
      <c r="Q138" s="2" t="s">
        <v>10</v>
      </c>
      <c r="R138" s="2" t="s">
        <v>405</v>
      </c>
      <c r="T138" s="2" t="s">
        <v>12</v>
      </c>
      <c r="U138" s="3">
        <v>19</v>
      </c>
      <c r="V138" s="3">
        <v>19</v>
      </c>
      <c r="W138" s="4" t="s">
        <v>1856</v>
      </c>
      <c r="X138" s="4" t="s">
        <v>1856</v>
      </c>
      <c r="Y138" s="4" t="s">
        <v>1857</v>
      </c>
      <c r="Z138" s="4" t="s">
        <v>1857</v>
      </c>
      <c r="AA138" s="3">
        <v>96</v>
      </c>
      <c r="AB138" s="3">
        <v>85</v>
      </c>
      <c r="AC138" s="3">
        <v>87</v>
      </c>
      <c r="AD138" s="3">
        <v>2</v>
      </c>
      <c r="AE138" s="3">
        <v>2</v>
      </c>
      <c r="AF138" s="3">
        <v>6</v>
      </c>
      <c r="AG138" s="3">
        <v>6</v>
      </c>
      <c r="AH138" s="3">
        <v>1</v>
      </c>
      <c r="AI138" s="3">
        <v>1</v>
      </c>
      <c r="AJ138" s="3">
        <v>2</v>
      </c>
      <c r="AK138" s="3">
        <v>2</v>
      </c>
      <c r="AL138" s="3">
        <v>3</v>
      </c>
      <c r="AM138" s="3">
        <v>3</v>
      </c>
      <c r="AN138" s="3">
        <v>1</v>
      </c>
      <c r="AO138" s="3">
        <v>1</v>
      </c>
      <c r="AP138" s="3">
        <v>0</v>
      </c>
      <c r="AQ138" s="3">
        <v>0</v>
      </c>
      <c r="AR138" s="2" t="s">
        <v>5</v>
      </c>
      <c r="AS138" s="2" t="s">
        <v>90</v>
      </c>
      <c r="AT138" s="5" t="str">
        <f>HYPERLINK("http://catalog.hathitrust.org/Record/004520283","HathiTrust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HYPERLINK("https://creighton-primo.hosted.exlibrisgroup.com/primo-explore/search?tab=default_tab&amp;search_scope=EVERYTHING&amp;vid=01CRU&amp;lang=en_US&amp;offset=0&amp;query=any,contains,991001033389702656","Catalog Record")</f>
        <v>Catalog Record</v>
      </c>
      <c r="AV138" s="5" t="str">
        <f>HYPERLINK("http://www.worldcat.org/oclc/25981722","WorldCat Record")</f>
        <v>WorldCat Record</v>
      </c>
      <c r="AW138" s="2" t="s">
        <v>1858</v>
      </c>
      <c r="AX138" s="2" t="s">
        <v>1859</v>
      </c>
      <c r="AY138" s="2" t="s">
        <v>1860</v>
      </c>
      <c r="AZ138" s="2" t="s">
        <v>1860</v>
      </c>
      <c r="BA138" s="2" t="s">
        <v>1861</v>
      </c>
      <c r="BB138" s="2" t="s">
        <v>19</v>
      </c>
      <c r="BE138" s="2" t="s">
        <v>1862</v>
      </c>
      <c r="BF138" s="2" t="s">
        <v>1863</v>
      </c>
    </row>
    <row r="139" spans="1:58" ht="50.25" customHeight="1" x14ac:dyDescent="0.25">
      <c r="A139" s="8" t="s">
        <v>5</v>
      </c>
      <c r="B139" s="1" t="s">
        <v>0</v>
      </c>
      <c r="C139" s="1" t="s">
        <v>1</v>
      </c>
      <c r="D139" s="1" t="s">
        <v>1864</v>
      </c>
      <c r="E139" s="1" t="s">
        <v>1865</v>
      </c>
      <c r="F139" s="1" t="s">
        <v>1866</v>
      </c>
      <c r="H139" s="2" t="s">
        <v>5</v>
      </c>
      <c r="I139" s="2" t="s">
        <v>6</v>
      </c>
      <c r="J139" s="2" t="s">
        <v>5</v>
      </c>
      <c r="K139" s="2" t="s">
        <v>5</v>
      </c>
      <c r="L139" s="2" t="s">
        <v>7</v>
      </c>
      <c r="N139" s="1" t="s">
        <v>1867</v>
      </c>
      <c r="O139" s="2" t="s">
        <v>289</v>
      </c>
      <c r="Q139" s="2" t="s">
        <v>10</v>
      </c>
      <c r="R139" s="2" t="s">
        <v>11</v>
      </c>
      <c r="T139" s="2" t="s">
        <v>12</v>
      </c>
      <c r="U139" s="3">
        <v>4</v>
      </c>
      <c r="V139" s="3">
        <v>4</v>
      </c>
      <c r="W139" s="4" t="s">
        <v>1868</v>
      </c>
      <c r="X139" s="4" t="s">
        <v>1868</v>
      </c>
      <c r="Y139" s="4" t="s">
        <v>336</v>
      </c>
      <c r="Z139" s="4" t="s">
        <v>336</v>
      </c>
      <c r="AA139" s="3">
        <v>124</v>
      </c>
      <c r="AB139" s="3">
        <v>108</v>
      </c>
      <c r="AC139" s="3">
        <v>132</v>
      </c>
      <c r="AD139" s="3">
        <v>3</v>
      </c>
      <c r="AE139" s="3">
        <v>3</v>
      </c>
      <c r="AF139" s="3">
        <v>9</v>
      </c>
      <c r="AG139" s="3">
        <v>9</v>
      </c>
      <c r="AH139" s="3">
        <v>3</v>
      </c>
      <c r="AI139" s="3">
        <v>3</v>
      </c>
      <c r="AJ139" s="3">
        <v>2</v>
      </c>
      <c r="AK139" s="3">
        <v>2</v>
      </c>
      <c r="AL139" s="3">
        <v>2</v>
      </c>
      <c r="AM139" s="3">
        <v>2</v>
      </c>
      <c r="AN139" s="3">
        <v>2</v>
      </c>
      <c r="AO139" s="3">
        <v>2</v>
      </c>
      <c r="AP139" s="3">
        <v>2</v>
      </c>
      <c r="AQ139" s="3">
        <v>2</v>
      </c>
      <c r="AR139" s="2" t="s">
        <v>5</v>
      </c>
      <c r="AS139" s="2" t="s">
        <v>5</v>
      </c>
      <c r="AU139" s="5" t="str">
        <f>HYPERLINK("https://creighton-primo.hosted.exlibrisgroup.com/primo-explore/search?tab=default_tab&amp;search_scope=EVERYTHING&amp;vid=01CRU&amp;lang=en_US&amp;offset=0&amp;query=any,contains,991000370729702656","Catalog Record")</f>
        <v>Catalog Record</v>
      </c>
      <c r="AV139" s="5" t="str">
        <f>HYPERLINK("http://www.worldcat.org/oclc/40856821","WorldCat Record")</f>
        <v>WorldCat Record</v>
      </c>
      <c r="AW139" s="2" t="s">
        <v>1869</v>
      </c>
      <c r="AX139" s="2" t="s">
        <v>1870</v>
      </c>
      <c r="AY139" s="2" t="s">
        <v>1871</v>
      </c>
      <c r="AZ139" s="2" t="s">
        <v>1871</v>
      </c>
      <c r="BA139" s="2" t="s">
        <v>1872</v>
      </c>
      <c r="BB139" s="2" t="s">
        <v>19</v>
      </c>
      <c r="BD139" s="2" t="s">
        <v>1873</v>
      </c>
      <c r="BE139" s="2" t="s">
        <v>1874</v>
      </c>
      <c r="BF139" s="2" t="s">
        <v>1875</v>
      </c>
    </row>
    <row r="140" spans="1:58" ht="50.25" customHeight="1" x14ac:dyDescent="0.25">
      <c r="A140" s="8" t="s">
        <v>5</v>
      </c>
      <c r="B140" s="1" t="s">
        <v>0</v>
      </c>
      <c r="C140" s="1" t="s">
        <v>1</v>
      </c>
      <c r="D140" s="1" t="s">
        <v>1876</v>
      </c>
      <c r="E140" s="1" t="s">
        <v>1877</v>
      </c>
      <c r="F140" s="1" t="s">
        <v>1878</v>
      </c>
      <c r="H140" s="2" t="s">
        <v>5</v>
      </c>
      <c r="I140" s="2" t="s">
        <v>6</v>
      </c>
      <c r="J140" s="2" t="s">
        <v>5</v>
      </c>
      <c r="K140" s="2" t="s">
        <v>5</v>
      </c>
      <c r="L140" s="2" t="s">
        <v>7</v>
      </c>
      <c r="N140" s="1" t="s">
        <v>1879</v>
      </c>
      <c r="O140" s="2" t="s">
        <v>125</v>
      </c>
      <c r="Q140" s="2" t="s">
        <v>10</v>
      </c>
      <c r="R140" s="2" t="s">
        <v>11</v>
      </c>
      <c r="S140" s="1" t="s">
        <v>1880</v>
      </c>
      <c r="T140" s="2" t="s">
        <v>12</v>
      </c>
      <c r="U140" s="3">
        <v>2</v>
      </c>
      <c r="V140" s="3">
        <v>2</v>
      </c>
      <c r="W140" s="4" t="s">
        <v>1729</v>
      </c>
      <c r="X140" s="4" t="s">
        <v>1729</v>
      </c>
      <c r="Y140" s="4" t="s">
        <v>1152</v>
      </c>
      <c r="Z140" s="4" t="s">
        <v>1152</v>
      </c>
      <c r="AA140" s="3">
        <v>401</v>
      </c>
      <c r="AB140" s="3">
        <v>381</v>
      </c>
      <c r="AC140" s="3">
        <v>415</v>
      </c>
      <c r="AD140" s="3">
        <v>2</v>
      </c>
      <c r="AE140" s="3">
        <v>2</v>
      </c>
      <c r="AF140" s="3">
        <v>20</v>
      </c>
      <c r="AG140" s="3">
        <v>20</v>
      </c>
      <c r="AH140" s="3">
        <v>10</v>
      </c>
      <c r="AI140" s="3">
        <v>10</v>
      </c>
      <c r="AJ140" s="3">
        <v>4</v>
      </c>
      <c r="AK140" s="3">
        <v>4</v>
      </c>
      <c r="AL140" s="3">
        <v>11</v>
      </c>
      <c r="AM140" s="3">
        <v>11</v>
      </c>
      <c r="AN140" s="3">
        <v>0</v>
      </c>
      <c r="AO140" s="3">
        <v>0</v>
      </c>
      <c r="AP140" s="3">
        <v>0</v>
      </c>
      <c r="AQ140" s="3">
        <v>0</v>
      </c>
      <c r="AR140" s="2" t="s">
        <v>5</v>
      </c>
      <c r="AS140" s="2" t="s">
        <v>90</v>
      </c>
      <c r="AT140" s="5" t="str">
        <f>HYPERLINK("http://catalog.hathitrust.org/Record/003045746","HathiTrust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HYPERLINK("https://creighton-primo.hosted.exlibrisgroup.com/primo-explore/search?tab=default_tab&amp;search_scope=EVERYTHING&amp;vid=01CRU&amp;lang=en_US&amp;offset=0&amp;query=any,contains,991000258669702656","Catalog Record")</f>
        <v>Catalog Record</v>
      </c>
      <c r="AV140" s="5" t="str">
        <f>HYPERLINK("http://www.worldcat.org/oclc/33818400","WorldCat Record")</f>
        <v>WorldCat Record</v>
      </c>
      <c r="AW140" s="2" t="s">
        <v>1881</v>
      </c>
      <c r="AX140" s="2" t="s">
        <v>1882</v>
      </c>
      <c r="AY140" s="2" t="s">
        <v>1883</v>
      </c>
      <c r="AZ140" s="2" t="s">
        <v>1883</v>
      </c>
      <c r="BA140" s="2" t="s">
        <v>1884</v>
      </c>
      <c r="BB140" s="2" t="s">
        <v>19</v>
      </c>
      <c r="BD140" s="2" t="s">
        <v>1885</v>
      </c>
      <c r="BE140" s="2" t="s">
        <v>1886</v>
      </c>
      <c r="BF140" s="2" t="s">
        <v>1887</v>
      </c>
    </row>
    <row r="141" spans="1:58" ht="50.25" customHeight="1" x14ac:dyDescent="0.25">
      <c r="A141" s="8" t="s">
        <v>5</v>
      </c>
      <c r="B141" s="1" t="s">
        <v>0</v>
      </c>
      <c r="C141" s="1" t="s">
        <v>1</v>
      </c>
      <c r="D141" s="1" t="s">
        <v>1888</v>
      </c>
      <c r="E141" s="1" t="s">
        <v>1889</v>
      </c>
      <c r="F141" s="1" t="s">
        <v>1890</v>
      </c>
      <c r="H141" s="2" t="s">
        <v>5</v>
      </c>
      <c r="I141" s="2" t="s">
        <v>6</v>
      </c>
      <c r="J141" s="2" t="s">
        <v>5</v>
      </c>
      <c r="K141" s="2" t="s">
        <v>5</v>
      </c>
      <c r="L141" s="2" t="s">
        <v>1891</v>
      </c>
      <c r="M141" s="1" t="s">
        <v>1892</v>
      </c>
      <c r="N141" s="1" t="s">
        <v>1893</v>
      </c>
      <c r="O141" s="2" t="s">
        <v>228</v>
      </c>
      <c r="Q141" s="2" t="s">
        <v>10</v>
      </c>
      <c r="R141" s="2" t="s">
        <v>184</v>
      </c>
      <c r="T141" s="2" t="s">
        <v>12</v>
      </c>
      <c r="U141" s="3">
        <v>14</v>
      </c>
      <c r="V141" s="3">
        <v>14</v>
      </c>
      <c r="W141" s="4" t="s">
        <v>1894</v>
      </c>
      <c r="X141" s="4" t="s">
        <v>1894</v>
      </c>
      <c r="Y141" s="4" t="s">
        <v>1895</v>
      </c>
      <c r="Z141" s="4" t="s">
        <v>1895</v>
      </c>
      <c r="AA141" s="3">
        <v>487</v>
      </c>
      <c r="AB141" s="3">
        <v>441</v>
      </c>
      <c r="AC141" s="3">
        <v>1435</v>
      </c>
      <c r="AD141" s="3">
        <v>1</v>
      </c>
      <c r="AE141" s="3">
        <v>15</v>
      </c>
      <c r="AF141" s="3">
        <v>16</v>
      </c>
      <c r="AG141" s="3">
        <v>53</v>
      </c>
      <c r="AH141" s="3">
        <v>5</v>
      </c>
      <c r="AI141" s="3">
        <v>16</v>
      </c>
      <c r="AJ141" s="3">
        <v>3</v>
      </c>
      <c r="AK141" s="3">
        <v>11</v>
      </c>
      <c r="AL141" s="3">
        <v>10</v>
      </c>
      <c r="AM141" s="3">
        <v>18</v>
      </c>
      <c r="AN141" s="3">
        <v>0</v>
      </c>
      <c r="AO141" s="3">
        <v>13</v>
      </c>
      <c r="AP141" s="3">
        <v>2</v>
      </c>
      <c r="AQ141" s="3">
        <v>4</v>
      </c>
      <c r="AR141" s="2" t="s">
        <v>5</v>
      </c>
      <c r="AS141" s="2" t="s">
        <v>90</v>
      </c>
      <c r="AT141" s="5" t="str">
        <f>HYPERLINK("http://catalog.hathitrust.org/Record/000942368","HathiTrust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HYPERLINK("https://creighton-primo.hosted.exlibrisgroup.com/primo-explore/search?tab=default_tab&amp;search_scope=EVERYTHING&amp;vid=01CRU&amp;lang=en_US&amp;offset=0&amp;query=any,contains,991001304999702656","Catalog Record")</f>
        <v>Catalog Record</v>
      </c>
      <c r="AV141" s="5" t="str">
        <f>HYPERLINK("http://www.worldcat.org/oclc/18441515","WorldCat Record")</f>
        <v>WorldCat Record</v>
      </c>
      <c r="AW141" s="2" t="s">
        <v>1896</v>
      </c>
      <c r="AX141" s="2" t="s">
        <v>1897</v>
      </c>
      <c r="AY141" s="2" t="s">
        <v>1898</v>
      </c>
      <c r="AZ141" s="2" t="s">
        <v>1898</v>
      </c>
      <c r="BA141" s="2" t="s">
        <v>1899</v>
      </c>
      <c r="BB141" s="2" t="s">
        <v>19</v>
      </c>
      <c r="BD141" s="2" t="s">
        <v>1900</v>
      </c>
      <c r="BE141" s="2" t="s">
        <v>1901</v>
      </c>
      <c r="BF141" s="2" t="s">
        <v>1902</v>
      </c>
    </row>
    <row r="142" spans="1:58" ht="50.25" customHeight="1" x14ac:dyDescent="0.25">
      <c r="A142" s="8" t="s">
        <v>5</v>
      </c>
      <c r="B142" s="1" t="s">
        <v>0</v>
      </c>
      <c r="C142" s="1" t="s">
        <v>1</v>
      </c>
      <c r="D142" s="1" t="s">
        <v>1903</v>
      </c>
      <c r="E142" s="1" t="s">
        <v>1904</v>
      </c>
      <c r="F142" s="1" t="s">
        <v>1905</v>
      </c>
      <c r="H142" s="2" t="s">
        <v>5</v>
      </c>
      <c r="I142" s="2" t="s">
        <v>6</v>
      </c>
      <c r="J142" s="2" t="s">
        <v>5</v>
      </c>
      <c r="K142" s="2" t="s">
        <v>5</v>
      </c>
      <c r="L142" s="2" t="s">
        <v>7</v>
      </c>
      <c r="N142" s="1" t="s">
        <v>1906</v>
      </c>
      <c r="O142" s="2" t="s">
        <v>259</v>
      </c>
      <c r="Q142" s="2" t="s">
        <v>10</v>
      </c>
      <c r="R142" s="2" t="s">
        <v>29</v>
      </c>
      <c r="T142" s="2" t="s">
        <v>12</v>
      </c>
      <c r="U142" s="3">
        <v>14</v>
      </c>
      <c r="V142" s="3">
        <v>14</v>
      </c>
      <c r="W142" s="4" t="s">
        <v>1742</v>
      </c>
      <c r="X142" s="4" t="s">
        <v>1742</v>
      </c>
      <c r="Y142" s="4" t="s">
        <v>1907</v>
      </c>
      <c r="Z142" s="4" t="s">
        <v>1907</v>
      </c>
      <c r="AA142" s="3">
        <v>254</v>
      </c>
      <c r="AB142" s="3">
        <v>253</v>
      </c>
      <c r="AC142" s="3">
        <v>255</v>
      </c>
      <c r="AD142" s="3">
        <v>3</v>
      </c>
      <c r="AE142" s="3">
        <v>3</v>
      </c>
      <c r="AF142" s="3">
        <v>15</v>
      </c>
      <c r="AG142" s="3">
        <v>15</v>
      </c>
      <c r="AH142" s="3">
        <v>5</v>
      </c>
      <c r="AI142" s="3">
        <v>5</v>
      </c>
      <c r="AJ142" s="3">
        <v>5</v>
      </c>
      <c r="AK142" s="3">
        <v>5</v>
      </c>
      <c r="AL142" s="3">
        <v>8</v>
      </c>
      <c r="AM142" s="3">
        <v>8</v>
      </c>
      <c r="AN142" s="3">
        <v>2</v>
      </c>
      <c r="AO142" s="3">
        <v>2</v>
      </c>
      <c r="AP142" s="3">
        <v>0</v>
      </c>
      <c r="AQ142" s="3">
        <v>0</v>
      </c>
      <c r="AR142" s="2" t="s">
        <v>5</v>
      </c>
      <c r="AS142" s="2" t="s">
        <v>90</v>
      </c>
      <c r="AT142" s="5" t="str">
        <f>HYPERLINK("http://catalog.hathitrust.org/Record/003082148","HathiTrust Record")</f>
        <v>HathiTrust Record</v>
      </c>
      <c r="AU142" s="5" t="str">
        <f>HYPERLINK("https://creighton-primo.hosted.exlibrisgroup.com/primo-explore/search?tab=default_tab&amp;search_scope=EVERYTHING&amp;vid=01CRU&amp;lang=en_US&amp;offset=0&amp;query=any,contains,991001499909702656","Catalog Record")</f>
        <v>Catalog Record</v>
      </c>
      <c r="AV142" s="5" t="str">
        <f>HYPERLINK("http://www.worldcat.org/oclc/32114878","WorldCat Record")</f>
        <v>WorldCat Record</v>
      </c>
      <c r="AW142" s="2" t="s">
        <v>1908</v>
      </c>
      <c r="AX142" s="2" t="s">
        <v>1909</v>
      </c>
      <c r="AY142" s="2" t="s">
        <v>1910</v>
      </c>
      <c r="AZ142" s="2" t="s">
        <v>1910</v>
      </c>
      <c r="BA142" s="2" t="s">
        <v>1911</v>
      </c>
      <c r="BB142" s="2" t="s">
        <v>19</v>
      </c>
      <c r="BD142" s="2" t="s">
        <v>1912</v>
      </c>
      <c r="BE142" s="2" t="s">
        <v>1913</v>
      </c>
      <c r="BF142" s="2" t="s">
        <v>1914</v>
      </c>
    </row>
    <row r="143" spans="1:58" ht="50.25" customHeight="1" x14ac:dyDescent="0.25">
      <c r="A143" s="8" t="s">
        <v>5</v>
      </c>
      <c r="B143" s="1" t="s">
        <v>0</v>
      </c>
      <c r="C143" s="1" t="s">
        <v>1</v>
      </c>
      <c r="D143" s="1" t="s">
        <v>1915</v>
      </c>
      <c r="E143" s="1" t="s">
        <v>1916</v>
      </c>
      <c r="F143" s="1" t="s">
        <v>1917</v>
      </c>
      <c r="H143" s="2" t="s">
        <v>5</v>
      </c>
      <c r="I143" s="2" t="s">
        <v>6</v>
      </c>
      <c r="J143" s="2" t="s">
        <v>5</v>
      </c>
      <c r="K143" s="2" t="s">
        <v>5</v>
      </c>
      <c r="L143" s="2" t="s">
        <v>7</v>
      </c>
      <c r="N143" s="1" t="s">
        <v>1918</v>
      </c>
      <c r="O143" s="2" t="s">
        <v>489</v>
      </c>
      <c r="Q143" s="2" t="s">
        <v>10</v>
      </c>
      <c r="R143" s="2" t="s">
        <v>77</v>
      </c>
      <c r="T143" s="2" t="s">
        <v>12</v>
      </c>
      <c r="U143" s="3">
        <v>0</v>
      </c>
      <c r="V143" s="3">
        <v>0</v>
      </c>
      <c r="W143" s="4" t="s">
        <v>291</v>
      </c>
      <c r="X143" s="4" t="s">
        <v>291</v>
      </c>
      <c r="Y143" s="4" t="s">
        <v>292</v>
      </c>
      <c r="Z143" s="4" t="s">
        <v>292</v>
      </c>
      <c r="AA143" s="3">
        <v>128</v>
      </c>
      <c r="AB143" s="3">
        <v>67</v>
      </c>
      <c r="AC143" s="3">
        <v>96</v>
      </c>
      <c r="AD143" s="3">
        <v>2</v>
      </c>
      <c r="AE143" s="3">
        <v>2</v>
      </c>
      <c r="AF143" s="3">
        <v>2</v>
      </c>
      <c r="AG143" s="3">
        <v>2</v>
      </c>
      <c r="AH143" s="3">
        <v>0</v>
      </c>
      <c r="AI143" s="3">
        <v>0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3">
        <v>1</v>
      </c>
      <c r="AP143" s="3">
        <v>0</v>
      </c>
      <c r="AQ143" s="3">
        <v>0</v>
      </c>
      <c r="AR143" s="2" t="s">
        <v>5</v>
      </c>
      <c r="AS143" s="2" t="s">
        <v>5</v>
      </c>
      <c r="AU143" s="5" t="str">
        <f>HYPERLINK("https://creighton-primo.hosted.exlibrisgroup.com/primo-explore/search?tab=default_tab&amp;search_scope=EVERYTHING&amp;vid=01CRU&amp;lang=en_US&amp;offset=0&amp;query=any,contains,991000358979702656","Catalog Record")</f>
        <v>Catalog Record</v>
      </c>
      <c r="AV143" s="5" t="str">
        <f>HYPERLINK("http://www.worldcat.org/oclc/43115141","WorldCat Record")</f>
        <v>WorldCat Record</v>
      </c>
      <c r="AW143" s="2" t="s">
        <v>1919</v>
      </c>
      <c r="AX143" s="2" t="s">
        <v>1920</v>
      </c>
      <c r="AY143" s="2" t="s">
        <v>1921</v>
      </c>
      <c r="AZ143" s="2" t="s">
        <v>1921</v>
      </c>
      <c r="BA143" s="2" t="s">
        <v>1922</v>
      </c>
      <c r="BB143" s="2" t="s">
        <v>19</v>
      </c>
      <c r="BD143" s="2" t="s">
        <v>1923</v>
      </c>
      <c r="BE143" s="2" t="s">
        <v>1924</v>
      </c>
      <c r="BF143" s="2" t="s">
        <v>1925</v>
      </c>
    </row>
    <row r="144" spans="1:58" ht="50.25" customHeight="1" x14ac:dyDescent="0.25">
      <c r="A144" s="8" t="s">
        <v>5</v>
      </c>
      <c r="B144" s="1" t="s">
        <v>0</v>
      </c>
      <c r="C144" s="1" t="s">
        <v>1</v>
      </c>
      <c r="D144" s="1" t="s">
        <v>1926</v>
      </c>
      <c r="E144" s="1" t="s">
        <v>1927</v>
      </c>
      <c r="F144" s="1" t="s">
        <v>1928</v>
      </c>
      <c r="H144" s="2" t="s">
        <v>5</v>
      </c>
      <c r="I144" s="2" t="s">
        <v>6</v>
      </c>
      <c r="J144" s="2" t="s">
        <v>5</v>
      </c>
      <c r="K144" s="2" t="s">
        <v>5</v>
      </c>
      <c r="L144" s="2" t="s">
        <v>7</v>
      </c>
      <c r="M144" s="1" t="s">
        <v>1929</v>
      </c>
      <c r="N144" s="1" t="s">
        <v>1930</v>
      </c>
      <c r="O144" s="2" t="s">
        <v>289</v>
      </c>
      <c r="Q144" s="2" t="s">
        <v>10</v>
      </c>
      <c r="R144" s="2" t="s">
        <v>61</v>
      </c>
      <c r="T144" s="2" t="s">
        <v>12</v>
      </c>
      <c r="U144" s="3">
        <v>6</v>
      </c>
      <c r="V144" s="3">
        <v>6</v>
      </c>
      <c r="W144" s="4" t="s">
        <v>1793</v>
      </c>
      <c r="X144" s="4" t="s">
        <v>1793</v>
      </c>
      <c r="Y144" s="4" t="s">
        <v>1931</v>
      </c>
      <c r="Z144" s="4" t="s">
        <v>1931</v>
      </c>
      <c r="AA144" s="3">
        <v>185</v>
      </c>
      <c r="AB144" s="3">
        <v>178</v>
      </c>
      <c r="AC144" s="3">
        <v>192</v>
      </c>
      <c r="AD144" s="3">
        <v>2</v>
      </c>
      <c r="AE144" s="3">
        <v>2</v>
      </c>
      <c r="AF144" s="3">
        <v>10</v>
      </c>
      <c r="AG144" s="3">
        <v>10</v>
      </c>
      <c r="AH144" s="3">
        <v>2</v>
      </c>
      <c r="AI144" s="3">
        <v>2</v>
      </c>
      <c r="AJ144" s="3">
        <v>5</v>
      </c>
      <c r="AK144" s="3">
        <v>5</v>
      </c>
      <c r="AL144" s="3">
        <v>4</v>
      </c>
      <c r="AM144" s="3">
        <v>4</v>
      </c>
      <c r="AN144" s="3">
        <v>1</v>
      </c>
      <c r="AO144" s="3">
        <v>1</v>
      </c>
      <c r="AP144" s="3">
        <v>0</v>
      </c>
      <c r="AQ144" s="3">
        <v>0</v>
      </c>
      <c r="AR144" s="2" t="s">
        <v>5</v>
      </c>
      <c r="AS144" s="2" t="s">
        <v>90</v>
      </c>
      <c r="AT144" s="5" t="str">
        <f>HYPERLINK("http://catalog.hathitrust.org/Record/008706855","HathiTrust Record")</f>
        <v>HathiTrust Record</v>
      </c>
      <c r="AU144" s="5" t="str">
        <f>HYPERLINK("https://creighton-primo.hosted.exlibrisgroup.com/primo-explore/search?tab=default_tab&amp;search_scope=EVERYTHING&amp;vid=01CRU&amp;lang=en_US&amp;offset=0&amp;query=any,contains,991000439179702656","Catalog Record")</f>
        <v>Catalog Record</v>
      </c>
      <c r="AV144" s="5" t="str">
        <f>HYPERLINK("http://www.worldcat.org/oclc/39275796","WorldCat Record")</f>
        <v>WorldCat Record</v>
      </c>
      <c r="AW144" s="2" t="s">
        <v>1932</v>
      </c>
      <c r="AX144" s="2" t="s">
        <v>1933</v>
      </c>
      <c r="AY144" s="2" t="s">
        <v>1934</v>
      </c>
      <c r="AZ144" s="2" t="s">
        <v>1934</v>
      </c>
      <c r="BA144" s="2" t="s">
        <v>1935</v>
      </c>
      <c r="BB144" s="2" t="s">
        <v>19</v>
      </c>
      <c r="BD144" s="2" t="s">
        <v>1936</v>
      </c>
      <c r="BE144" s="2" t="s">
        <v>1937</v>
      </c>
      <c r="BF144" s="2" t="s">
        <v>1938</v>
      </c>
    </row>
    <row r="145" spans="1:58" ht="50.25" customHeight="1" x14ac:dyDescent="0.25">
      <c r="A145" s="8" t="s">
        <v>5</v>
      </c>
      <c r="B145" s="1" t="s">
        <v>0</v>
      </c>
      <c r="C145" s="1" t="s">
        <v>1</v>
      </c>
      <c r="D145" s="1" t="s">
        <v>1939</v>
      </c>
      <c r="E145" s="1" t="s">
        <v>1940</v>
      </c>
      <c r="F145" s="1" t="s">
        <v>1941</v>
      </c>
      <c r="H145" s="2" t="s">
        <v>5</v>
      </c>
      <c r="I145" s="2" t="s">
        <v>6</v>
      </c>
      <c r="J145" s="2" t="s">
        <v>90</v>
      </c>
      <c r="K145" s="2" t="s">
        <v>5</v>
      </c>
      <c r="L145" s="2" t="s">
        <v>6</v>
      </c>
      <c r="N145" s="1" t="s">
        <v>1942</v>
      </c>
      <c r="O145" s="2" t="s">
        <v>109</v>
      </c>
      <c r="Q145" s="2" t="s">
        <v>10</v>
      </c>
      <c r="R145" s="2" t="s">
        <v>405</v>
      </c>
      <c r="T145" s="2" t="s">
        <v>12</v>
      </c>
      <c r="U145" s="3">
        <v>1</v>
      </c>
      <c r="V145" s="3">
        <v>2</v>
      </c>
      <c r="W145" s="4" t="s">
        <v>1702</v>
      </c>
      <c r="X145" s="4" t="s">
        <v>1943</v>
      </c>
      <c r="Y145" s="4" t="s">
        <v>1944</v>
      </c>
      <c r="Z145" s="4" t="s">
        <v>1943</v>
      </c>
      <c r="AA145" s="3">
        <v>394</v>
      </c>
      <c r="AB145" s="3">
        <v>351</v>
      </c>
      <c r="AC145" s="3">
        <v>1034</v>
      </c>
      <c r="AD145" s="3">
        <v>4</v>
      </c>
      <c r="AE145" s="3">
        <v>14</v>
      </c>
      <c r="AF145" s="3">
        <v>16</v>
      </c>
      <c r="AG145" s="3">
        <v>39</v>
      </c>
      <c r="AH145" s="3">
        <v>2</v>
      </c>
      <c r="AI145" s="3">
        <v>10</v>
      </c>
      <c r="AJ145" s="3">
        <v>5</v>
      </c>
      <c r="AK145" s="3">
        <v>8</v>
      </c>
      <c r="AL145" s="3">
        <v>9</v>
      </c>
      <c r="AM145" s="3">
        <v>14</v>
      </c>
      <c r="AN145" s="3">
        <v>2</v>
      </c>
      <c r="AO145" s="3">
        <v>12</v>
      </c>
      <c r="AP145" s="3">
        <v>0</v>
      </c>
      <c r="AQ145" s="3">
        <v>1</v>
      </c>
      <c r="AR145" s="2" t="s">
        <v>5</v>
      </c>
      <c r="AS145" s="2" t="s">
        <v>90</v>
      </c>
      <c r="AT145" s="5" t="str">
        <f>HYPERLINK("http://catalog.hathitrust.org/Record/004295027","HathiTrust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HYPERLINK("https://creighton-primo.hosted.exlibrisgroup.com/primo-explore/search?tab=default_tab&amp;search_scope=EVERYTHING&amp;vid=01CRU&amp;lang=en_US&amp;offset=0&amp;query=any,contains,991001727399702656","Catalog Record")</f>
        <v>Catalog Record</v>
      </c>
      <c r="AV145" s="5" t="str">
        <f>HYPERLINK("http://www.worldcat.org/oclc/50606378","WorldCat Record")</f>
        <v>WorldCat Record</v>
      </c>
      <c r="AW145" s="2" t="s">
        <v>1945</v>
      </c>
      <c r="AX145" s="2" t="s">
        <v>1946</v>
      </c>
      <c r="AY145" s="2" t="s">
        <v>1947</v>
      </c>
      <c r="AZ145" s="2" t="s">
        <v>1947</v>
      </c>
      <c r="BA145" s="2" t="s">
        <v>1948</v>
      </c>
      <c r="BB145" s="2" t="s">
        <v>19</v>
      </c>
      <c r="BD145" s="2" t="s">
        <v>1949</v>
      </c>
      <c r="BE145" s="2" t="s">
        <v>1950</v>
      </c>
      <c r="BF145" s="2" t="s">
        <v>1951</v>
      </c>
    </row>
    <row r="146" spans="1:58" ht="50.25" customHeight="1" x14ac:dyDescent="0.25">
      <c r="A146" s="8" t="s">
        <v>5</v>
      </c>
      <c r="B146" s="1" t="s">
        <v>0</v>
      </c>
      <c r="C146" s="1" t="s">
        <v>1</v>
      </c>
      <c r="D146" s="1" t="s">
        <v>1952</v>
      </c>
      <c r="E146" s="1" t="s">
        <v>1953</v>
      </c>
      <c r="F146" s="1" t="s">
        <v>1954</v>
      </c>
      <c r="H146" s="2" t="s">
        <v>5</v>
      </c>
      <c r="I146" s="2" t="s">
        <v>6</v>
      </c>
      <c r="J146" s="2" t="s">
        <v>5</v>
      </c>
      <c r="K146" s="2" t="s">
        <v>90</v>
      </c>
      <c r="L146" s="2" t="s">
        <v>7</v>
      </c>
      <c r="N146" s="1" t="s">
        <v>1955</v>
      </c>
      <c r="O146" s="2" t="s">
        <v>60</v>
      </c>
      <c r="P146" s="1" t="s">
        <v>404</v>
      </c>
      <c r="Q146" s="2" t="s">
        <v>10</v>
      </c>
      <c r="R146" s="2" t="s">
        <v>61</v>
      </c>
      <c r="T146" s="2" t="s">
        <v>12</v>
      </c>
      <c r="U146" s="3">
        <v>1</v>
      </c>
      <c r="V146" s="3">
        <v>1</v>
      </c>
      <c r="W146" s="4" t="s">
        <v>1956</v>
      </c>
      <c r="X146" s="4" t="s">
        <v>1956</v>
      </c>
      <c r="Y146" s="4" t="s">
        <v>1957</v>
      </c>
      <c r="Z146" s="4" t="s">
        <v>1957</v>
      </c>
      <c r="AA146" s="3">
        <v>158</v>
      </c>
      <c r="AB146" s="3">
        <v>111</v>
      </c>
      <c r="AC146" s="3">
        <v>595</v>
      </c>
      <c r="AD146" s="3">
        <v>1</v>
      </c>
      <c r="AE146" s="3">
        <v>4</v>
      </c>
      <c r="AF146" s="3">
        <v>6</v>
      </c>
      <c r="AG146" s="3">
        <v>25</v>
      </c>
      <c r="AH146" s="3">
        <v>3</v>
      </c>
      <c r="AI146" s="3">
        <v>13</v>
      </c>
      <c r="AJ146" s="3">
        <v>2</v>
      </c>
      <c r="AK146" s="3">
        <v>5</v>
      </c>
      <c r="AL146" s="3">
        <v>2</v>
      </c>
      <c r="AM146" s="3">
        <v>11</v>
      </c>
      <c r="AN146" s="3">
        <v>0</v>
      </c>
      <c r="AO146" s="3">
        <v>3</v>
      </c>
      <c r="AP146" s="3">
        <v>0</v>
      </c>
      <c r="AQ146" s="3">
        <v>0</v>
      </c>
      <c r="AR146" s="2" t="s">
        <v>5</v>
      </c>
      <c r="AS146" s="2" t="s">
        <v>90</v>
      </c>
      <c r="AT146" s="5" t="str">
        <f>HYPERLINK("http://catalog.hathitrust.org/Record/004367482","HathiTrust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HYPERLINK("https://creighton-primo.hosted.exlibrisgroup.com/primo-explore/search?tab=default_tab&amp;search_scope=EVERYTHING&amp;vid=01CRU&amp;lang=en_US&amp;offset=0&amp;query=any,contains,991000476769702656","Catalog Record")</f>
        <v>Catalog Record</v>
      </c>
      <c r="AV146" s="5" t="str">
        <f>HYPERLINK("http://www.worldcat.org/oclc/53224828","WorldCat Record")</f>
        <v>WorldCat Record</v>
      </c>
      <c r="AW146" s="2" t="s">
        <v>1677</v>
      </c>
      <c r="AX146" s="2" t="s">
        <v>1958</v>
      </c>
      <c r="AY146" s="2" t="s">
        <v>1959</v>
      </c>
      <c r="AZ146" s="2" t="s">
        <v>1959</v>
      </c>
      <c r="BA146" s="2" t="s">
        <v>1960</v>
      </c>
      <c r="BB146" s="2" t="s">
        <v>19</v>
      </c>
      <c r="BD146" s="2" t="s">
        <v>1961</v>
      </c>
      <c r="BE146" s="2" t="s">
        <v>1962</v>
      </c>
      <c r="BF146" s="2" t="s">
        <v>1963</v>
      </c>
    </row>
    <row r="147" spans="1:58" ht="50.25" customHeight="1" x14ac:dyDescent="0.25">
      <c r="A147" s="8" t="s">
        <v>5</v>
      </c>
      <c r="B147" s="1" t="s">
        <v>0</v>
      </c>
      <c r="C147" s="1" t="s">
        <v>1</v>
      </c>
      <c r="D147" s="1" t="s">
        <v>1964</v>
      </c>
      <c r="E147" s="1" t="s">
        <v>1965</v>
      </c>
      <c r="F147" s="1" t="s">
        <v>1966</v>
      </c>
      <c r="H147" s="2" t="s">
        <v>5</v>
      </c>
      <c r="I147" s="2" t="s">
        <v>6</v>
      </c>
      <c r="J147" s="2" t="s">
        <v>5</v>
      </c>
      <c r="K147" s="2" t="s">
        <v>5</v>
      </c>
      <c r="L147" s="2" t="s">
        <v>6</v>
      </c>
      <c r="M147" s="1" t="s">
        <v>1967</v>
      </c>
      <c r="N147" s="1" t="s">
        <v>1968</v>
      </c>
      <c r="O147" s="2" t="s">
        <v>389</v>
      </c>
      <c r="Q147" s="2" t="s">
        <v>10</v>
      </c>
      <c r="R147" s="2" t="s">
        <v>11</v>
      </c>
      <c r="S147" s="1" t="s">
        <v>1969</v>
      </c>
      <c r="T147" s="2" t="s">
        <v>12</v>
      </c>
      <c r="U147" s="3">
        <v>0</v>
      </c>
      <c r="V147" s="3">
        <v>0</v>
      </c>
      <c r="W147" s="4" t="s">
        <v>1702</v>
      </c>
      <c r="X147" s="4" t="s">
        <v>1702</v>
      </c>
      <c r="Y147" s="4" t="s">
        <v>1702</v>
      </c>
      <c r="Z147" s="4" t="s">
        <v>1702</v>
      </c>
      <c r="AA147" s="3">
        <v>513</v>
      </c>
      <c r="AB147" s="3">
        <v>461</v>
      </c>
      <c r="AC147" s="3">
        <v>1237</v>
      </c>
      <c r="AD147" s="3">
        <v>6</v>
      </c>
      <c r="AE147" s="3">
        <v>18</v>
      </c>
      <c r="AF147" s="3">
        <v>31</v>
      </c>
      <c r="AG147" s="3">
        <v>58</v>
      </c>
      <c r="AH147" s="3">
        <v>9</v>
      </c>
      <c r="AI147" s="3">
        <v>19</v>
      </c>
      <c r="AJ147" s="3">
        <v>7</v>
      </c>
      <c r="AK147" s="3">
        <v>10</v>
      </c>
      <c r="AL147" s="3">
        <v>14</v>
      </c>
      <c r="AM147" s="3">
        <v>19</v>
      </c>
      <c r="AN147" s="3">
        <v>4</v>
      </c>
      <c r="AO147" s="3">
        <v>15</v>
      </c>
      <c r="AP147" s="3">
        <v>3</v>
      </c>
      <c r="AQ147" s="3">
        <v>4</v>
      </c>
      <c r="AR147" s="2" t="s">
        <v>5</v>
      </c>
      <c r="AS147" s="2" t="s">
        <v>5</v>
      </c>
      <c r="AU147" s="5" t="str">
        <f>HYPERLINK("https://creighton-primo.hosted.exlibrisgroup.com/primo-explore/search?tab=default_tab&amp;search_scope=EVERYTHING&amp;vid=01CRU&amp;lang=en_US&amp;offset=0&amp;query=any,contains,991000373049702656","Catalog Record")</f>
        <v>Catalog Record</v>
      </c>
      <c r="AV147" s="5" t="str">
        <f>HYPERLINK("http://www.worldcat.org/oclc/50479220","WorldCat Record")</f>
        <v>WorldCat Record</v>
      </c>
      <c r="AW147" s="2" t="s">
        <v>1970</v>
      </c>
      <c r="AX147" s="2" t="s">
        <v>1971</v>
      </c>
      <c r="AY147" s="2" t="s">
        <v>1972</v>
      </c>
      <c r="AZ147" s="2" t="s">
        <v>1972</v>
      </c>
      <c r="BA147" s="2" t="s">
        <v>1973</v>
      </c>
      <c r="BB147" s="2" t="s">
        <v>19</v>
      </c>
      <c r="BD147" s="2" t="s">
        <v>1974</v>
      </c>
      <c r="BE147" s="2" t="s">
        <v>1975</v>
      </c>
      <c r="BF147" s="2" t="s">
        <v>1976</v>
      </c>
    </row>
    <row r="148" spans="1:58" ht="50.25" customHeight="1" x14ac:dyDescent="0.25">
      <c r="A148" s="8" t="s">
        <v>5</v>
      </c>
      <c r="B148" s="1" t="s">
        <v>0</v>
      </c>
      <c r="C148" s="1" t="s">
        <v>1</v>
      </c>
      <c r="D148" s="1" t="s">
        <v>1977</v>
      </c>
      <c r="E148" s="1" t="s">
        <v>1978</v>
      </c>
      <c r="F148" s="1" t="s">
        <v>1979</v>
      </c>
      <c r="H148" s="2" t="s">
        <v>5</v>
      </c>
      <c r="I148" s="2" t="s">
        <v>770</v>
      </c>
      <c r="J148" s="2" t="s">
        <v>90</v>
      </c>
      <c r="K148" s="2" t="s">
        <v>5</v>
      </c>
      <c r="L148" s="2" t="s">
        <v>7</v>
      </c>
      <c r="N148" s="1" t="s">
        <v>1980</v>
      </c>
      <c r="O148" s="2" t="s">
        <v>349</v>
      </c>
      <c r="Q148" s="2" t="s">
        <v>10</v>
      </c>
      <c r="R148" s="2" t="s">
        <v>184</v>
      </c>
      <c r="T148" s="2" t="s">
        <v>12</v>
      </c>
      <c r="U148" s="3">
        <v>2</v>
      </c>
      <c r="V148" s="3">
        <v>7</v>
      </c>
      <c r="W148" s="4" t="s">
        <v>1981</v>
      </c>
      <c r="X148" s="4" t="s">
        <v>95</v>
      </c>
      <c r="Y148" s="4" t="s">
        <v>1982</v>
      </c>
      <c r="Z148" s="4" t="s">
        <v>1983</v>
      </c>
      <c r="AA148" s="3">
        <v>39</v>
      </c>
      <c r="AB148" s="3">
        <v>39</v>
      </c>
      <c r="AC148" s="3">
        <v>47</v>
      </c>
      <c r="AD148" s="3">
        <v>1</v>
      </c>
      <c r="AE148" s="3">
        <v>1</v>
      </c>
      <c r="AF148" s="3">
        <v>1</v>
      </c>
      <c r="AG148" s="3">
        <v>1</v>
      </c>
      <c r="AH148" s="3">
        <v>0</v>
      </c>
      <c r="AI148" s="3">
        <v>0</v>
      </c>
      <c r="AJ148" s="3">
        <v>0</v>
      </c>
      <c r="AK148" s="3">
        <v>0</v>
      </c>
      <c r="AL148" s="3">
        <v>1</v>
      </c>
      <c r="AM148" s="3">
        <v>1</v>
      </c>
      <c r="AN148" s="3">
        <v>0</v>
      </c>
      <c r="AO148" s="3">
        <v>0</v>
      </c>
      <c r="AP148" s="3">
        <v>0</v>
      </c>
      <c r="AQ148" s="3">
        <v>0</v>
      </c>
      <c r="AR148" s="2" t="s">
        <v>5</v>
      </c>
      <c r="AS148" s="2" t="s">
        <v>90</v>
      </c>
      <c r="AT148" s="5" t="str">
        <f>HYPERLINK("http://catalog.hathitrust.org/Record/101367692","HathiTrust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HYPERLINK("https://creighton-primo.hosted.exlibrisgroup.com/primo-explore/search?tab=default_tab&amp;search_scope=EVERYTHING&amp;vid=01CRU&amp;lang=en_US&amp;offset=0&amp;query=any,contains,991000411499702656","Catalog Record")</f>
        <v>Catalog Record</v>
      </c>
      <c r="AV148" s="5" t="str">
        <f>HYPERLINK("http://www.worldcat.org/oclc/46939273","WorldCat Record")</f>
        <v>WorldCat Record</v>
      </c>
      <c r="AW148" s="2" t="s">
        <v>1984</v>
      </c>
      <c r="AX148" s="2" t="s">
        <v>1985</v>
      </c>
      <c r="AY148" s="2" t="s">
        <v>1986</v>
      </c>
      <c r="AZ148" s="2" t="s">
        <v>1986</v>
      </c>
      <c r="BA148" s="2" t="s">
        <v>1987</v>
      </c>
      <c r="BB148" s="2" t="s">
        <v>19</v>
      </c>
      <c r="BD148" s="2" t="s">
        <v>1988</v>
      </c>
      <c r="BE148" s="2" t="s">
        <v>1989</v>
      </c>
      <c r="BF148" s="2" t="s">
        <v>1990</v>
      </c>
    </row>
    <row r="149" spans="1:58" ht="50.25" customHeight="1" x14ac:dyDescent="0.25">
      <c r="A149" s="8" t="s">
        <v>5</v>
      </c>
      <c r="B149" s="1" t="s">
        <v>0</v>
      </c>
      <c r="C149" s="1" t="s">
        <v>1</v>
      </c>
      <c r="D149" s="1" t="s">
        <v>1991</v>
      </c>
      <c r="E149" s="1" t="s">
        <v>1992</v>
      </c>
      <c r="F149" s="1" t="s">
        <v>1993</v>
      </c>
      <c r="H149" s="2" t="s">
        <v>5</v>
      </c>
      <c r="I149" s="2" t="s">
        <v>6</v>
      </c>
      <c r="J149" s="2" t="s">
        <v>5</v>
      </c>
      <c r="K149" s="2" t="s">
        <v>5</v>
      </c>
      <c r="L149" s="2" t="s">
        <v>7</v>
      </c>
      <c r="N149" s="1" t="s">
        <v>1994</v>
      </c>
      <c r="O149" s="2" t="s">
        <v>289</v>
      </c>
      <c r="Q149" s="2" t="s">
        <v>10</v>
      </c>
      <c r="R149" s="2" t="s">
        <v>61</v>
      </c>
      <c r="T149" s="2" t="s">
        <v>12</v>
      </c>
      <c r="U149" s="3">
        <v>12</v>
      </c>
      <c r="V149" s="3">
        <v>12</v>
      </c>
      <c r="W149" s="4" t="s">
        <v>95</v>
      </c>
      <c r="X149" s="4" t="s">
        <v>95</v>
      </c>
      <c r="Y149" s="4" t="s">
        <v>1702</v>
      </c>
      <c r="Z149" s="4" t="s">
        <v>1702</v>
      </c>
      <c r="AA149" s="3">
        <v>228</v>
      </c>
      <c r="AB149" s="3">
        <v>196</v>
      </c>
      <c r="AC149" s="3">
        <v>201</v>
      </c>
      <c r="AD149" s="3">
        <v>1</v>
      </c>
      <c r="AE149" s="3">
        <v>1</v>
      </c>
      <c r="AF149" s="3">
        <v>9</v>
      </c>
      <c r="AG149" s="3">
        <v>9</v>
      </c>
      <c r="AH149" s="3">
        <v>2</v>
      </c>
      <c r="AI149" s="3">
        <v>2</v>
      </c>
      <c r="AJ149" s="3">
        <v>3</v>
      </c>
      <c r="AK149" s="3">
        <v>3</v>
      </c>
      <c r="AL149" s="3">
        <v>7</v>
      </c>
      <c r="AM149" s="3">
        <v>7</v>
      </c>
      <c r="AN149" s="3">
        <v>0</v>
      </c>
      <c r="AO149" s="3">
        <v>0</v>
      </c>
      <c r="AP149" s="3">
        <v>0</v>
      </c>
      <c r="AQ149" s="3">
        <v>0</v>
      </c>
      <c r="AR149" s="2" t="s">
        <v>5</v>
      </c>
      <c r="AS149" s="2" t="s">
        <v>5</v>
      </c>
      <c r="AU149" s="5" t="str">
        <f>HYPERLINK("https://creighton-primo.hosted.exlibrisgroup.com/primo-explore/search?tab=default_tab&amp;search_scope=EVERYTHING&amp;vid=01CRU&amp;lang=en_US&amp;offset=0&amp;query=any,contains,991000372879702656","Catalog Record")</f>
        <v>Catalog Record</v>
      </c>
      <c r="AV149" s="5" t="str">
        <f>HYPERLINK("http://www.worldcat.org/oclc/39464690","WorldCat Record")</f>
        <v>WorldCat Record</v>
      </c>
      <c r="AW149" s="2" t="s">
        <v>1995</v>
      </c>
      <c r="AX149" s="2" t="s">
        <v>1996</v>
      </c>
      <c r="AY149" s="2" t="s">
        <v>1997</v>
      </c>
      <c r="AZ149" s="2" t="s">
        <v>1997</v>
      </c>
      <c r="BA149" s="2" t="s">
        <v>1998</v>
      </c>
      <c r="BB149" s="2" t="s">
        <v>19</v>
      </c>
      <c r="BD149" s="2" t="s">
        <v>1999</v>
      </c>
      <c r="BE149" s="2" t="s">
        <v>2000</v>
      </c>
      <c r="BF149" s="2" t="s">
        <v>2001</v>
      </c>
    </row>
    <row r="150" spans="1:58" ht="50.25" customHeight="1" x14ac:dyDescent="0.25">
      <c r="A150" s="8" t="s">
        <v>5</v>
      </c>
      <c r="B150" s="1" t="s">
        <v>0</v>
      </c>
      <c r="C150" s="1" t="s">
        <v>1</v>
      </c>
      <c r="D150" s="1" t="s">
        <v>2002</v>
      </c>
      <c r="E150" s="1" t="s">
        <v>2003</v>
      </c>
      <c r="F150" s="1" t="s">
        <v>2004</v>
      </c>
      <c r="H150" s="2" t="s">
        <v>5</v>
      </c>
      <c r="I150" s="2" t="s">
        <v>6</v>
      </c>
      <c r="J150" s="2" t="s">
        <v>5</v>
      </c>
      <c r="K150" s="2" t="s">
        <v>5</v>
      </c>
      <c r="L150" s="2" t="s">
        <v>7</v>
      </c>
      <c r="N150" s="1" t="s">
        <v>2005</v>
      </c>
      <c r="O150" s="2" t="s">
        <v>289</v>
      </c>
      <c r="Q150" s="2" t="s">
        <v>10</v>
      </c>
      <c r="R150" s="2" t="s">
        <v>405</v>
      </c>
      <c r="T150" s="2" t="s">
        <v>12</v>
      </c>
      <c r="U150" s="3">
        <v>21</v>
      </c>
      <c r="V150" s="3">
        <v>21</v>
      </c>
      <c r="W150" s="4" t="s">
        <v>2006</v>
      </c>
      <c r="X150" s="4" t="s">
        <v>2006</v>
      </c>
      <c r="Y150" s="4" t="s">
        <v>2007</v>
      </c>
      <c r="Z150" s="4" t="s">
        <v>2007</v>
      </c>
      <c r="AA150" s="3">
        <v>658</v>
      </c>
      <c r="AB150" s="3">
        <v>572</v>
      </c>
      <c r="AC150" s="3">
        <v>577</v>
      </c>
      <c r="AD150" s="3">
        <v>4</v>
      </c>
      <c r="AE150" s="3">
        <v>4</v>
      </c>
      <c r="AF150" s="3">
        <v>27</v>
      </c>
      <c r="AG150" s="3">
        <v>27</v>
      </c>
      <c r="AH150" s="3">
        <v>11</v>
      </c>
      <c r="AI150" s="3">
        <v>11</v>
      </c>
      <c r="AJ150" s="3">
        <v>6</v>
      </c>
      <c r="AK150" s="3">
        <v>6</v>
      </c>
      <c r="AL150" s="3">
        <v>13</v>
      </c>
      <c r="AM150" s="3">
        <v>13</v>
      </c>
      <c r="AN150" s="3">
        <v>3</v>
      </c>
      <c r="AO150" s="3">
        <v>3</v>
      </c>
      <c r="AP150" s="3">
        <v>0</v>
      </c>
      <c r="AQ150" s="3">
        <v>0</v>
      </c>
      <c r="AR150" s="2" t="s">
        <v>5</v>
      </c>
      <c r="AS150" s="2" t="s">
        <v>5</v>
      </c>
      <c r="AU150" s="5" t="str">
        <f>HYPERLINK("https://creighton-primo.hosted.exlibrisgroup.com/primo-explore/search?tab=default_tab&amp;search_scope=EVERYTHING&amp;vid=01CRU&amp;lang=en_US&amp;offset=0&amp;query=any,contains,991001567949702656","Catalog Record")</f>
        <v>Catalog Record</v>
      </c>
      <c r="AV150" s="5" t="str">
        <f>HYPERLINK("http://www.worldcat.org/oclc/39399432","WorldCat Record")</f>
        <v>WorldCat Record</v>
      </c>
      <c r="AW150" s="2" t="s">
        <v>2008</v>
      </c>
      <c r="AX150" s="2" t="s">
        <v>2009</v>
      </c>
      <c r="AY150" s="2" t="s">
        <v>2010</v>
      </c>
      <c r="AZ150" s="2" t="s">
        <v>2010</v>
      </c>
      <c r="BA150" s="2" t="s">
        <v>2011</v>
      </c>
      <c r="BB150" s="2" t="s">
        <v>19</v>
      </c>
      <c r="BD150" s="2" t="s">
        <v>2012</v>
      </c>
      <c r="BE150" s="2" t="s">
        <v>2013</v>
      </c>
      <c r="BF150" s="2" t="s">
        <v>2014</v>
      </c>
    </row>
    <row r="151" spans="1:58" ht="50.25" customHeight="1" x14ac:dyDescent="0.25">
      <c r="A151" s="8" t="s">
        <v>5</v>
      </c>
      <c r="B151" s="1" t="s">
        <v>0</v>
      </c>
      <c r="C151" s="1" t="s">
        <v>1</v>
      </c>
      <c r="D151" s="1" t="s">
        <v>2015</v>
      </c>
      <c r="E151" s="1" t="s">
        <v>2016</v>
      </c>
      <c r="F151" s="1" t="s">
        <v>2017</v>
      </c>
      <c r="H151" s="2" t="s">
        <v>5</v>
      </c>
      <c r="I151" s="2" t="s">
        <v>6</v>
      </c>
      <c r="J151" s="2" t="s">
        <v>90</v>
      </c>
      <c r="K151" s="2" t="s">
        <v>5</v>
      </c>
      <c r="L151" s="2" t="s">
        <v>7</v>
      </c>
      <c r="M151" s="1" t="s">
        <v>2018</v>
      </c>
      <c r="N151" s="1" t="s">
        <v>2019</v>
      </c>
      <c r="O151" s="2" t="s">
        <v>680</v>
      </c>
      <c r="Q151" s="2" t="s">
        <v>10</v>
      </c>
      <c r="R151" s="2" t="s">
        <v>1279</v>
      </c>
      <c r="T151" s="2" t="s">
        <v>12</v>
      </c>
      <c r="U151" s="3">
        <v>1</v>
      </c>
      <c r="V151" s="3">
        <v>3</v>
      </c>
      <c r="W151" s="4" t="s">
        <v>2020</v>
      </c>
      <c r="X151" s="4" t="s">
        <v>2021</v>
      </c>
      <c r="Y151" s="4" t="s">
        <v>2022</v>
      </c>
      <c r="Z151" s="4" t="s">
        <v>2022</v>
      </c>
      <c r="AA151" s="3">
        <v>152</v>
      </c>
      <c r="AB151" s="3">
        <v>143</v>
      </c>
      <c r="AC151" s="3">
        <v>148</v>
      </c>
      <c r="AD151" s="3">
        <v>2</v>
      </c>
      <c r="AE151" s="3">
        <v>2</v>
      </c>
      <c r="AF151" s="3">
        <v>6</v>
      </c>
      <c r="AG151" s="3">
        <v>6</v>
      </c>
      <c r="AH151" s="3">
        <v>1</v>
      </c>
      <c r="AI151" s="3">
        <v>1</v>
      </c>
      <c r="AJ151" s="3">
        <v>2</v>
      </c>
      <c r="AK151" s="3">
        <v>2</v>
      </c>
      <c r="AL151" s="3">
        <v>4</v>
      </c>
      <c r="AM151" s="3">
        <v>4</v>
      </c>
      <c r="AN151" s="3">
        <v>1</v>
      </c>
      <c r="AO151" s="3">
        <v>1</v>
      </c>
      <c r="AP151" s="3">
        <v>0</v>
      </c>
      <c r="AQ151" s="3">
        <v>0</v>
      </c>
      <c r="AR151" s="2" t="s">
        <v>5</v>
      </c>
      <c r="AS151" s="2" t="s">
        <v>5</v>
      </c>
      <c r="AU151" s="5" t="str">
        <f>HYPERLINK("https://creighton-primo.hosted.exlibrisgroup.com/primo-explore/search?tab=default_tab&amp;search_scope=EVERYTHING&amp;vid=01CRU&amp;lang=en_US&amp;offset=0&amp;query=any,contains,991000683639702656","Catalog Record")</f>
        <v>Catalog Record</v>
      </c>
      <c r="AV151" s="5" t="str">
        <f>HYPERLINK("http://www.worldcat.org/oclc/60615435","WorldCat Record")</f>
        <v>WorldCat Record</v>
      </c>
      <c r="AW151" s="2" t="s">
        <v>2023</v>
      </c>
      <c r="AX151" s="2" t="s">
        <v>2024</v>
      </c>
      <c r="AY151" s="2" t="s">
        <v>2025</v>
      </c>
      <c r="AZ151" s="2" t="s">
        <v>2025</v>
      </c>
      <c r="BA151" s="2" t="s">
        <v>2026</v>
      </c>
      <c r="BB151" s="2" t="s">
        <v>19</v>
      </c>
      <c r="BD151" s="2" t="s">
        <v>2027</v>
      </c>
      <c r="BE151" s="2" t="s">
        <v>2028</v>
      </c>
      <c r="BF151" s="2" t="s">
        <v>2029</v>
      </c>
    </row>
    <row r="152" spans="1:58" ht="50.25" customHeight="1" x14ac:dyDescent="0.25">
      <c r="A152" s="8" t="s">
        <v>5</v>
      </c>
      <c r="B152" s="1" t="s">
        <v>0</v>
      </c>
      <c r="C152" s="1" t="s">
        <v>1</v>
      </c>
      <c r="D152" s="1" t="s">
        <v>2030</v>
      </c>
      <c r="E152" s="1" t="s">
        <v>2031</v>
      </c>
      <c r="F152" s="1" t="s">
        <v>2032</v>
      </c>
      <c r="H152" s="2" t="s">
        <v>5</v>
      </c>
      <c r="I152" s="2" t="s">
        <v>6</v>
      </c>
      <c r="J152" s="2" t="s">
        <v>5</v>
      </c>
      <c r="K152" s="2" t="s">
        <v>5</v>
      </c>
      <c r="L152" s="2" t="s">
        <v>7</v>
      </c>
      <c r="M152" s="1" t="s">
        <v>2033</v>
      </c>
      <c r="N152" s="1" t="s">
        <v>2034</v>
      </c>
      <c r="O152" s="2" t="s">
        <v>259</v>
      </c>
      <c r="P152" s="1" t="s">
        <v>568</v>
      </c>
      <c r="Q152" s="2" t="s">
        <v>10</v>
      </c>
      <c r="R152" s="2" t="s">
        <v>290</v>
      </c>
      <c r="T152" s="2" t="s">
        <v>12</v>
      </c>
      <c r="U152" s="3">
        <v>26</v>
      </c>
      <c r="V152" s="3">
        <v>26</v>
      </c>
      <c r="W152" s="4" t="s">
        <v>2035</v>
      </c>
      <c r="X152" s="4" t="s">
        <v>2035</v>
      </c>
      <c r="Y152" s="4" t="s">
        <v>261</v>
      </c>
      <c r="Z152" s="4" t="s">
        <v>261</v>
      </c>
      <c r="AA152" s="3">
        <v>177</v>
      </c>
      <c r="AB152" s="3">
        <v>122</v>
      </c>
      <c r="AC152" s="3">
        <v>197</v>
      </c>
      <c r="AD152" s="3">
        <v>1</v>
      </c>
      <c r="AE152" s="3">
        <v>1</v>
      </c>
      <c r="AF152" s="3">
        <v>4</v>
      </c>
      <c r="AG152" s="3">
        <v>5</v>
      </c>
      <c r="AH152" s="3">
        <v>0</v>
      </c>
      <c r="AI152" s="3">
        <v>0</v>
      </c>
      <c r="AJ152" s="3">
        <v>1</v>
      </c>
      <c r="AK152" s="3">
        <v>1</v>
      </c>
      <c r="AL152" s="3">
        <v>4</v>
      </c>
      <c r="AM152" s="3">
        <v>5</v>
      </c>
      <c r="AN152" s="3">
        <v>0</v>
      </c>
      <c r="AO152" s="3">
        <v>0</v>
      </c>
      <c r="AP152" s="3">
        <v>0</v>
      </c>
      <c r="AQ152" s="3">
        <v>0</v>
      </c>
      <c r="AR152" s="2" t="s">
        <v>5</v>
      </c>
      <c r="AS152" s="2" t="s">
        <v>5</v>
      </c>
      <c r="AU152" s="5" t="str">
        <f>HYPERLINK("https://creighton-primo.hosted.exlibrisgroup.com/primo-explore/search?tab=default_tab&amp;search_scope=EVERYTHING&amp;vid=01CRU&amp;lang=en_US&amp;offset=0&amp;query=any,contains,991000485889702656","Catalog Record")</f>
        <v>Catalog Record</v>
      </c>
      <c r="AV152" s="5" t="str">
        <f>HYPERLINK("http://www.worldcat.org/oclc/29564068","WorldCat Record")</f>
        <v>WorldCat Record</v>
      </c>
      <c r="AW152" s="2" t="s">
        <v>2036</v>
      </c>
      <c r="AX152" s="2" t="s">
        <v>2037</v>
      </c>
      <c r="AY152" s="2" t="s">
        <v>2038</v>
      </c>
      <c r="AZ152" s="2" t="s">
        <v>2038</v>
      </c>
      <c r="BA152" s="2" t="s">
        <v>2039</v>
      </c>
      <c r="BB152" s="2" t="s">
        <v>19</v>
      </c>
      <c r="BD152" s="2" t="s">
        <v>2040</v>
      </c>
      <c r="BE152" s="2" t="s">
        <v>2041</v>
      </c>
      <c r="BF152" s="2" t="s">
        <v>2042</v>
      </c>
    </row>
    <row r="153" spans="1:58" ht="50.25" customHeight="1" x14ac:dyDescent="0.25">
      <c r="A153" s="8" t="s">
        <v>5</v>
      </c>
      <c r="B153" s="1" t="s">
        <v>0</v>
      </c>
      <c r="C153" s="1" t="s">
        <v>1</v>
      </c>
      <c r="D153" s="1" t="s">
        <v>2043</v>
      </c>
      <c r="E153" s="1" t="s">
        <v>2044</v>
      </c>
      <c r="F153" s="1" t="s">
        <v>2045</v>
      </c>
      <c r="H153" s="2" t="s">
        <v>5</v>
      </c>
      <c r="I153" s="2" t="s">
        <v>6</v>
      </c>
      <c r="J153" s="2" t="s">
        <v>5</v>
      </c>
      <c r="K153" s="2" t="s">
        <v>5</v>
      </c>
      <c r="L153" s="2" t="s">
        <v>7</v>
      </c>
      <c r="N153" s="1" t="s">
        <v>2046</v>
      </c>
      <c r="O153" s="2" t="s">
        <v>9</v>
      </c>
      <c r="Q153" s="2" t="s">
        <v>10</v>
      </c>
      <c r="R153" s="2" t="s">
        <v>11</v>
      </c>
      <c r="T153" s="2" t="s">
        <v>12</v>
      </c>
      <c r="U153" s="3">
        <v>1</v>
      </c>
      <c r="V153" s="3">
        <v>1</v>
      </c>
      <c r="W153" s="4" t="s">
        <v>2047</v>
      </c>
      <c r="X153" s="4" t="s">
        <v>2047</v>
      </c>
      <c r="Y153" s="4" t="s">
        <v>2048</v>
      </c>
      <c r="Z153" s="4" t="s">
        <v>2048</v>
      </c>
      <c r="AA153" s="3">
        <v>136</v>
      </c>
      <c r="AB153" s="3">
        <v>118</v>
      </c>
      <c r="AC153" s="3">
        <v>123</v>
      </c>
      <c r="AD153" s="3">
        <v>1</v>
      </c>
      <c r="AE153" s="3">
        <v>1</v>
      </c>
      <c r="AF153" s="3">
        <v>7</v>
      </c>
      <c r="AG153" s="3">
        <v>7</v>
      </c>
      <c r="AH153" s="3">
        <v>2</v>
      </c>
      <c r="AI153" s="3">
        <v>2</v>
      </c>
      <c r="AJ153" s="3">
        <v>3</v>
      </c>
      <c r="AK153" s="3">
        <v>3</v>
      </c>
      <c r="AL153" s="3">
        <v>5</v>
      </c>
      <c r="AM153" s="3">
        <v>5</v>
      </c>
      <c r="AN153" s="3">
        <v>0</v>
      </c>
      <c r="AO153" s="3">
        <v>0</v>
      </c>
      <c r="AP153" s="3">
        <v>0</v>
      </c>
      <c r="AQ153" s="3">
        <v>0</v>
      </c>
      <c r="AR153" s="2" t="s">
        <v>5</v>
      </c>
      <c r="AS153" s="2" t="s">
        <v>5</v>
      </c>
      <c r="AU153" s="5" t="str">
        <f>HYPERLINK("https://creighton-primo.hosted.exlibrisgroup.com/primo-explore/search?tab=default_tab&amp;search_scope=EVERYTHING&amp;vid=01CRU&amp;lang=en_US&amp;offset=0&amp;query=any,contains,991000685519702656","Catalog Record")</f>
        <v>Catalog Record</v>
      </c>
      <c r="AV153" s="5" t="str">
        <f>HYPERLINK("http://www.worldcat.org/oclc/69391439","WorldCat Record")</f>
        <v>WorldCat Record</v>
      </c>
      <c r="AW153" s="2" t="s">
        <v>2049</v>
      </c>
      <c r="AX153" s="2" t="s">
        <v>2050</v>
      </c>
      <c r="AY153" s="2" t="s">
        <v>2051</v>
      </c>
      <c r="AZ153" s="2" t="s">
        <v>2051</v>
      </c>
      <c r="BA153" s="2" t="s">
        <v>2052</v>
      </c>
      <c r="BB153" s="2" t="s">
        <v>19</v>
      </c>
      <c r="BD153" s="2" t="s">
        <v>2053</v>
      </c>
      <c r="BE153" s="2" t="s">
        <v>2054</v>
      </c>
      <c r="BF153" s="2" t="s">
        <v>2055</v>
      </c>
    </row>
    <row r="154" spans="1:58" ht="50.25" customHeight="1" x14ac:dyDescent="0.25">
      <c r="A154" s="8" t="s">
        <v>5</v>
      </c>
      <c r="B154" s="1" t="s">
        <v>0</v>
      </c>
      <c r="C154" s="1" t="s">
        <v>1</v>
      </c>
      <c r="D154" s="1" t="s">
        <v>2056</v>
      </c>
      <c r="E154" s="1" t="s">
        <v>2057</v>
      </c>
      <c r="F154" s="1" t="s">
        <v>2058</v>
      </c>
      <c r="H154" s="2" t="s">
        <v>5</v>
      </c>
      <c r="I154" s="2" t="s">
        <v>6</v>
      </c>
      <c r="J154" s="2" t="s">
        <v>5</v>
      </c>
      <c r="K154" s="2" t="s">
        <v>5</v>
      </c>
      <c r="L154" s="2" t="s">
        <v>7</v>
      </c>
      <c r="M154" s="1" t="s">
        <v>2059</v>
      </c>
      <c r="N154" s="1" t="s">
        <v>2060</v>
      </c>
      <c r="O154" s="2" t="s">
        <v>349</v>
      </c>
      <c r="P154" s="1" t="s">
        <v>2061</v>
      </c>
      <c r="Q154" s="2" t="s">
        <v>10</v>
      </c>
      <c r="R154" s="2" t="s">
        <v>1150</v>
      </c>
      <c r="T154" s="2" t="s">
        <v>12</v>
      </c>
      <c r="U154" s="3">
        <v>1</v>
      </c>
      <c r="V154" s="3">
        <v>1</v>
      </c>
      <c r="W154" s="4" t="s">
        <v>1702</v>
      </c>
      <c r="X154" s="4" t="s">
        <v>1702</v>
      </c>
      <c r="Y154" s="4" t="s">
        <v>336</v>
      </c>
      <c r="Z154" s="4" t="s">
        <v>336</v>
      </c>
      <c r="AA154" s="3">
        <v>322</v>
      </c>
      <c r="AB154" s="3">
        <v>312</v>
      </c>
      <c r="AC154" s="3">
        <v>574</v>
      </c>
      <c r="AD154" s="3">
        <v>1</v>
      </c>
      <c r="AE154" s="3">
        <v>2</v>
      </c>
      <c r="AF154" s="3">
        <v>2</v>
      </c>
      <c r="AG154" s="3">
        <v>3</v>
      </c>
      <c r="AH154" s="3">
        <v>0</v>
      </c>
      <c r="AI154" s="3">
        <v>0</v>
      </c>
      <c r="AJ154" s="3">
        <v>1</v>
      </c>
      <c r="AK154" s="3">
        <v>2</v>
      </c>
      <c r="AL154" s="3">
        <v>1</v>
      </c>
      <c r="AM154" s="3">
        <v>2</v>
      </c>
      <c r="AN154" s="3">
        <v>0</v>
      </c>
      <c r="AO154" s="3">
        <v>0</v>
      </c>
      <c r="AP154" s="3">
        <v>0</v>
      </c>
      <c r="AQ154" s="3">
        <v>0</v>
      </c>
      <c r="AR154" s="2" t="s">
        <v>5</v>
      </c>
      <c r="AS154" s="2" t="s">
        <v>5</v>
      </c>
      <c r="AU154" s="5" t="str">
        <f>HYPERLINK("https://creighton-primo.hosted.exlibrisgroup.com/primo-explore/search?tab=default_tab&amp;search_scope=EVERYTHING&amp;vid=01CRU&amp;lang=en_US&amp;offset=0&amp;query=any,contains,991000371069702656","Catalog Record")</f>
        <v>Catalog Record</v>
      </c>
      <c r="AV154" s="5" t="str">
        <f>HYPERLINK("http://www.worldcat.org/oclc/45232714","WorldCat Record")</f>
        <v>WorldCat Record</v>
      </c>
      <c r="AW154" s="2" t="s">
        <v>2062</v>
      </c>
      <c r="AX154" s="2" t="s">
        <v>2063</v>
      </c>
      <c r="AY154" s="2" t="s">
        <v>2064</v>
      </c>
      <c r="AZ154" s="2" t="s">
        <v>2064</v>
      </c>
      <c r="BA154" s="2" t="s">
        <v>2065</v>
      </c>
      <c r="BB154" s="2" t="s">
        <v>19</v>
      </c>
      <c r="BD154" s="2" t="s">
        <v>2066</v>
      </c>
      <c r="BE154" s="2" t="s">
        <v>2067</v>
      </c>
      <c r="BF154" s="2" t="s">
        <v>2068</v>
      </c>
    </row>
    <row r="155" spans="1:58" ht="50.25" customHeight="1" x14ac:dyDescent="0.25">
      <c r="A155" s="8" t="s">
        <v>5</v>
      </c>
      <c r="B155" s="1" t="s">
        <v>0</v>
      </c>
      <c r="C155" s="1" t="s">
        <v>1</v>
      </c>
      <c r="D155" s="1" t="s">
        <v>2069</v>
      </c>
      <c r="E155" s="1" t="s">
        <v>2070</v>
      </c>
      <c r="F155" s="1" t="s">
        <v>2071</v>
      </c>
      <c r="H155" s="2" t="s">
        <v>5</v>
      </c>
      <c r="I155" s="2" t="s">
        <v>6</v>
      </c>
      <c r="J155" s="2" t="s">
        <v>90</v>
      </c>
      <c r="K155" s="2" t="s">
        <v>5</v>
      </c>
      <c r="L155" s="2" t="s">
        <v>7</v>
      </c>
      <c r="M155" s="1" t="s">
        <v>2072</v>
      </c>
      <c r="N155" s="1" t="s">
        <v>2073</v>
      </c>
      <c r="O155" s="2" t="s">
        <v>60</v>
      </c>
      <c r="Q155" s="2" t="s">
        <v>10</v>
      </c>
      <c r="R155" s="2" t="s">
        <v>184</v>
      </c>
      <c r="T155" s="2" t="s">
        <v>12</v>
      </c>
      <c r="U155" s="3">
        <v>1</v>
      </c>
      <c r="V155" s="3">
        <v>2</v>
      </c>
      <c r="W155" s="4" t="s">
        <v>63</v>
      </c>
      <c r="X155" s="4" t="s">
        <v>63</v>
      </c>
      <c r="Y155" s="4" t="s">
        <v>1982</v>
      </c>
      <c r="Z155" s="4" t="s">
        <v>1983</v>
      </c>
      <c r="AA155" s="3">
        <v>12</v>
      </c>
      <c r="AB155" s="3">
        <v>11</v>
      </c>
      <c r="AC155" s="3">
        <v>15</v>
      </c>
      <c r="AD155" s="3">
        <v>1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2" t="s">
        <v>5</v>
      </c>
      <c r="AS155" s="2" t="s">
        <v>90</v>
      </c>
      <c r="AT155" s="5" t="str">
        <f>HYPERLINK("http://catalog.hathitrust.org/Record/101371231","HathiTrust Record")</f>
        <v>HathiTrust Record</v>
      </c>
      <c r="AU155" s="5" t="str">
        <f>HYPERLINK("https://creighton-primo.hosted.exlibrisgroup.com/primo-explore/search?tab=default_tab&amp;search_scope=EVERYTHING&amp;vid=01CRU&amp;lang=en_US&amp;offset=0&amp;query=any,contains,991000411539702656","Catalog Record")</f>
        <v>Catalog Record</v>
      </c>
      <c r="AV155" s="5" t="str">
        <f>HYPERLINK("http://www.worldcat.org/oclc/55805965","WorldCat Record")</f>
        <v>WorldCat Record</v>
      </c>
      <c r="AW155" s="2" t="s">
        <v>2074</v>
      </c>
      <c r="AX155" s="2" t="s">
        <v>2075</v>
      </c>
      <c r="AY155" s="2" t="s">
        <v>2076</v>
      </c>
      <c r="AZ155" s="2" t="s">
        <v>2076</v>
      </c>
      <c r="BA155" s="2" t="s">
        <v>2077</v>
      </c>
      <c r="BB155" s="2" t="s">
        <v>19</v>
      </c>
      <c r="BD155" s="2" t="s">
        <v>2078</v>
      </c>
      <c r="BE155" s="2" t="s">
        <v>2079</v>
      </c>
      <c r="BF155" s="2" t="s">
        <v>2080</v>
      </c>
    </row>
    <row r="156" spans="1:58" ht="50.25" customHeight="1" x14ac:dyDescent="0.25">
      <c r="A156" s="8" t="s">
        <v>5</v>
      </c>
      <c r="B156" s="1" t="s">
        <v>0</v>
      </c>
      <c r="C156" s="1" t="s">
        <v>1</v>
      </c>
      <c r="D156" s="1" t="s">
        <v>2069</v>
      </c>
      <c r="E156" s="1" t="s">
        <v>2070</v>
      </c>
      <c r="F156" s="1" t="s">
        <v>2071</v>
      </c>
      <c r="H156" s="2" t="s">
        <v>5</v>
      </c>
      <c r="I156" s="2" t="s">
        <v>770</v>
      </c>
      <c r="J156" s="2" t="s">
        <v>90</v>
      </c>
      <c r="K156" s="2" t="s">
        <v>5</v>
      </c>
      <c r="L156" s="2" t="s">
        <v>7</v>
      </c>
      <c r="M156" s="1" t="s">
        <v>2072</v>
      </c>
      <c r="N156" s="1" t="s">
        <v>2073</v>
      </c>
      <c r="O156" s="2" t="s">
        <v>60</v>
      </c>
      <c r="Q156" s="2" t="s">
        <v>10</v>
      </c>
      <c r="R156" s="2" t="s">
        <v>184</v>
      </c>
      <c r="T156" s="2" t="s">
        <v>12</v>
      </c>
      <c r="U156" s="3">
        <v>1</v>
      </c>
      <c r="V156" s="3">
        <v>2</v>
      </c>
      <c r="W156" s="4" t="s">
        <v>63</v>
      </c>
      <c r="X156" s="4" t="s">
        <v>63</v>
      </c>
      <c r="Y156" s="4" t="s">
        <v>1983</v>
      </c>
      <c r="Z156" s="4" t="s">
        <v>1983</v>
      </c>
      <c r="AA156" s="3">
        <v>12</v>
      </c>
      <c r="AB156" s="3">
        <v>11</v>
      </c>
      <c r="AC156" s="3">
        <v>15</v>
      </c>
      <c r="AD156" s="3">
        <v>1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2" t="s">
        <v>5</v>
      </c>
      <c r="AS156" s="2" t="s">
        <v>90</v>
      </c>
      <c r="AT156" s="5" t="str">
        <f>HYPERLINK("http://catalog.hathitrust.org/Record/101371231","HathiTrust Record")</f>
        <v>HathiTrust Record</v>
      </c>
      <c r="AU156" s="5" t="str">
        <f>HYPERLINK("https://creighton-primo.hosted.exlibrisgroup.com/primo-explore/search?tab=default_tab&amp;search_scope=EVERYTHING&amp;vid=01CRU&amp;lang=en_US&amp;offset=0&amp;query=any,contains,991000411539702656","Catalog Record")</f>
        <v>Catalog Record</v>
      </c>
      <c r="AV156" s="5" t="str">
        <f>HYPERLINK("http://www.worldcat.org/oclc/55805965","WorldCat Record")</f>
        <v>WorldCat Record</v>
      </c>
      <c r="AW156" s="2" t="s">
        <v>2074</v>
      </c>
      <c r="AX156" s="2" t="s">
        <v>2075</v>
      </c>
      <c r="AY156" s="2" t="s">
        <v>2076</v>
      </c>
      <c r="AZ156" s="2" t="s">
        <v>2076</v>
      </c>
      <c r="BA156" s="2" t="s">
        <v>2077</v>
      </c>
      <c r="BB156" s="2" t="s">
        <v>19</v>
      </c>
      <c r="BD156" s="2" t="s">
        <v>2078</v>
      </c>
      <c r="BE156" s="2" t="s">
        <v>2081</v>
      </c>
      <c r="BF156" s="2" t="s">
        <v>2082</v>
      </c>
    </row>
    <row r="157" spans="1:58" ht="50.25" customHeight="1" x14ac:dyDescent="0.25">
      <c r="A157" s="8" t="s">
        <v>5</v>
      </c>
      <c r="B157" s="1" t="s">
        <v>0</v>
      </c>
      <c r="C157" s="1" t="s">
        <v>1</v>
      </c>
      <c r="D157" s="1" t="s">
        <v>2083</v>
      </c>
      <c r="E157" s="1" t="s">
        <v>2084</v>
      </c>
      <c r="F157" s="1" t="s">
        <v>2085</v>
      </c>
      <c r="H157" s="2" t="s">
        <v>5</v>
      </c>
      <c r="I157" s="2" t="s">
        <v>6</v>
      </c>
      <c r="J157" s="2" t="s">
        <v>90</v>
      </c>
      <c r="K157" s="2" t="s">
        <v>5</v>
      </c>
      <c r="L157" s="2" t="s">
        <v>7</v>
      </c>
      <c r="M157" s="1" t="s">
        <v>2086</v>
      </c>
      <c r="N157" s="1" t="s">
        <v>2087</v>
      </c>
      <c r="O157" s="2" t="s">
        <v>389</v>
      </c>
      <c r="Q157" s="2" t="s">
        <v>10</v>
      </c>
      <c r="R157" s="2" t="s">
        <v>184</v>
      </c>
      <c r="T157" s="2" t="s">
        <v>12</v>
      </c>
      <c r="U157" s="3">
        <v>2</v>
      </c>
      <c r="V157" s="3">
        <v>4</v>
      </c>
      <c r="W157" s="4" t="s">
        <v>1981</v>
      </c>
      <c r="X157" s="4" t="s">
        <v>2088</v>
      </c>
      <c r="Y157" s="4" t="s">
        <v>1702</v>
      </c>
      <c r="Z157" s="4" t="s">
        <v>2089</v>
      </c>
      <c r="AA157" s="3">
        <v>12</v>
      </c>
      <c r="AB157" s="3">
        <v>12</v>
      </c>
      <c r="AC157" s="3">
        <v>20</v>
      </c>
      <c r="AD157" s="3">
        <v>2</v>
      </c>
      <c r="AE157" s="3">
        <v>2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2" t="s">
        <v>5</v>
      </c>
      <c r="AS157" s="2" t="s">
        <v>5</v>
      </c>
      <c r="AU157" s="5" t="str">
        <f>HYPERLINK("https://creighton-primo.hosted.exlibrisgroup.com/primo-explore/search?tab=default_tab&amp;search_scope=EVERYTHING&amp;vid=01CRU&amp;lang=en_US&amp;offset=0&amp;query=any,contains,991001727449702656","Catalog Record")</f>
        <v>Catalog Record</v>
      </c>
      <c r="AV157" s="5" t="str">
        <f>HYPERLINK("http://www.worldcat.org/oclc/51731528","WorldCat Record")</f>
        <v>WorldCat Record</v>
      </c>
      <c r="AW157" s="2" t="s">
        <v>2090</v>
      </c>
      <c r="AX157" s="2" t="s">
        <v>2091</v>
      </c>
      <c r="AY157" s="2" t="s">
        <v>2092</v>
      </c>
      <c r="AZ157" s="2" t="s">
        <v>2092</v>
      </c>
      <c r="BA157" s="2" t="s">
        <v>2093</v>
      </c>
      <c r="BB157" s="2" t="s">
        <v>19</v>
      </c>
      <c r="BE157" s="2" t="s">
        <v>2094</v>
      </c>
      <c r="BF157" s="2" t="s">
        <v>2095</v>
      </c>
    </row>
    <row r="158" spans="1:58" ht="50.25" customHeight="1" x14ac:dyDescent="0.25">
      <c r="A158" s="8" t="s">
        <v>5</v>
      </c>
      <c r="B158" s="1" t="s">
        <v>0</v>
      </c>
      <c r="C158" s="1" t="s">
        <v>1</v>
      </c>
      <c r="D158" s="1" t="s">
        <v>2096</v>
      </c>
      <c r="E158" s="1" t="s">
        <v>2097</v>
      </c>
      <c r="F158" s="1" t="s">
        <v>2098</v>
      </c>
      <c r="H158" s="2" t="s">
        <v>5</v>
      </c>
      <c r="I158" s="2" t="s">
        <v>6</v>
      </c>
      <c r="J158" s="2" t="s">
        <v>5</v>
      </c>
      <c r="K158" s="2" t="s">
        <v>5</v>
      </c>
      <c r="L158" s="2" t="s">
        <v>770</v>
      </c>
      <c r="M158" s="1" t="s">
        <v>2099</v>
      </c>
      <c r="N158" s="1" t="s">
        <v>2100</v>
      </c>
      <c r="O158" s="2" t="s">
        <v>680</v>
      </c>
      <c r="P158" s="1" t="s">
        <v>320</v>
      </c>
      <c r="Q158" s="2" t="s">
        <v>10</v>
      </c>
      <c r="R158" s="2" t="s">
        <v>405</v>
      </c>
      <c r="T158" s="2" t="s">
        <v>12</v>
      </c>
      <c r="U158" s="3">
        <v>4</v>
      </c>
      <c r="V158" s="3">
        <v>4</v>
      </c>
      <c r="W158" s="4" t="s">
        <v>2101</v>
      </c>
      <c r="X158" s="4" t="s">
        <v>2101</v>
      </c>
      <c r="Y158" s="4" t="s">
        <v>2102</v>
      </c>
      <c r="Z158" s="4" t="s">
        <v>2102</v>
      </c>
      <c r="AA158" s="3">
        <v>319</v>
      </c>
      <c r="AB158" s="3">
        <v>293</v>
      </c>
      <c r="AC158" s="3">
        <v>751</v>
      </c>
      <c r="AD158" s="3">
        <v>2</v>
      </c>
      <c r="AE158" s="3">
        <v>32</v>
      </c>
      <c r="AF158" s="3">
        <v>11</v>
      </c>
      <c r="AG158" s="3">
        <v>35</v>
      </c>
      <c r="AH158" s="3">
        <v>4</v>
      </c>
      <c r="AI158" s="3">
        <v>10</v>
      </c>
      <c r="AJ158" s="3">
        <v>2</v>
      </c>
      <c r="AK158" s="3">
        <v>4</v>
      </c>
      <c r="AL158" s="3">
        <v>6</v>
      </c>
      <c r="AM158" s="3">
        <v>13</v>
      </c>
      <c r="AN158" s="3">
        <v>1</v>
      </c>
      <c r="AO158" s="3">
        <v>12</v>
      </c>
      <c r="AP158" s="3">
        <v>0</v>
      </c>
      <c r="AQ158" s="3">
        <v>1</v>
      </c>
      <c r="AR158" s="2" t="s">
        <v>5</v>
      </c>
      <c r="AS158" s="2" t="s">
        <v>5</v>
      </c>
      <c r="AU158" s="5" t="str">
        <f>HYPERLINK("https://creighton-primo.hosted.exlibrisgroup.com/primo-explore/search?tab=default_tab&amp;search_scope=EVERYTHING&amp;vid=01CRU&amp;lang=en_US&amp;offset=0&amp;query=any,contains,991000463379702656","Catalog Record")</f>
        <v>Catalog Record</v>
      </c>
      <c r="AV158" s="5" t="str">
        <f>HYPERLINK("http://www.worldcat.org/oclc/55746870","WorldCat Record")</f>
        <v>WorldCat Record</v>
      </c>
      <c r="AW158" s="2" t="s">
        <v>2103</v>
      </c>
      <c r="AX158" s="2" t="s">
        <v>2104</v>
      </c>
      <c r="AY158" s="2" t="s">
        <v>2105</v>
      </c>
      <c r="AZ158" s="2" t="s">
        <v>2105</v>
      </c>
      <c r="BA158" s="2" t="s">
        <v>2106</v>
      </c>
      <c r="BB158" s="2" t="s">
        <v>19</v>
      </c>
      <c r="BD158" s="2" t="s">
        <v>2107</v>
      </c>
      <c r="BE158" s="2" t="s">
        <v>2108</v>
      </c>
      <c r="BF158" s="2" t="s">
        <v>2109</v>
      </c>
    </row>
    <row r="159" spans="1:58" ht="50.25" customHeight="1" x14ac:dyDescent="0.25">
      <c r="A159" s="8" t="s">
        <v>5</v>
      </c>
      <c r="B159" s="1" t="s">
        <v>0</v>
      </c>
      <c r="C159" s="1" t="s">
        <v>1</v>
      </c>
      <c r="D159" s="1" t="s">
        <v>2110</v>
      </c>
      <c r="E159" s="1" t="s">
        <v>2111</v>
      </c>
      <c r="F159" s="1" t="s">
        <v>2112</v>
      </c>
      <c r="H159" s="2" t="s">
        <v>5</v>
      </c>
      <c r="I159" s="2" t="s">
        <v>6</v>
      </c>
      <c r="J159" s="2" t="s">
        <v>5</v>
      </c>
      <c r="K159" s="2" t="s">
        <v>5</v>
      </c>
      <c r="L159" s="2" t="s">
        <v>7</v>
      </c>
      <c r="N159" s="1" t="s">
        <v>2113</v>
      </c>
      <c r="O159" s="2" t="s">
        <v>289</v>
      </c>
      <c r="Q159" s="2" t="s">
        <v>10</v>
      </c>
      <c r="R159" s="2" t="s">
        <v>110</v>
      </c>
      <c r="S159" s="1" t="s">
        <v>2114</v>
      </c>
      <c r="T159" s="2" t="s">
        <v>12</v>
      </c>
      <c r="U159" s="3">
        <v>2</v>
      </c>
      <c r="V159" s="3">
        <v>2</v>
      </c>
      <c r="W159" s="4" t="s">
        <v>1689</v>
      </c>
      <c r="X159" s="4" t="s">
        <v>1689</v>
      </c>
      <c r="Y159" s="4" t="s">
        <v>1690</v>
      </c>
      <c r="Z159" s="4" t="s">
        <v>1690</v>
      </c>
      <c r="AA159" s="3">
        <v>43</v>
      </c>
      <c r="AB159" s="3">
        <v>33</v>
      </c>
      <c r="AC159" s="3">
        <v>33</v>
      </c>
      <c r="AD159" s="3">
        <v>1</v>
      </c>
      <c r="AE159" s="3">
        <v>1</v>
      </c>
      <c r="AF159" s="3">
        <v>1</v>
      </c>
      <c r="AG159" s="3">
        <v>1</v>
      </c>
      <c r="AH159" s="3">
        <v>0</v>
      </c>
      <c r="AI159" s="3">
        <v>0</v>
      </c>
      <c r="AJ159" s="3">
        <v>1</v>
      </c>
      <c r="AK159" s="3">
        <v>1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2" t="s">
        <v>5</v>
      </c>
      <c r="AS159" s="2" t="s">
        <v>5</v>
      </c>
      <c r="AU159" s="5" t="str">
        <f>HYPERLINK("https://creighton-primo.hosted.exlibrisgroup.com/primo-explore/search?tab=default_tab&amp;search_scope=EVERYTHING&amp;vid=01CRU&amp;lang=en_US&amp;offset=0&amp;query=any,contains,991000367209702656","Catalog Record")</f>
        <v>Catalog Record</v>
      </c>
      <c r="AV159" s="5" t="str">
        <f>HYPERLINK("http://www.worldcat.org/oclc/42369123","WorldCat Record")</f>
        <v>WorldCat Record</v>
      </c>
      <c r="AW159" s="2" t="s">
        <v>2115</v>
      </c>
      <c r="AX159" s="2" t="s">
        <v>2116</v>
      </c>
      <c r="AY159" s="2" t="s">
        <v>2117</v>
      </c>
      <c r="AZ159" s="2" t="s">
        <v>2117</v>
      </c>
      <c r="BA159" s="2" t="s">
        <v>2118</v>
      </c>
      <c r="BB159" s="2" t="s">
        <v>19</v>
      </c>
      <c r="BD159" s="2" t="s">
        <v>2119</v>
      </c>
      <c r="BE159" s="2" t="s">
        <v>2120</v>
      </c>
      <c r="BF159" s="2" t="s">
        <v>2121</v>
      </c>
    </row>
    <row r="160" spans="1:58" ht="50.25" customHeight="1" x14ac:dyDescent="0.25">
      <c r="A160" s="8" t="s">
        <v>5</v>
      </c>
      <c r="B160" s="1" t="s">
        <v>0</v>
      </c>
      <c r="C160" s="1" t="s">
        <v>1</v>
      </c>
      <c r="D160" s="1" t="s">
        <v>2122</v>
      </c>
      <c r="E160" s="1" t="s">
        <v>2123</v>
      </c>
      <c r="F160" s="1" t="s">
        <v>2124</v>
      </c>
      <c r="H160" s="2" t="s">
        <v>5</v>
      </c>
      <c r="I160" s="2" t="s">
        <v>6</v>
      </c>
      <c r="J160" s="2" t="s">
        <v>5</v>
      </c>
      <c r="K160" s="2" t="s">
        <v>90</v>
      </c>
      <c r="L160" s="2" t="s">
        <v>6</v>
      </c>
      <c r="M160" s="1" t="s">
        <v>502</v>
      </c>
      <c r="N160" s="1" t="s">
        <v>2125</v>
      </c>
      <c r="O160" s="2" t="s">
        <v>60</v>
      </c>
      <c r="P160" s="1" t="s">
        <v>2126</v>
      </c>
      <c r="Q160" s="2" t="s">
        <v>10</v>
      </c>
      <c r="R160" s="2" t="s">
        <v>45</v>
      </c>
      <c r="T160" s="2" t="s">
        <v>12</v>
      </c>
      <c r="U160" s="3">
        <v>18</v>
      </c>
      <c r="V160" s="3">
        <v>18</v>
      </c>
      <c r="W160" s="4" t="s">
        <v>2127</v>
      </c>
      <c r="X160" s="4" t="s">
        <v>2127</v>
      </c>
      <c r="Y160" s="4" t="s">
        <v>1702</v>
      </c>
      <c r="Z160" s="4" t="s">
        <v>1702</v>
      </c>
      <c r="AA160" s="3">
        <v>746</v>
      </c>
      <c r="AB160" s="3">
        <v>614</v>
      </c>
      <c r="AC160" s="3">
        <v>1836</v>
      </c>
      <c r="AD160" s="3">
        <v>4</v>
      </c>
      <c r="AE160" s="3">
        <v>9</v>
      </c>
      <c r="AF160" s="3">
        <v>21</v>
      </c>
      <c r="AG160" s="3">
        <v>52</v>
      </c>
      <c r="AH160" s="3">
        <v>8</v>
      </c>
      <c r="AI160" s="3">
        <v>22</v>
      </c>
      <c r="AJ160" s="3">
        <v>4</v>
      </c>
      <c r="AK160" s="3">
        <v>8</v>
      </c>
      <c r="AL160" s="3">
        <v>10</v>
      </c>
      <c r="AM160" s="3">
        <v>23</v>
      </c>
      <c r="AN160" s="3">
        <v>3</v>
      </c>
      <c r="AO160" s="3">
        <v>8</v>
      </c>
      <c r="AP160" s="3">
        <v>0</v>
      </c>
      <c r="AQ160" s="3">
        <v>0</v>
      </c>
      <c r="AR160" s="2" t="s">
        <v>5</v>
      </c>
      <c r="AS160" s="2" t="s">
        <v>90</v>
      </c>
      <c r="AT160" s="5" t="str">
        <f>HYPERLINK("http://catalog.hathitrust.org/Record/005563069","HathiTrust Record")</f>
        <v>HathiTrust Record</v>
      </c>
      <c r="AU160" s="5" t="str">
        <f>HYPERLINK("https://creighton-primo.hosted.exlibrisgroup.com/primo-explore/search?tab=default_tab&amp;search_scope=EVERYTHING&amp;vid=01CRU&amp;lang=en_US&amp;offset=0&amp;query=any,contains,991000373609702656","Catalog Record")</f>
        <v>Catalog Record</v>
      </c>
      <c r="AV160" s="5" t="str">
        <f>HYPERLINK("http://www.worldcat.org/oclc/51800002","WorldCat Record")</f>
        <v>WorldCat Record</v>
      </c>
      <c r="AW160" s="2" t="s">
        <v>507</v>
      </c>
      <c r="AX160" s="2" t="s">
        <v>2128</v>
      </c>
      <c r="AY160" s="2" t="s">
        <v>2129</v>
      </c>
      <c r="AZ160" s="2" t="s">
        <v>2129</v>
      </c>
      <c r="BA160" s="2" t="s">
        <v>2130</v>
      </c>
      <c r="BB160" s="2" t="s">
        <v>19</v>
      </c>
      <c r="BD160" s="2" t="s">
        <v>2131</v>
      </c>
      <c r="BE160" s="2" t="s">
        <v>2132</v>
      </c>
      <c r="BF160" s="2" t="s">
        <v>2133</v>
      </c>
    </row>
    <row r="161" spans="1:58" ht="50.25" customHeight="1" x14ac:dyDescent="0.25">
      <c r="A161" s="8" t="s">
        <v>5</v>
      </c>
      <c r="B161" s="1" t="s">
        <v>0</v>
      </c>
      <c r="C161" s="1" t="s">
        <v>1</v>
      </c>
      <c r="D161" s="1" t="s">
        <v>2134</v>
      </c>
      <c r="E161" s="1" t="s">
        <v>2135</v>
      </c>
      <c r="F161" s="1" t="s">
        <v>2136</v>
      </c>
      <c r="H161" s="2" t="s">
        <v>5</v>
      </c>
      <c r="I161" s="2" t="s">
        <v>6</v>
      </c>
      <c r="J161" s="2" t="s">
        <v>5</v>
      </c>
      <c r="K161" s="2" t="s">
        <v>5</v>
      </c>
      <c r="L161" s="2" t="s">
        <v>7</v>
      </c>
      <c r="N161" s="1" t="s">
        <v>2137</v>
      </c>
      <c r="O161" s="2" t="s">
        <v>169</v>
      </c>
      <c r="Q161" s="2" t="s">
        <v>10</v>
      </c>
      <c r="R161" s="2" t="s">
        <v>405</v>
      </c>
      <c r="T161" s="2" t="s">
        <v>12</v>
      </c>
      <c r="U161" s="3">
        <v>0</v>
      </c>
      <c r="V161" s="3">
        <v>0</v>
      </c>
      <c r="W161" s="4" t="s">
        <v>1702</v>
      </c>
      <c r="X161" s="4" t="s">
        <v>1702</v>
      </c>
      <c r="Y161" s="4" t="s">
        <v>1702</v>
      </c>
      <c r="Z161" s="4" t="s">
        <v>1702</v>
      </c>
      <c r="AA161" s="3">
        <v>201</v>
      </c>
      <c r="AB161" s="3">
        <v>186</v>
      </c>
      <c r="AC161" s="3">
        <v>193</v>
      </c>
      <c r="AD161" s="3">
        <v>2</v>
      </c>
      <c r="AE161" s="3">
        <v>2</v>
      </c>
      <c r="AF161" s="3">
        <v>6</v>
      </c>
      <c r="AG161" s="3">
        <v>6</v>
      </c>
      <c r="AH161" s="3">
        <v>2</v>
      </c>
      <c r="AI161" s="3">
        <v>2</v>
      </c>
      <c r="AJ161" s="3">
        <v>1</v>
      </c>
      <c r="AK161" s="3">
        <v>1</v>
      </c>
      <c r="AL161" s="3">
        <v>4</v>
      </c>
      <c r="AM161" s="3">
        <v>4</v>
      </c>
      <c r="AN161" s="3">
        <v>1</v>
      </c>
      <c r="AO161" s="3">
        <v>1</v>
      </c>
      <c r="AP161" s="3">
        <v>0</v>
      </c>
      <c r="AQ161" s="3">
        <v>0</v>
      </c>
      <c r="AR161" s="2" t="s">
        <v>5</v>
      </c>
      <c r="AS161" s="2" t="s">
        <v>90</v>
      </c>
      <c r="AT161" s="5" t="str">
        <f>HYPERLINK("http://catalog.hathitrust.org/Record/003978205","HathiTrust Record")</f>
        <v>HathiTrust Record</v>
      </c>
      <c r="AU161" s="5" t="str">
        <f>HYPERLINK("https://creighton-primo.hosted.exlibrisgroup.com/primo-explore/search?tab=default_tab&amp;search_scope=EVERYTHING&amp;vid=01CRU&amp;lang=en_US&amp;offset=0&amp;query=any,contains,991000373369702656","Catalog Record")</f>
        <v>Catalog Record</v>
      </c>
      <c r="AV161" s="5" t="str">
        <f>HYPERLINK("http://www.worldcat.org/oclc/38281713","WorldCat Record")</f>
        <v>WorldCat Record</v>
      </c>
      <c r="AW161" s="2" t="s">
        <v>2138</v>
      </c>
      <c r="AX161" s="2" t="s">
        <v>2139</v>
      </c>
      <c r="AY161" s="2" t="s">
        <v>2140</v>
      </c>
      <c r="AZ161" s="2" t="s">
        <v>2140</v>
      </c>
      <c r="BA161" s="2" t="s">
        <v>2141</v>
      </c>
      <c r="BB161" s="2" t="s">
        <v>19</v>
      </c>
      <c r="BD161" s="2" t="s">
        <v>2142</v>
      </c>
      <c r="BE161" s="2" t="s">
        <v>2143</v>
      </c>
      <c r="BF161" s="2" t="s">
        <v>2144</v>
      </c>
    </row>
    <row r="162" spans="1:58" ht="50.25" customHeight="1" x14ac:dyDescent="0.25">
      <c r="A162" s="8" t="s">
        <v>5</v>
      </c>
      <c r="B162" s="1" t="s">
        <v>0</v>
      </c>
      <c r="C162" s="1" t="s">
        <v>1</v>
      </c>
      <c r="D162" s="1" t="s">
        <v>2145</v>
      </c>
      <c r="E162" s="1" t="s">
        <v>2146</v>
      </c>
      <c r="F162" s="1" t="s">
        <v>2147</v>
      </c>
      <c r="H162" s="2" t="s">
        <v>5</v>
      </c>
      <c r="I162" s="2" t="s">
        <v>6</v>
      </c>
      <c r="J162" s="2" t="s">
        <v>5</v>
      </c>
      <c r="K162" s="2" t="s">
        <v>5</v>
      </c>
      <c r="L162" s="2" t="s">
        <v>7</v>
      </c>
      <c r="N162" s="1" t="s">
        <v>2148</v>
      </c>
      <c r="O162" s="2" t="s">
        <v>319</v>
      </c>
      <c r="Q162" s="2" t="s">
        <v>10</v>
      </c>
      <c r="R162" s="2" t="s">
        <v>61</v>
      </c>
      <c r="T162" s="2" t="s">
        <v>12</v>
      </c>
      <c r="U162" s="3">
        <v>9</v>
      </c>
      <c r="V162" s="3">
        <v>9</v>
      </c>
      <c r="W162" s="4" t="s">
        <v>2149</v>
      </c>
      <c r="X162" s="4" t="s">
        <v>2149</v>
      </c>
      <c r="Y162" s="4" t="s">
        <v>2150</v>
      </c>
      <c r="Z162" s="4" t="s">
        <v>2150</v>
      </c>
      <c r="AA162" s="3">
        <v>305</v>
      </c>
      <c r="AB162" s="3">
        <v>242</v>
      </c>
      <c r="AC162" s="3">
        <v>634</v>
      </c>
      <c r="AD162" s="3">
        <v>1</v>
      </c>
      <c r="AE162" s="3">
        <v>2</v>
      </c>
      <c r="AF162" s="3">
        <v>9</v>
      </c>
      <c r="AG162" s="3">
        <v>14</v>
      </c>
      <c r="AH162" s="3">
        <v>2</v>
      </c>
      <c r="AI162" s="3">
        <v>6</v>
      </c>
      <c r="AJ162" s="3">
        <v>5</v>
      </c>
      <c r="AK162" s="3">
        <v>5</v>
      </c>
      <c r="AL162" s="3">
        <v>6</v>
      </c>
      <c r="AM162" s="3">
        <v>7</v>
      </c>
      <c r="AN162" s="3">
        <v>0</v>
      </c>
      <c r="AO162" s="3">
        <v>1</v>
      </c>
      <c r="AP162" s="3">
        <v>0</v>
      </c>
      <c r="AQ162" s="3">
        <v>0</v>
      </c>
      <c r="AR162" s="2" t="s">
        <v>5</v>
      </c>
      <c r="AS162" s="2" t="s">
        <v>90</v>
      </c>
      <c r="AT162" s="5" t="str">
        <f>HYPERLINK("http://catalog.hathitrust.org/Record/002726692","HathiTrust Record")</f>
        <v>HathiTrust Record</v>
      </c>
      <c r="AU162" s="5" t="str">
        <f>HYPERLINK("https://creighton-primo.hosted.exlibrisgroup.com/primo-explore/search?tab=default_tab&amp;search_scope=EVERYTHING&amp;vid=01CRU&amp;lang=en_US&amp;offset=0&amp;query=any,contains,991001547479702656","Catalog Record")</f>
        <v>Catalog Record</v>
      </c>
      <c r="AV162" s="5" t="str">
        <f>HYPERLINK("http://www.worldcat.org/oclc/28375623","WorldCat Record")</f>
        <v>WorldCat Record</v>
      </c>
      <c r="AW162" s="2" t="s">
        <v>2151</v>
      </c>
      <c r="AX162" s="2" t="s">
        <v>2152</v>
      </c>
      <c r="AY162" s="2" t="s">
        <v>2153</v>
      </c>
      <c r="AZ162" s="2" t="s">
        <v>2153</v>
      </c>
      <c r="BA162" s="2" t="s">
        <v>2154</v>
      </c>
      <c r="BB162" s="2" t="s">
        <v>19</v>
      </c>
      <c r="BE162" s="2" t="s">
        <v>2155</v>
      </c>
      <c r="BF162" s="2" t="s">
        <v>2156</v>
      </c>
    </row>
    <row r="163" spans="1:58" ht="50.25" customHeight="1" x14ac:dyDescent="0.25">
      <c r="A163" s="8" t="s">
        <v>5</v>
      </c>
      <c r="B163" s="1" t="s">
        <v>0</v>
      </c>
      <c r="C163" s="1" t="s">
        <v>1</v>
      </c>
      <c r="D163" s="1" t="s">
        <v>2157</v>
      </c>
      <c r="E163" s="1" t="s">
        <v>2158</v>
      </c>
      <c r="F163" s="1" t="s">
        <v>2159</v>
      </c>
      <c r="H163" s="2" t="s">
        <v>5</v>
      </c>
      <c r="I163" s="2" t="s">
        <v>6</v>
      </c>
      <c r="J163" s="2" t="s">
        <v>5</v>
      </c>
      <c r="K163" s="2" t="s">
        <v>5</v>
      </c>
      <c r="L163" s="2" t="s">
        <v>7</v>
      </c>
      <c r="M163" s="1" t="s">
        <v>2160</v>
      </c>
      <c r="N163" s="1" t="s">
        <v>2161</v>
      </c>
      <c r="O163" s="2" t="s">
        <v>596</v>
      </c>
      <c r="Q163" s="2" t="s">
        <v>10</v>
      </c>
      <c r="R163" s="2" t="s">
        <v>184</v>
      </c>
      <c r="T163" s="2" t="s">
        <v>12</v>
      </c>
      <c r="U163" s="3">
        <v>31</v>
      </c>
      <c r="V163" s="3">
        <v>31</v>
      </c>
      <c r="W163" s="4" t="s">
        <v>2162</v>
      </c>
      <c r="X163" s="4" t="s">
        <v>2162</v>
      </c>
      <c r="Y163" s="4" t="s">
        <v>2163</v>
      </c>
      <c r="Z163" s="4" t="s">
        <v>2163</v>
      </c>
      <c r="AA163" s="3">
        <v>96</v>
      </c>
      <c r="AB163" s="3">
        <v>80</v>
      </c>
      <c r="AC163" s="3">
        <v>80</v>
      </c>
      <c r="AD163" s="3">
        <v>1</v>
      </c>
      <c r="AE163" s="3">
        <v>1</v>
      </c>
      <c r="AF163" s="3">
        <v>3</v>
      </c>
      <c r="AG163" s="3">
        <v>3</v>
      </c>
      <c r="AH163" s="3">
        <v>0</v>
      </c>
      <c r="AI163" s="3">
        <v>0</v>
      </c>
      <c r="AJ163" s="3">
        <v>1</v>
      </c>
      <c r="AK163" s="3">
        <v>1</v>
      </c>
      <c r="AL163" s="3">
        <v>2</v>
      </c>
      <c r="AM163" s="3">
        <v>2</v>
      </c>
      <c r="AN163" s="3">
        <v>0</v>
      </c>
      <c r="AO163" s="3">
        <v>0</v>
      </c>
      <c r="AP163" s="3">
        <v>1</v>
      </c>
      <c r="AQ163" s="3">
        <v>1</v>
      </c>
      <c r="AR163" s="2" t="s">
        <v>5</v>
      </c>
      <c r="AS163" s="2" t="s">
        <v>5</v>
      </c>
      <c r="AU163" s="5" t="str">
        <f>HYPERLINK("https://creighton-primo.hosted.exlibrisgroup.com/primo-explore/search?tab=default_tab&amp;search_scope=EVERYTHING&amp;vid=01CRU&amp;lang=en_US&amp;offset=0&amp;query=any,contains,991001241729702656","Catalog Record")</f>
        <v>Catalog Record</v>
      </c>
      <c r="AV163" s="5" t="str">
        <f>HYPERLINK("http://www.worldcat.org/oclc/17636038","WorldCat Record")</f>
        <v>WorldCat Record</v>
      </c>
      <c r="AW163" s="2" t="s">
        <v>2164</v>
      </c>
      <c r="AX163" s="2" t="s">
        <v>2165</v>
      </c>
      <c r="AY163" s="2" t="s">
        <v>2166</v>
      </c>
      <c r="AZ163" s="2" t="s">
        <v>2166</v>
      </c>
      <c r="BA163" s="2" t="s">
        <v>2167</v>
      </c>
      <c r="BB163" s="2" t="s">
        <v>19</v>
      </c>
      <c r="BE163" s="2" t="s">
        <v>2168</v>
      </c>
      <c r="BF163" s="2" t="s">
        <v>2169</v>
      </c>
    </row>
    <row r="164" spans="1:58" ht="50.25" customHeight="1" x14ac:dyDescent="0.25">
      <c r="A164" s="8" t="s">
        <v>5</v>
      </c>
      <c r="B164" s="1" t="s">
        <v>0</v>
      </c>
      <c r="C164" s="1" t="s">
        <v>1</v>
      </c>
      <c r="D164" s="1" t="s">
        <v>2170</v>
      </c>
      <c r="E164" s="1" t="s">
        <v>2171</v>
      </c>
      <c r="F164" s="1" t="s">
        <v>2172</v>
      </c>
      <c r="H164" s="2" t="s">
        <v>5</v>
      </c>
      <c r="I164" s="2" t="s">
        <v>6</v>
      </c>
      <c r="J164" s="2" t="s">
        <v>5</v>
      </c>
      <c r="K164" s="2" t="s">
        <v>5</v>
      </c>
      <c r="L164" s="2" t="s">
        <v>6</v>
      </c>
      <c r="N164" s="1" t="s">
        <v>2173</v>
      </c>
      <c r="O164" s="2" t="s">
        <v>860</v>
      </c>
      <c r="Q164" s="2" t="s">
        <v>10</v>
      </c>
      <c r="R164" s="2" t="s">
        <v>11</v>
      </c>
      <c r="T164" s="2" t="s">
        <v>12</v>
      </c>
      <c r="U164" s="3">
        <v>0</v>
      </c>
      <c r="V164" s="3">
        <v>0</v>
      </c>
      <c r="W164" s="4" t="s">
        <v>2174</v>
      </c>
      <c r="X164" s="4" t="s">
        <v>2174</v>
      </c>
      <c r="Y164" s="4" t="s">
        <v>2175</v>
      </c>
      <c r="Z164" s="4" t="s">
        <v>2175</v>
      </c>
      <c r="AA164" s="3">
        <v>92</v>
      </c>
      <c r="AB164" s="3">
        <v>71</v>
      </c>
      <c r="AC164" s="3">
        <v>317</v>
      </c>
      <c r="AD164" s="3">
        <v>1</v>
      </c>
      <c r="AE164" s="3">
        <v>2</v>
      </c>
      <c r="AF164" s="3">
        <v>1</v>
      </c>
      <c r="AG164" s="3">
        <v>5</v>
      </c>
      <c r="AH164" s="3">
        <v>1</v>
      </c>
      <c r="AI164" s="3">
        <v>4</v>
      </c>
      <c r="AJ164" s="3">
        <v>0</v>
      </c>
      <c r="AK164" s="3">
        <v>0</v>
      </c>
      <c r="AL164" s="3">
        <v>1</v>
      </c>
      <c r="AM164" s="3">
        <v>4</v>
      </c>
      <c r="AN164" s="3">
        <v>0</v>
      </c>
      <c r="AO164" s="3">
        <v>0</v>
      </c>
      <c r="AP164" s="3">
        <v>0</v>
      </c>
      <c r="AQ164" s="3">
        <v>0</v>
      </c>
      <c r="AR164" s="2" t="s">
        <v>5</v>
      </c>
      <c r="AS164" s="2" t="s">
        <v>5</v>
      </c>
      <c r="AU164" s="5" t="str">
        <f>HYPERLINK("https://creighton-primo.hosted.exlibrisgroup.com/primo-explore/search?tab=default_tab&amp;search_scope=EVERYTHING&amp;vid=01CRU&amp;lang=en_US&amp;offset=0&amp;query=any,contains,991001496049702656","Catalog Record")</f>
        <v>Catalog Record</v>
      </c>
      <c r="AV164" s="5" t="str">
        <f>HYPERLINK("http://www.worldcat.org/oclc/430054653","WorldCat Record")</f>
        <v>WorldCat Record</v>
      </c>
      <c r="AW164" s="2" t="s">
        <v>2176</v>
      </c>
      <c r="AX164" s="2" t="s">
        <v>2177</v>
      </c>
      <c r="AY164" s="2" t="s">
        <v>2178</v>
      </c>
      <c r="AZ164" s="2" t="s">
        <v>2178</v>
      </c>
      <c r="BA164" s="2" t="s">
        <v>2179</v>
      </c>
      <c r="BB164" s="2" t="s">
        <v>19</v>
      </c>
      <c r="BD164" s="2" t="s">
        <v>2180</v>
      </c>
      <c r="BE164" s="2" t="s">
        <v>2181</v>
      </c>
      <c r="BF164" s="2" t="s">
        <v>2182</v>
      </c>
    </row>
    <row r="165" spans="1:58" ht="50.25" customHeight="1" x14ac:dyDescent="0.25">
      <c r="A165" s="8" t="s">
        <v>5</v>
      </c>
      <c r="B165" s="1" t="s">
        <v>0</v>
      </c>
      <c r="C165" s="1" t="s">
        <v>1</v>
      </c>
      <c r="D165" s="1" t="s">
        <v>2183</v>
      </c>
      <c r="E165" s="1" t="s">
        <v>2184</v>
      </c>
      <c r="F165" s="1" t="s">
        <v>2185</v>
      </c>
      <c r="H165" s="2" t="s">
        <v>5</v>
      </c>
      <c r="I165" s="2" t="s">
        <v>6</v>
      </c>
      <c r="J165" s="2" t="s">
        <v>5</v>
      </c>
      <c r="K165" s="2" t="s">
        <v>5</v>
      </c>
      <c r="L165" s="2" t="s">
        <v>7</v>
      </c>
      <c r="N165" s="1" t="s">
        <v>2186</v>
      </c>
      <c r="O165" s="2" t="s">
        <v>9</v>
      </c>
      <c r="Q165" s="2" t="s">
        <v>10</v>
      </c>
      <c r="R165" s="2" t="s">
        <v>45</v>
      </c>
      <c r="T165" s="2" t="s">
        <v>12</v>
      </c>
      <c r="U165" s="3">
        <v>2</v>
      </c>
      <c r="V165" s="3">
        <v>2</v>
      </c>
      <c r="W165" s="4" t="s">
        <v>406</v>
      </c>
      <c r="X165" s="4" t="s">
        <v>406</v>
      </c>
      <c r="Y165" s="4" t="s">
        <v>407</v>
      </c>
      <c r="Z165" s="4" t="s">
        <v>407</v>
      </c>
      <c r="AA165" s="3">
        <v>333</v>
      </c>
      <c r="AB165" s="3">
        <v>267</v>
      </c>
      <c r="AC165" s="3">
        <v>312</v>
      </c>
      <c r="AD165" s="3">
        <v>4</v>
      </c>
      <c r="AE165" s="3">
        <v>4</v>
      </c>
      <c r="AF165" s="3">
        <v>12</v>
      </c>
      <c r="AG165" s="3">
        <v>16</v>
      </c>
      <c r="AH165" s="3">
        <v>4</v>
      </c>
      <c r="AI165" s="3">
        <v>5</v>
      </c>
      <c r="AJ165" s="3">
        <v>2</v>
      </c>
      <c r="AK165" s="3">
        <v>3</v>
      </c>
      <c r="AL165" s="3">
        <v>8</v>
      </c>
      <c r="AM165" s="3">
        <v>10</v>
      </c>
      <c r="AN165" s="3">
        <v>3</v>
      </c>
      <c r="AO165" s="3">
        <v>3</v>
      </c>
      <c r="AP165" s="3">
        <v>0</v>
      </c>
      <c r="AQ165" s="3">
        <v>1</v>
      </c>
      <c r="AR165" s="2" t="s">
        <v>5</v>
      </c>
      <c r="AS165" s="2" t="s">
        <v>5</v>
      </c>
      <c r="AU165" s="5" t="str">
        <f>HYPERLINK("https://creighton-primo.hosted.exlibrisgroup.com/primo-explore/search?tab=default_tab&amp;search_scope=EVERYTHING&amp;vid=01CRU&amp;lang=en_US&amp;offset=0&amp;query=any,contains,991000693149702656","Catalog Record")</f>
        <v>Catalog Record</v>
      </c>
      <c r="AV165" s="5" t="str">
        <f>HYPERLINK("http://www.worldcat.org/oclc/61879765","WorldCat Record")</f>
        <v>WorldCat Record</v>
      </c>
      <c r="AW165" s="2" t="s">
        <v>2187</v>
      </c>
      <c r="AX165" s="2" t="s">
        <v>2188</v>
      </c>
      <c r="AY165" s="2" t="s">
        <v>2189</v>
      </c>
      <c r="AZ165" s="2" t="s">
        <v>2189</v>
      </c>
      <c r="BA165" s="2" t="s">
        <v>2190</v>
      </c>
      <c r="BB165" s="2" t="s">
        <v>19</v>
      </c>
      <c r="BD165" s="2" t="s">
        <v>2191</v>
      </c>
      <c r="BE165" s="2" t="s">
        <v>2192</v>
      </c>
      <c r="BF165" s="2" t="s">
        <v>2193</v>
      </c>
    </row>
    <row r="166" spans="1:58" ht="50.25" customHeight="1" x14ac:dyDescent="0.25">
      <c r="A166" s="8" t="s">
        <v>5</v>
      </c>
      <c r="B166" s="1" t="s">
        <v>0</v>
      </c>
      <c r="C166" s="1" t="s">
        <v>1</v>
      </c>
      <c r="D166" s="1" t="s">
        <v>2194</v>
      </c>
      <c r="E166" s="1" t="s">
        <v>2195</v>
      </c>
      <c r="F166" s="1" t="s">
        <v>2196</v>
      </c>
      <c r="H166" s="2" t="s">
        <v>5</v>
      </c>
      <c r="I166" s="2" t="s">
        <v>6</v>
      </c>
      <c r="J166" s="2" t="s">
        <v>5</v>
      </c>
      <c r="K166" s="2" t="s">
        <v>5</v>
      </c>
      <c r="L166" s="2" t="s">
        <v>7</v>
      </c>
      <c r="N166" s="1" t="s">
        <v>2197</v>
      </c>
      <c r="O166" s="2" t="s">
        <v>389</v>
      </c>
      <c r="Q166" s="2" t="s">
        <v>10</v>
      </c>
      <c r="R166" s="2" t="s">
        <v>11</v>
      </c>
      <c r="S166" s="1" t="s">
        <v>2198</v>
      </c>
      <c r="T166" s="2" t="s">
        <v>12</v>
      </c>
      <c r="U166" s="3">
        <v>1</v>
      </c>
      <c r="V166" s="3">
        <v>1</v>
      </c>
      <c r="W166" s="4" t="s">
        <v>1956</v>
      </c>
      <c r="X166" s="4" t="s">
        <v>1956</v>
      </c>
      <c r="Y166" s="4" t="s">
        <v>64</v>
      </c>
      <c r="Z166" s="4" t="s">
        <v>64</v>
      </c>
      <c r="AA166" s="3">
        <v>212</v>
      </c>
      <c r="AB166" s="3">
        <v>178</v>
      </c>
      <c r="AC166" s="3">
        <v>209</v>
      </c>
      <c r="AD166" s="3">
        <v>2</v>
      </c>
      <c r="AE166" s="3">
        <v>2</v>
      </c>
      <c r="AF166" s="3">
        <v>8</v>
      </c>
      <c r="AG166" s="3">
        <v>11</v>
      </c>
      <c r="AH166" s="3">
        <v>1</v>
      </c>
      <c r="AI166" s="3">
        <v>4</v>
      </c>
      <c r="AJ166" s="3">
        <v>0</v>
      </c>
      <c r="AK166" s="3">
        <v>1</v>
      </c>
      <c r="AL166" s="3">
        <v>7</v>
      </c>
      <c r="AM166" s="3">
        <v>8</v>
      </c>
      <c r="AN166" s="3">
        <v>1</v>
      </c>
      <c r="AO166" s="3">
        <v>1</v>
      </c>
      <c r="AP166" s="3">
        <v>0</v>
      </c>
      <c r="AQ166" s="3">
        <v>0</v>
      </c>
      <c r="AR166" s="2" t="s">
        <v>5</v>
      </c>
      <c r="AS166" s="2" t="s">
        <v>5</v>
      </c>
      <c r="AU166" s="5" t="str">
        <f>HYPERLINK("https://creighton-primo.hosted.exlibrisgroup.com/primo-explore/search?tab=default_tab&amp;search_scope=EVERYTHING&amp;vid=01CRU&amp;lang=en_US&amp;offset=0&amp;query=any,contains,991000476259702656","Catalog Record")</f>
        <v>Catalog Record</v>
      </c>
      <c r="AV166" s="5" t="str">
        <f>HYPERLINK("http://www.worldcat.org/oclc/49525852","WorldCat Record")</f>
        <v>WorldCat Record</v>
      </c>
      <c r="AW166" s="2" t="s">
        <v>2199</v>
      </c>
      <c r="AX166" s="2" t="s">
        <v>2200</v>
      </c>
      <c r="AY166" s="2" t="s">
        <v>2201</v>
      </c>
      <c r="AZ166" s="2" t="s">
        <v>2201</v>
      </c>
      <c r="BA166" s="2" t="s">
        <v>2202</v>
      </c>
      <c r="BB166" s="2" t="s">
        <v>19</v>
      </c>
      <c r="BD166" s="2" t="s">
        <v>2203</v>
      </c>
      <c r="BE166" s="2" t="s">
        <v>2204</v>
      </c>
      <c r="BF166" s="2" t="s">
        <v>2205</v>
      </c>
    </row>
    <row r="167" spans="1:58" ht="50.25" customHeight="1" x14ac:dyDescent="0.25">
      <c r="A167" s="8" t="s">
        <v>5</v>
      </c>
      <c r="B167" s="1" t="s">
        <v>0</v>
      </c>
      <c r="C167" s="1" t="s">
        <v>1</v>
      </c>
      <c r="D167" s="1" t="s">
        <v>2206</v>
      </c>
      <c r="E167" s="1" t="s">
        <v>2207</v>
      </c>
      <c r="F167" s="1" t="s">
        <v>2208</v>
      </c>
      <c r="H167" s="2" t="s">
        <v>5</v>
      </c>
      <c r="I167" s="2" t="s">
        <v>6</v>
      </c>
      <c r="J167" s="2" t="s">
        <v>5</v>
      </c>
      <c r="K167" s="2" t="s">
        <v>5</v>
      </c>
      <c r="L167" s="2" t="s">
        <v>7</v>
      </c>
      <c r="M167" s="1" t="s">
        <v>2209</v>
      </c>
      <c r="N167" s="1" t="s">
        <v>2210</v>
      </c>
      <c r="O167" s="2" t="s">
        <v>349</v>
      </c>
      <c r="Q167" s="2" t="s">
        <v>10</v>
      </c>
      <c r="R167" s="2" t="s">
        <v>77</v>
      </c>
      <c r="T167" s="2" t="s">
        <v>12</v>
      </c>
      <c r="U167" s="3">
        <v>1</v>
      </c>
      <c r="V167" s="3">
        <v>1</v>
      </c>
      <c r="W167" s="4" t="s">
        <v>1702</v>
      </c>
      <c r="X167" s="4" t="s">
        <v>1702</v>
      </c>
      <c r="Y167" s="4" t="s">
        <v>2211</v>
      </c>
      <c r="Z167" s="4" t="s">
        <v>2211</v>
      </c>
      <c r="AA167" s="3">
        <v>154</v>
      </c>
      <c r="AB167" s="3">
        <v>87</v>
      </c>
      <c r="AC167" s="3">
        <v>178</v>
      </c>
      <c r="AD167" s="3">
        <v>1</v>
      </c>
      <c r="AE167" s="3">
        <v>1</v>
      </c>
      <c r="AF167" s="3">
        <v>6</v>
      </c>
      <c r="AG167" s="3">
        <v>8</v>
      </c>
      <c r="AH167" s="3">
        <v>2</v>
      </c>
      <c r="AI167" s="3">
        <v>4</v>
      </c>
      <c r="AJ167" s="3">
        <v>0</v>
      </c>
      <c r="AK167" s="3">
        <v>1</v>
      </c>
      <c r="AL167" s="3">
        <v>6</v>
      </c>
      <c r="AM167" s="3">
        <v>6</v>
      </c>
      <c r="AN167" s="3">
        <v>0</v>
      </c>
      <c r="AO167" s="3">
        <v>0</v>
      </c>
      <c r="AP167" s="3">
        <v>0</v>
      </c>
      <c r="AQ167" s="3">
        <v>0</v>
      </c>
      <c r="AR167" s="2" t="s">
        <v>5</v>
      </c>
      <c r="AS167" s="2" t="s">
        <v>5</v>
      </c>
      <c r="AU167" s="5" t="str">
        <f>HYPERLINK("https://creighton-primo.hosted.exlibrisgroup.com/primo-explore/search?tab=default_tab&amp;search_scope=EVERYTHING&amp;vid=01CRU&amp;lang=en_US&amp;offset=0&amp;query=any,contains,991000370249702656","Catalog Record")</f>
        <v>Catalog Record</v>
      </c>
      <c r="AV167" s="5" t="str">
        <f>HYPERLINK("http://www.worldcat.org/oclc/45327216","WorldCat Record")</f>
        <v>WorldCat Record</v>
      </c>
      <c r="AW167" s="2" t="s">
        <v>2212</v>
      </c>
      <c r="AX167" s="2" t="s">
        <v>2213</v>
      </c>
      <c r="AY167" s="2" t="s">
        <v>2214</v>
      </c>
      <c r="AZ167" s="2" t="s">
        <v>2214</v>
      </c>
      <c r="BA167" s="2" t="s">
        <v>2215</v>
      </c>
      <c r="BB167" s="2" t="s">
        <v>19</v>
      </c>
      <c r="BD167" s="2" t="s">
        <v>2216</v>
      </c>
      <c r="BE167" s="2" t="s">
        <v>2217</v>
      </c>
      <c r="BF167" s="2" t="s">
        <v>2218</v>
      </c>
    </row>
    <row r="168" spans="1:58" ht="50.25" customHeight="1" x14ac:dyDescent="0.25">
      <c r="A168" s="8" t="s">
        <v>5</v>
      </c>
      <c r="B168" s="1" t="s">
        <v>0</v>
      </c>
      <c r="C168" s="1" t="s">
        <v>1</v>
      </c>
      <c r="D168" s="1" t="s">
        <v>2219</v>
      </c>
      <c r="E168" s="1" t="s">
        <v>2220</v>
      </c>
      <c r="F168" s="1" t="s">
        <v>2221</v>
      </c>
      <c r="H168" s="2" t="s">
        <v>5</v>
      </c>
      <c r="I168" s="2" t="s">
        <v>6</v>
      </c>
      <c r="J168" s="2" t="s">
        <v>5</v>
      </c>
      <c r="K168" s="2" t="s">
        <v>5</v>
      </c>
      <c r="L168" s="2" t="s">
        <v>7</v>
      </c>
      <c r="M168" s="1" t="s">
        <v>2222</v>
      </c>
      <c r="N168" s="1" t="s">
        <v>2223</v>
      </c>
      <c r="O168" s="2" t="s">
        <v>169</v>
      </c>
      <c r="Q168" s="2" t="s">
        <v>10</v>
      </c>
      <c r="R168" s="2" t="s">
        <v>405</v>
      </c>
      <c r="S168" s="1" t="s">
        <v>2224</v>
      </c>
      <c r="T168" s="2" t="s">
        <v>12</v>
      </c>
      <c r="U168" s="3">
        <v>2</v>
      </c>
      <c r="V168" s="3">
        <v>2</v>
      </c>
      <c r="W168" s="4" t="s">
        <v>2225</v>
      </c>
      <c r="X168" s="4" t="s">
        <v>2225</v>
      </c>
      <c r="Y168" s="4" t="s">
        <v>1944</v>
      </c>
      <c r="Z168" s="4" t="s">
        <v>1944</v>
      </c>
      <c r="AA168" s="3">
        <v>367</v>
      </c>
      <c r="AB168" s="3">
        <v>313</v>
      </c>
      <c r="AC168" s="3">
        <v>619</v>
      </c>
      <c r="AD168" s="3">
        <v>2</v>
      </c>
      <c r="AE168" s="3">
        <v>4</v>
      </c>
      <c r="AF168" s="3">
        <v>15</v>
      </c>
      <c r="AG168" s="3">
        <v>22</v>
      </c>
      <c r="AH168" s="3">
        <v>2</v>
      </c>
      <c r="AI168" s="3">
        <v>6</v>
      </c>
      <c r="AJ168" s="3">
        <v>5</v>
      </c>
      <c r="AK168" s="3">
        <v>6</v>
      </c>
      <c r="AL168" s="3">
        <v>11</v>
      </c>
      <c r="AM168" s="3">
        <v>14</v>
      </c>
      <c r="AN168" s="3">
        <v>1</v>
      </c>
      <c r="AO168" s="3">
        <v>3</v>
      </c>
      <c r="AP168" s="3">
        <v>0</v>
      </c>
      <c r="AQ168" s="3">
        <v>0</v>
      </c>
      <c r="AR168" s="2" t="s">
        <v>5</v>
      </c>
      <c r="AS168" s="2" t="s">
        <v>90</v>
      </c>
      <c r="AT168" s="5" t="str">
        <f>HYPERLINK("http://catalog.hathitrust.org/Record/004569072","HathiTrust Record")</f>
        <v>HathiTrust Record</v>
      </c>
      <c r="AU168" s="5" t="str">
        <f>HYPERLINK("https://creighton-primo.hosted.exlibrisgroup.com/primo-explore/search?tab=default_tab&amp;search_scope=EVERYTHING&amp;vid=01CRU&amp;lang=en_US&amp;offset=0&amp;query=any,contains,991000372379702656","Catalog Record")</f>
        <v>Catalog Record</v>
      </c>
      <c r="AV168" s="5" t="str">
        <f>HYPERLINK("http://www.worldcat.org/oclc/37836637","WorldCat Record")</f>
        <v>WorldCat Record</v>
      </c>
      <c r="AW168" s="2" t="s">
        <v>2226</v>
      </c>
      <c r="AX168" s="2" t="s">
        <v>2227</v>
      </c>
      <c r="AY168" s="2" t="s">
        <v>2228</v>
      </c>
      <c r="AZ168" s="2" t="s">
        <v>2228</v>
      </c>
      <c r="BA168" s="2" t="s">
        <v>2229</v>
      </c>
      <c r="BB168" s="2" t="s">
        <v>19</v>
      </c>
      <c r="BD168" s="2" t="s">
        <v>2230</v>
      </c>
      <c r="BE168" s="2" t="s">
        <v>2231</v>
      </c>
      <c r="BF168" s="2" t="s">
        <v>2232</v>
      </c>
    </row>
    <row r="169" spans="1:58" ht="50.25" customHeight="1" x14ac:dyDescent="0.25">
      <c r="A169" s="8" t="s">
        <v>5</v>
      </c>
      <c r="B169" s="1" t="s">
        <v>0</v>
      </c>
      <c r="C169" s="1" t="s">
        <v>1</v>
      </c>
      <c r="D169" s="1" t="s">
        <v>2233</v>
      </c>
      <c r="E169" s="1" t="s">
        <v>2234</v>
      </c>
      <c r="F169" s="1" t="s">
        <v>2235</v>
      </c>
      <c r="H169" s="2" t="s">
        <v>5</v>
      </c>
      <c r="I169" s="2" t="s">
        <v>6</v>
      </c>
      <c r="J169" s="2" t="s">
        <v>5</v>
      </c>
      <c r="K169" s="2" t="s">
        <v>5</v>
      </c>
      <c r="L169" s="2" t="s">
        <v>7</v>
      </c>
      <c r="N169" s="1" t="s">
        <v>2236</v>
      </c>
      <c r="O169" s="2" t="s">
        <v>141</v>
      </c>
      <c r="Q169" s="2" t="s">
        <v>10</v>
      </c>
      <c r="R169" s="2" t="s">
        <v>29</v>
      </c>
      <c r="S169" s="1" t="s">
        <v>2237</v>
      </c>
      <c r="T169" s="2" t="s">
        <v>12</v>
      </c>
      <c r="U169" s="3">
        <v>10</v>
      </c>
      <c r="V169" s="3">
        <v>10</v>
      </c>
      <c r="W169" s="4" t="s">
        <v>2225</v>
      </c>
      <c r="X169" s="4" t="s">
        <v>2225</v>
      </c>
      <c r="Y169" s="4" t="s">
        <v>1346</v>
      </c>
      <c r="Z169" s="4" t="s">
        <v>1346</v>
      </c>
      <c r="AA169" s="3">
        <v>260</v>
      </c>
      <c r="AB169" s="3">
        <v>214</v>
      </c>
      <c r="AC169" s="3">
        <v>234</v>
      </c>
      <c r="AD169" s="3">
        <v>1</v>
      </c>
      <c r="AE169" s="3">
        <v>1</v>
      </c>
      <c r="AF169" s="3">
        <v>6</v>
      </c>
      <c r="AG169" s="3">
        <v>6</v>
      </c>
      <c r="AH169" s="3">
        <v>0</v>
      </c>
      <c r="AI169" s="3">
        <v>0</v>
      </c>
      <c r="AJ169" s="3">
        <v>1</v>
      </c>
      <c r="AK169" s="3">
        <v>1</v>
      </c>
      <c r="AL169" s="3">
        <v>5</v>
      </c>
      <c r="AM169" s="3">
        <v>5</v>
      </c>
      <c r="AN169" s="3">
        <v>0</v>
      </c>
      <c r="AO169" s="3">
        <v>0</v>
      </c>
      <c r="AP169" s="3">
        <v>0</v>
      </c>
      <c r="AQ169" s="3">
        <v>0</v>
      </c>
      <c r="AR169" s="2" t="s">
        <v>5</v>
      </c>
      <c r="AS169" s="2" t="s">
        <v>90</v>
      </c>
      <c r="AT169" s="5" t="str">
        <f>HYPERLINK("http://catalog.hathitrust.org/Record/000590791","HathiTrust Record")</f>
        <v>HathiTrust Record</v>
      </c>
      <c r="AU169" s="5" t="str">
        <f>HYPERLINK("https://creighton-primo.hosted.exlibrisgroup.com/primo-explore/search?tab=default_tab&amp;search_scope=EVERYTHING&amp;vid=01CRU&amp;lang=en_US&amp;offset=0&amp;query=any,contains,991000723989702656","Catalog Record")</f>
        <v>Catalog Record</v>
      </c>
      <c r="AV169" s="5" t="str">
        <f>HYPERLINK("http://www.worldcat.org/oclc/13423756","WorldCat Record")</f>
        <v>WorldCat Record</v>
      </c>
      <c r="AW169" s="2" t="s">
        <v>2238</v>
      </c>
      <c r="AX169" s="2" t="s">
        <v>2239</v>
      </c>
      <c r="AY169" s="2" t="s">
        <v>2240</v>
      </c>
      <c r="AZ169" s="2" t="s">
        <v>2240</v>
      </c>
      <c r="BA169" s="2" t="s">
        <v>2241</v>
      </c>
      <c r="BB169" s="2" t="s">
        <v>19</v>
      </c>
      <c r="BD169" s="2" t="s">
        <v>2242</v>
      </c>
      <c r="BE169" s="2" t="s">
        <v>2243</v>
      </c>
      <c r="BF169" s="2" t="s">
        <v>2244</v>
      </c>
    </row>
    <row r="170" spans="1:58" ht="50.25" customHeight="1" x14ac:dyDescent="0.25">
      <c r="A170" s="8" t="s">
        <v>5</v>
      </c>
      <c r="B170" s="1" t="s">
        <v>0</v>
      </c>
      <c r="C170" s="1" t="s">
        <v>1</v>
      </c>
      <c r="D170" s="1" t="s">
        <v>2245</v>
      </c>
      <c r="E170" s="1" t="s">
        <v>2246</v>
      </c>
      <c r="F170" s="1" t="s">
        <v>2247</v>
      </c>
      <c r="H170" s="2" t="s">
        <v>5</v>
      </c>
      <c r="I170" s="2" t="s">
        <v>6</v>
      </c>
      <c r="J170" s="2" t="s">
        <v>5</v>
      </c>
      <c r="K170" s="2" t="s">
        <v>5</v>
      </c>
      <c r="L170" s="2" t="s">
        <v>7</v>
      </c>
      <c r="N170" s="1" t="s">
        <v>2248</v>
      </c>
      <c r="O170" s="2" t="s">
        <v>28</v>
      </c>
      <c r="Q170" s="2" t="s">
        <v>10</v>
      </c>
      <c r="R170" s="2" t="s">
        <v>184</v>
      </c>
      <c r="T170" s="2" t="s">
        <v>12</v>
      </c>
      <c r="U170" s="3">
        <v>6</v>
      </c>
      <c r="V170" s="3">
        <v>6</v>
      </c>
      <c r="W170" s="4" t="s">
        <v>2035</v>
      </c>
      <c r="X170" s="4" t="s">
        <v>2035</v>
      </c>
      <c r="Y170" s="4" t="s">
        <v>2249</v>
      </c>
      <c r="Z170" s="4" t="s">
        <v>2249</v>
      </c>
      <c r="AA170" s="3">
        <v>107</v>
      </c>
      <c r="AB170" s="3">
        <v>94</v>
      </c>
      <c r="AC170" s="3">
        <v>97</v>
      </c>
      <c r="AD170" s="3">
        <v>1</v>
      </c>
      <c r="AE170" s="3">
        <v>1</v>
      </c>
      <c r="AF170" s="3">
        <v>5</v>
      </c>
      <c r="AG170" s="3">
        <v>5</v>
      </c>
      <c r="AH170" s="3">
        <v>1</v>
      </c>
      <c r="AI170" s="3">
        <v>1</v>
      </c>
      <c r="AJ170" s="3">
        <v>0</v>
      </c>
      <c r="AK170" s="3">
        <v>0</v>
      </c>
      <c r="AL170" s="3">
        <v>4</v>
      </c>
      <c r="AM170" s="3">
        <v>4</v>
      </c>
      <c r="AN170" s="3">
        <v>0</v>
      </c>
      <c r="AO170" s="3">
        <v>0</v>
      </c>
      <c r="AP170" s="3">
        <v>1</v>
      </c>
      <c r="AQ170" s="3">
        <v>1</v>
      </c>
      <c r="AR170" s="2" t="s">
        <v>5</v>
      </c>
      <c r="AS170" s="2" t="s">
        <v>90</v>
      </c>
      <c r="AT170" s="5" t="str">
        <f>HYPERLINK("http://catalog.hathitrust.org/Record/004170748","HathiTrust Record")</f>
        <v>HathiTrust Record</v>
      </c>
      <c r="AU170" s="5" t="str">
        <f>HYPERLINK("https://creighton-primo.hosted.exlibrisgroup.com/primo-explore/search?tab=default_tab&amp;search_scope=EVERYTHING&amp;vid=01CRU&amp;lang=en_US&amp;offset=0&amp;query=any,contains,991000942119702656","Catalog Record")</f>
        <v>Catalog Record</v>
      </c>
      <c r="AV170" s="5" t="str">
        <f>HYPERLINK("http://www.worldcat.org/oclc/27435209","WorldCat Record")</f>
        <v>WorldCat Record</v>
      </c>
      <c r="AW170" s="2" t="s">
        <v>2250</v>
      </c>
      <c r="AX170" s="2" t="s">
        <v>2251</v>
      </c>
      <c r="AY170" s="2" t="s">
        <v>2252</v>
      </c>
      <c r="AZ170" s="2" t="s">
        <v>2252</v>
      </c>
      <c r="BA170" s="2" t="s">
        <v>2253</v>
      </c>
      <c r="BB170" s="2" t="s">
        <v>19</v>
      </c>
      <c r="BD170" s="2" t="s">
        <v>2254</v>
      </c>
      <c r="BE170" s="2" t="s">
        <v>2255</v>
      </c>
      <c r="BF170" s="2" t="s">
        <v>2256</v>
      </c>
    </row>
    <row r="171" spans="1:58" ht="50.25" customHeight="1" x14ac:dyDescent="0.25">
      <c r="A171" s="8" t="s">
        <v>5</v>
      </c>
      <c r="B171" s="1" t="s">
        <v>0</v>
      </c>
      <c r="C171" s="1" t="s">
        <v>1</v>
      </c>
      <c r="D171" s="1" t="s">
        <v>2257</v>
      </c>
      <c r="E171" s="1" t="s">
        <v>2258</v>
      </c>
      <c r="F171" s="1" t="s">
        <v>2259</v>
      </c>
      <c r="H171" s="2" t="s">
        <v>5</v>
      </c>
      <c r="I171" s="2" t="s">
        <v>6</v>
      </c>
      <c r="J171" s="2" t="s">
        <v>5</v>
      </c>
      <c r="K171" s="2" t="s">
        <v>5</v>
      </c>
      <c r="L171" s="2" t="s">
        <v>7</v>
      </c>
      <c r="M171" s="1" t="s">
        <v>2260</v>
      </c>
      <c r="N171" s="1" t="s">
        <v>2261</v>
      </c>
      <c r="O171" s="2" t="s">
        <v>349</v>
      </c>
      <c r="Q171" s="2" t="s">
        <v>10</v>
      </c>
      <c r="R171" s="2" t="s">
        <v>405</v>
      </c>
      <c r="S171" s="1" t="s">
        <v>2262</v>
      </c>
      <c r="T171" s="2" t="s">
        <v>12</v>
      </c>
      <c r="U171" s="3">
        <v>0</v>
      </c>
      <c r="V171" s="3">
        <v>0</v>
      </c>
      <c r="W171" s="4" t="s">
        <v>1956</v>
      </c>
      <c r="X171" s="4" t="s">
        <v>1956</v>
      </c>
      <c r="Y171" s="4" t="s">
        <v>1646</v>
      </c>
      <c r="Z171" s="4" t="s">
        <v>1646</v>
      </c>
      <c r="AA171" s="3">
        <v>312</v>
      </c>
      <c r="AB171" s="3">
        <v>273</v>
      </c>
      <c r="AC171" s="3">
        <v>274</v>
      </c>
      <c r="AD171" s="3">
        <v>3</v>
      </c>
      <c r="AE171" s="3">
        <v>3</v>
      </c>
      <c r="AF171" s="3">
        <v>14</v>
      </c>
      <c r="AG171" s="3">
        <v>14</v>
      </c>
      <c r="AH171" s="3">
        <v>4</v>
      </c>
      <c r="AI171" s="3">
        <v>4</v>
      </c>
      <c r="AJ171" s="3">
        <v>5</v>
      </c>
      <c r="AK171" s="3">
        <v>5</v>
      </c>
      <c r="AL171" s="3">
        <v>7</v>
      </c>
      <c r="AM171" s="3">
        <v>7</v>
      </c>
      <c r="AN171" s="3">
        <v>2</v>
      </c>
      <c r="AO171" s="3">
        <v>2</v>
      </c>
      <c r="AP171" s="3">
        <v>0</v>
      </c>
      <c r="AQ171" s="3">
        <v>0</v>
      </c>
      <c r="AR171" s="2" t="s">
        <v>5</v>
      </c>
      <c r="AS171" s="2" t="s">
        <v>90</v>
      </c>
      <c r="AT171" s="5" t="str">
        <f>HYPERLINK("http://catalog.hathitrust.org/Record/004153785","HathiTrust Record")</f>
        <v>HathiTrust Record</v>
      </c>
      <c r="AU171" s="5" t="str">
        <f>HYPERLINK("https://creighton-primo.hosted.exlibrisgroup.com/primo-explore/search?tab=default_tab&amp;search_scope=EVERYTHING&amp;vid=01CRU&amp;lang=en_US&amp;offset=0&amp;query=any,contains,991000473369702656","Catalog Record")</f>
        <v>Catalog Record</v>
      </c>
      <c r="AV171" s="5" t="str">
        <f>HYPERLINK("http://www.worldcat.org/oclc/44467432","WorldCat Record")</f>
        <v>WorldCat Record</v>
      </c>
      <c r="AW171" s="2" t="s">
        <v>2263</v>
      </c>
      <c r="AX171" s="2" t="s">
        <v>2264</v>
      </c>
      <c r="AY171" s="2" t="s">
        <v>2265</v>
      </c>
      <c r="AZ171" s="2" t="s">
        <v>2265</v>
      </c>
      <c r="BA171" s="2" t="s">
        <v>2266</v>
      </c>
      <c r="BB171" s="2" t="s">
        <v>19</v>
      </c>
      <c r="BD171" s="2" t="s">
        <v>2267</v>
      </c>
      <c r="BE171" s="2" t="s">
        <v>2268</v>
      </c>
      <c r="BF171" s="2" t="s">
        <v>2269</v>
      </c>
    </row>
    <row r="172" spans="1:58" ht="50.25" customHeight="1" x14ac:dyDescent="0.25">
      <c r="A172" s="8" t="s">
        <v>5</v>
      </c>
      <c r="B172" s="1" t="s">
        <v>0</v>
      </c>
      <c r="C172" s="1" t="s">
        <v>1</v>
      </c>
      <c r="D172" s="1" t="s">
        <v>2270</v>
      </c>
      <c r="E172" s="1" t="s">
        <v>2271</v>
      </c>
      <c r="F172" s="1" t="s">
        <v>2272</v>
      </c>
      <c r="H172" s="2" t="s">
        <v>5</v>
      </c>
      <c r="I172" s="2" t="s">
        <v>6</v>
      </c>
      <c r="J172" s="2" t="s">
        <v>5</v>
      </c>
      <c r="K172" s="2" t="s">
        <v>5</v>
      </c>
      <c r="L172" s="2" t="s">
        <v>6</v>
      </c>
      <c r="N172" s="1" t="s">
        <v>2273</v>
      </c>
      <c r="O172" s="2" t="s">
        <v>60</v>
      </c>
      <c r="Q172" s="2" t="s">
        <v>10</v>
      </c>
      <c r="R172" s="2" t="s">
        <v>77</v>
      </c>
      <c r="S172" s="1" t="s">
        <v>2274</v>
      </c>
      <c r="T172" s="2" t="s">
        <v>12</v>
      </c>
      <c r="U172" s="3">
        <v>1</v>
      </c>
      <c r="V172" s="3">
        <v>1</v>
      </c>
      <c r="W172" s="4" t="s">
        <v>63</v>
      </c>
      <c r="X172" s="4" t="s">
        <v>63</v>
      </c>
      <c r="Y172" s="4" t="s">
        <v>1646</v>
      </c>
      <c r="Z172" s="4" t="s">
        <v>1646</v>
      </c>
      <c r="AA172" s="3">
        <v>175</v>
      </c>
      <c r="AB172" s="3">
        <v>94</v>
      </c>
      <c r="AC172" s="3">
        <v>1268</v>
      </c>
      <c r="AD172" s="3">
        <v>2</v>
      </c>
      <c r="AE172" s="3">
        <v>15</v>
      </c>
      <c r="AF172" s="3">
        <v>4</v>
      </c>
      <c r="AG172" s="3">
        <v>45</v>
      </c>
      <c r="AH172" s="3">
        <v>1</v>
      </c>
      <c r="AI172" s="3">
        <v>14</v>
      </c>
      <c r="AJ172" s="3">
        <v>0</v>
      </c>
      <c r="AK172" s="3">
        <v>9</v>
      </c>
      <c r="AL172" s="3">
        <v>3</v>
      </c>
      <c r="AM172" s="3">
        <v>13</v>
      </c>
      <c r="AN172" s="3">
        <v>1</v>
      </c>
      <c r="AO172" s="3">
        <v>13</v>
      </c>
      <c r="AP172" s="3">
        <v>0</v>
      </c>
      <c r="AQ172" s="3">
        <v>3</v>
      </c>
      <c r="AR172" s="2" t="s">
        <v>5</v>
      </c>
      <c r="AS172" s="2" t="s">
        <v>5</v>
      </c>
      <c r="AU172" s="5" t="str">
        <f>HYPERLINK("https://creighton-primo.hosted.exlibrisgroup.com/primo-explore/search?tab=default_tab&amp;search_scope=EVERYTHING&amp;vid=01CRU&amp;lang=en_US&amp;offset=0&amp;query=any,contains,991000473519702656","Catalog Record")</f>
        <v>Catalog Record</v>
      </c>
      <c r="AV172" s="5" t="str">
        <f>HYPERLINK("http://www.worldcat.org/oclc/54425147","WorldCat Record")</f>
        <v>WorldCat Record</v>
      </c>
      <c r="AW172" s="2" t="s">
        <v>2275</v>
      </c>
      <c r="AX172" s="2" t="s">
        <v>2276</v>
      </c>
      <c r="AY172" s="2" t="s">
        <v>2277</v>
      </c>
      <c r="AZ172" s="2" t="s">
        <v>2277</v>
      </c>
      <c r="BA172" s="2" t="s">
        <v>2278</v>
      </c>
      <c r="BB172" s="2" t="s">
        <v>19</v>
      </c>
      <c r="BD172" s="2" t="s">
        <v>2279</v>
      </c>
      <c r="BE172" s="2" t="s">
        <v>2280</v>
      </c>
      <c r="BF172" s="2" t="s">
        <v>2281</v>
      </c>
    </row>
    <row r="173" spans="1:58" ht="50.25" customHeight="1" x14ac:dyDescent="0.25">
      <c r="A173" s="8" t="s">
        <v>5</v>
      </c>
      <c r="B173" s="1" t="s">
        <v>0</v>
      </c>
      <c r="C173" s="1" t="s">
        <v>1</v>
      </c>
      <c r="D173" s="1" t="s">
        <v>2282</v>
      </c>
      <c r="E173" s="1" t="s">
        <v>2283</v>
      </c>
      <c r="F173" s="1" t="s">
        <v>2284</v>
      </c>
      <c r="H173" s="2" t="s">
        <v>5</v>
      </c>
      <c r="I173" s="2" t="s">
        <v>6</v>
      </c>
      <c r="J173" s="2" t="s">
        <v>5</v>
      </c>
      <c r="K173" s="2" t="s">
        <v>5</v>
      </c>
      <c r="L173" s="2" t="s">
        <v>7</v>
      </c>
      <c r="M173" s="1" t="s">
        <v>2285</v>
      </c>
      <c r="N173" s="1" t="s">
        <v>2286</v>
      </c>
      <c r="O173" s="2" t="s">
        <v>2287</v>
      </c>
      <c r="Q173" s="2" t="s">
        <v>10</v>
      </c>
      <c r="R173" s="2" t="s">
        <v>61</v>
      </c>
      <c r="T173" s="2" t="s">
        <v>12</v>
      </c>
      <c r="U173" s="3">
        <v>3</v>
      </c>
      <c r="V173" s="3">
        <v>3</v>
      </c>
      <c r="W173" s="4" t="s">
        <v>2288</v>
      </c>
      <c r="X173" s="4" t="s">
        <v>2288</v>
      </c>
      <c r="Y173" s="4" t="s">
        <v>1346</v>
      </c>
      <c r="Z173" s="4" t="s">
        <v>1346</v>
      </c>
      <c r="AA173" s="3">
        <v>326</v>
      </c>
      <c r="AB173" s="3">
        <v>289</v>
      </c>
      <c r="AC173" s="3">
        <v>297</v>
      </c>
      <c r="AD173" s="3">
        <v>2</v>
      </c>
      <c r="AE173" s="3">
        <v>2</v>
      </c>
      <c r="AF173" s="3">
        <v>9</v>
      </c>
      <c r="AG173" s="3">
        <v>9</v>
      </c>
      <c r="AH173" s="3">
        <v>1</v>
      </c>
      <c r="AI173" s="3">
        <v>1</v>
      </c>
      <c r="AJ173" s="3">
        <v>0</v>
      </c>
      <c r="AK173" s="3">
        <v>0</v>
      </c>
      <c r="AL173" s="3">
        <v>4</v>
      </c>
      <c r="AM173" s="3">
        <v>4</v>
      </c>
      <c r="AN173" s="3">
        <v>1</v>
      </c>
      <c r="AO173" s="3">
        <v>1</v>
      </c>
      <c r="AP173" s="3">
        <v>4</v>
      </c>
      <c r="AQ173" s="3">
        <v>4</v>
      </c>
      <c r="AR173" s="2" t="s">
        <v>5</v>
      </c>
      <c r="AS173" s="2" t="s">
        <v>90</v>
      </c>
      <c r="AT173" s="5" t="str">
        <f>HYPERLINK("http://catalog.hathitrust.org/Record/000700155","HathiTrust Record")</f>
        <v>HathiTrust Record</v>
      </c>
      <c r="AU173" s="5" t="str">
        <f>HYPERLINK("https://creighton-primo.hosted.exlibrisgroup.com/primo-explore/search?tab=default_tab&amp;search_scope=EVERYTHING&amp;vid=01CRU&amp;lang=en_US&amp;offset=0&amp;query=any,contains,991000724139702656","Catalog Record")</f>
        <v>Catalog Record</v>
      </c>
      <c r="AV173" s="5" t="str">
        <f>HYPERLINK("http://www.worldcat.org/oclc/6086291","WorldCat Record")</f>
        <v>WorldCat Record</v>
      </c>
      <c r="AW173" s="2" t="s">
        <v>2289</v>
      </c>
      <c r="AX173" s="2" t="s">
        <v>2290</v>
      </c>
      <c r="AY173" s="2" t="s">
        <v>2291</v>
      </c>
      <c r="AZ173" s="2" t="s">
        <v>2291</v>
      </c>
      <c r="BA173" s="2" t="s">
        <v>2292</v>
      </c>
      <c r="BB173" s="2" t="s">
        <v>19</v>
      </c>
      <c r="BD173" s="2" t="s">
        <v>2293</v>
      </c>
      <c r="BE173" s="2" t="s">
        <v>2294</v>
      </c>
      <c r="BF173" s="2" t="s">
        <v>2295</v>
      </c>
    </row>
    <row r="174" spans="1:58" ht="50.25" customHeight="1" x14ac:dyDescent="0.25">
      <c r="A174" s="8" t="s">
        <v>5</v>
      </c>
      <c r="B174" s="1" t="s">
        <v>0</v>
      </c>
      <c r="C174" s="1" t="s">
        <v>1</v>
      </c>
      <c r="D174" s="1" t="s">
        <v>2296</v>
      </c>
      <c r="E174" s="1" t="s">
        <v>2297</v>
      </c>
      <c r="F174" s="1" t="s">
        <v>2298</v>
      </c>
      <c r="H174" s="2" t="s">
        <v>5</v>
      </c>
      <c r="I174" s="2" t="s">
        <v>6</v>
      </c>
      <c r="J174" s="2" t="s">
        <v>5</v>
      </c>
      <c r="K174" s="2" t="s">
        <v>90</v>
      </c>
      <c r="L174" s="2" t="s">
        <v>7</v>
      </c>
      <c r="M174" s="1" t="s">
        <v>2299</v>
      </c>
      <c r="N174" s="1" t="s">
        <v>2300</v>
      </c>
      <c r="O174" s="2" t="s">
        <v>259</v>
      </c>
      <c r="Q174" s="2" t="s">
        <v>10</v>
      </c>
      <c r="R174" s="2" t="s">
        <v>405</v>
      </c>
      <c r="S174" s="1" t="s">
        <v>2301</v>
      </c>
      <c r="T174" s="2" t="s">
        <v>12</v>
      </c>
      <c r="U174" s="3">
        <v>16</v>
      </c>
      <c r="V174" s="3">
        <v>16</v>
      </c>
      <c r="W174" s="4" t="s">
        <v>2302</v>
      </c>
      <c r="X174" s="4" t="s">
        <v>2302</v>
      </c>
      <c r="Y174" s="4" t="s">
        <v>2303</v>
      </c>
      <c r="Z174" s="4" t="s">
        <v>2303</v>
      </c>
      <c r="AA174" s="3">
        <v>564</v>
      </c>
      <c r="AB174" s="3">
        <v>495</v>
      </c>
      <c r="AC174" s="3">
        <v>942</v>
      </c>
      <c r="AD174" s="3">
        <v>9</v>
      </c>
      <c r="AE174" s="3">
        <v>13</v>
      </c>
      <c r="AF174" s="3">
        <v>27</v>
      </c>
      <c r="AG174" s="3">
        <v>46</v>
      </c>
      <c r="AH174" s="3">
        <v>6</v>
      </c>
      <c r="AI174" s="3">
        <v>15</v>
      </c>
      <c r="AJ174" s="3">
        <v>5</v>
      </c>
      <c r="AK174" s="3">
        <v>10</v>
      </c>
      <c r="AL174" s="3">
        <v>13</v>
      </c>
      <c r="AM174" s="3">
        <v>23</v>
      </c>
      <c r="AN174" s="3">
        <v>8</v>
      </c>
      <c r="AO174" s="3">
        <v>11</v>
      </c>
      <c r="AP174" s="3">
        <v>0</v>
      </c>
      <c r="AQ174" s="3">
        <v>0</v>
      </c>
      <c r="AR174" s="2" t="s">
        <v>5</v>
      </c>
      <c r="AS174" s="2" t="s">
        <v>90</v>
      </c>
      <c r="AT174" s="5" t="str">
        <f>HYPERLINK("http://catalog.hathitrust.org/Record/002983636","HathiTrust Record")</f>
        <v>HathiTrust Record</v>
      </c>
      <c r="AU174" s="5" t="str">
        <f>HYPERLINK("https://creighton-primo.hosted.exlibrisgroup.com/primo-explore/search?tab=default_tab&amp;search_scope=EVERYTHING&amp;vid=01CRU&amp;lang=en_US&amp;offset=0&amp;query=any,contains,991001400709702656","Catalog Record")</f>
        <v>Catalog Record</v>
      </c>
      <c r="AV174" s="5" t="str">
        <f>HYPERLINK("http://www.worldcat.org/oclc/30518577","WorldCat Record")</f>
        <v>WorldCat Record</v>
      </c>
      <c r="AW174" s="2" t="s">
        <v>2304</v>
      </c>
      <c r="AX174" s="2" t="s">
        <v>2305</v>
      </c>
      <c r="AY174" s="2" t="s">
        <v>2306</v>
      </c>
      <c r="AZ174" s="2" t="s">
        <v>2306</v>
      </c>
      <c r="BA174" s="2" t="s">
        <v>2307</v>
      </c>
      <c r="BB174" s="2" t="s">
        <v>19</v>
      </c>
      <c r="BD174" s="2" t="s">
        <v>2308</v>
      </c>
      <c r="BE174" s="2" t="s">
        <v>2309</v>
      </c>
      <c r="BF174" s="2" t="s">
        <v>2310</v>
      </c>
    </row>
    <row r="175" spans="1:58" ht="50.25" customHeight="1" x14ac:dyDescent="0.25">
      <c r="A175" s="8" t="s">
        <v>5</v>
      </c>
      <c r="B175" s="1" t="s">
        <v>0</v>
      </c>
      <c r="C175" s="1" t="s">
        <v>1</v>
      </c>
      <c r="D175" s="1" t="s">
        <v>2311</v>
      </c>
      <c r="E175" s="1" t="s">
        <v>2312</v>
      </c>
      <c r="F175" s="1" t="s">
        <v>2298</v>
      </c>
      <c r="H175" s="2" t="s">
        <v>5</v>
      </c>
      <c r="I175" s="2" t="s">
        <v>6</v>
      </c>
      <c r="J175" s="2" t="s">
        <v>5</v>
      </c>
      <c r="K175" s="2" t="s">
        <v>90</v>
      </c>
      <c r="L175" s="2" t="s">
        <v>7</v>
      </c>
      <c r="M175" s="1" t="s">
        <v>2299</v>
      </c>
      <c r="N175" s="1" t="s">
        <v>2313</v>
      </c>
      <c r="O175" s="2" t="s">
        <v>680</v>
      </c>
      <c r="P175" s="1" t="s">
        <v>404</v>
      </c>
      <c r="Q175" s="2" t="s">
        <v>10</v>
      </c>
      <c r="R175" s="2" t="s">
        <v>405</v>
      </c>
      <c r="S175" s="1" t="s">
        <v>2314</v>
      </c>
      <c r="T175" s="2" t="s">
        <v>12</v>
      </c>
      <c r="U175" s="3">
        <v>1</v>
      </c>
      <c r="V175" s="3">
        <v>1</v>
      </c>
      <c r="W175" s="4" t="s">
        <v>2021</v>
      </c>
      <c r="X175" s="4" t="s">
        <v>2021</v>
      </c>
      <c r="Y175" s="4" t="s">
        <v>407</v>
      </c>
      <c r="Z175" s="4" t="s">
        <v>407</v>
      </c>
      <c r="AA175" s="3">
        <v>380</v>
      </c>
      <c r="AB175" s="3">
        <v>304</v>
      </c>
      <c r="AC175" s="3">
        <v>942</v>
      </c>
      <c r="AD175" s="3">
        <v>4</v>
      </c>
      <c r="AE175" s="3">
        <v>13</v>
      </c>
      <c r="AF175" s="3">
        <v>12</v>
      </c>
      <c r="AG175" s="3">
        <v>46</v>
      </c>
      <c r="AH175" s="3">
        <v>4</v>
      </c>
      <c r="AI175" s="3">
        <v>15</v>
      </c>
      <c r="AJ175" s="3">
        <v>3</v>
      </c>
      <c r="AK175" s="3">
        <v>10</v>
      </c>
      <c r="AL175" s="3">
        <v>5</v>
      </c>
      <c r="AM175" s="3">
        <v>23</v>
      </c>
      <c r="AN175" s="3">
        <v>3</v>
      </c>
      <c r="AO175" s="3">
        <v>11</v>
      </c>
      <c r="AP175" s="3">
        <v>0</v>
      </c>
      <c r="AQ175" s="3">
        <v>0</v>
      </c>
      <c r="AR175" s="2" t="s">
        <v>5</v>
      </c>
      <c r="AS175" s="2" t="s">
        <v>90</v>
      </c>
      <c r="AT175" s="5" t="str">
        <f>HYPERLINK("http://catalog.hathitrust.org/Record/004975891","HathiTrust Record")</f>
        <v>HathiTrust Record</v>
      </c>
      <c r="AU175" s="5" t="str">
        <f>HYPERLINK("https://creighton-primo.hosted.exlibrisgroup.com/primo-explore/search?tab=default_tab&amp;search_scope=EVERYTHING&amp;vid=01CRU&amp;lang=en_US&amp;offset=0&amp;query=any,contains,991000692999702656","Catalog Record")</f>
        <v>Catalog Record</v>
      </c>
      <c r="AV175" s="5" t="str">
        <f>HYPERLINK("http://www.worldcat.org/oclc/56755717","WorldCat Record")</f>
        <v>WorldCat Record</v>
      </c>
      <c r="AW175" s="2" t="s">
        <v>2304</v>
      </c>
      <c r="AX175" s="2" t="s">
        <v>2315</v>
      </c>
      <c r="AY175" s="2" t="s">
        <v>2316</v>
      </c>
      <c r="AZ175" s="2" t="s">
        <v>2316</v>
      </c>
      <c r="BA175" s="2" t="s">
        <v>2317</v>
      </c>
      <c r="BB175" s="2" t="s">
        <v>19</v>
      </c>
      <c r="BD175" s="2" t="s">
        <v>2318</v>
      </c>
      <c r="BE175" s="2" t="s">
        <v>2319</v>
      </c>
      <c r="BF175" s="2" t="s">
        <v>2320</v>
      </c>
    </row>
    <row r="176" spans="1:58" ht="50.25" customHeight="1" x14ac:dyDescent="0.25">
      <c r="A176" s="8" t="s">
        <v>5</v>
      </c>
      <c r="B176" s="1" t="s">
        <v>0</v>
      </c>
      <c r="C176" s="1" t="s">
        <v>1</v>
      </c>
      <c r="D176" s="1" t="s">
        <v>2321</v>
      </c>
      <c r="E176" s="1" t="s">
        <v>2322</v>
      </c>
      <c r="F176" s="1" t="s">
        <v>2323</v>
      </c>
      <c r="H176" s="2" t="s">
        <v>5</v>
      </c>
      <c r="I176" s="2" t="s">
        <v>6</v>
      </c>
      <c r="J176" s="2" t="s">
        <v>5</v>
      </c>
      <c r="K176" s="2" t="s">
        <v>5</v>
      </c>
      <c r="L176" s="2" t="s">
        <v>7</v>
      </c>
      <c r="N176" s="1" t="s">
        <v>2324</v>
      </c>
      <c r="O176" s="2" t="s">
        <v>489</v>
      </c>
      <c r="P176" s="1" t="s">
        <v>568</v>
      </c>
      <c r="Q176" s="2" t="s">
        <v>10</v>
      </c>
      <c r="R176" s="2" t="s">
        <v>61</v>
      </c>
      <c r="T176" s="2" t="s">
        <v>12</v>
      </c>
      <c r="U176" s="3">
        <v>2</v>
      </c>
      <c r="V176" s="3">
        <v>2</v>
      </c>
      <c r="W176" s="4" t="s">
        <v>2325</v>
      </c>
      <c r="X176" s="4" t="s">
        <v>2325</v>
      </c>
      <c r="Y176" s="4" t="s">
        <v>2326</v>
      </c>
      <c r="Z176" s="4" t="s">
        <v>2326</v>
      </c>
      <c r="AA176" s="3">
        <v>268</v>
      </c>
      <c r="AB176" s="3">
        <v>219</v>
      </c>
      <c r="AC176" s="3">
        <v>557</v>
      </c>
      <c r="AD176" s="3">
        <v>2</v>
      </c>
      <c r="AE176" s="3">
        <v>8</v>
      </c>
      <c r="AF176" s="3">
        <v>11</v>
      </c>
      <c r="AG176" s="3">
        <v>34</v>
      </c>
      <c r="AH176" s="3">
        <v>2</v>
      </c>
      <c r="AI176" s="3">
        <v>12</v>
      </c>
      <c r="AJ176" s="3">
        <v>3</v>
      </c>
      <c r="AK176" s="3">
        <v>4</v>
      </c>
      <c r="AL176" s="3">
        <v>9</v>
      </c>
      <c r="AM176" s="3">
        <v>19</v>
      </c>
      <c r="AN176" s="3">
        <v>1</v>
      </c>
      <c r="AO176" s="3">
        <v>7</v>
      </c>
      <c r="AP176" s="3">
        <v>0</v>
      </c>
      <c r="AQ176" s="3">
        <v>0</v>
      </c>
      <c r="AR176" s="2" t="s">
        <v>5</v>
      </c>
      <c r="AS176" s="2" t="s">
        <v>5</v>
      </c>
      <c r="AU176" s="5" t="str">
        <f>HYPERLINK("https://creighton-primo.hosted.exlibrisgroup.com/primo-explore/search?tab=default_tab&amp;search_scope=EVERYTHING&amp;vid=01CRU&amp;lang=en_US&amp;offset=0&amp;query=any,contains,991000385249702656","Catalog Record")</f>
        <v>Catalog Record</v>
      </c>
      <c r="AV176" s="5" t="str">
        <f>HYPERLINK("http://www.worldcat.org/oclc/41646977","WorldCat Record")</f>
        <v>WorldCat Record</v>
      </c>
      <c r="AW176" s="2" t="s">
        <v>2327</v>
      </c>
      <c r="AX176" s="2" t="s">
        <v>2328</v>
      </c>
      <c r="AY176" s="2" t="s">
        <v>2329</v>
      </c>
      <c r="AZ176" s="2" t="s">
        <v>2329</v>
      </c>
      <c r="BA176" s="2" t="s">
        <v>2330</v>
      </c>
      <c r="BB176" s="2" t="s">
        <v>19</v>
      </c>
      <c r="BD176" s="2" t="s">
        <v>2331</v>
      </c>
      <c r="BE176" s="2" t="s">
        <v>2332</v>
      </c>
      <c r="BF176" s="2" t="s">
        <v>2333</v>
      </c>
    </row>
    <row r="177" spans="1:58" ht="50.25" customHeight="1" x14ac:dyDescent="0.25">
      <c r="A177" s="8" t="s">
        <v>5</v>
      </c>
      <c r="B177" s="1" t="s">
        <v>0</v>
      </c>
      <c r="C177" s="1" t="s">
        <v>1</v>
      </c>
      <c r="D177" s="1" t="s">
        <v>2334</v>
      </c>
      <c r="E177" s="1" t="s">
        <v>2335</v>
      </c>
      <c r="F177" s="1" t="s">
        <v>2336</v>
      </c>
      <c r="H177" s="2" t="s">
        <v>5</v>
      </c>
      <c r="I177" s="2" t="s">
        <v>6</v>
      </c>
      <c r="J177" s="2" t="s">
        <v>5</v>
      </c>
      <c r="K177" s="2" t="s">
        <v>5</v>
      </c>
      <c r="L177" s="2" t="s">
        <v>7</v>
      </c>
      <c r="N177" s="1" t="s">
        <v>2337</v>
      </c>
      <c r="O177" s="2" t="s">
        <v>141</v>
      </c>
      <c r="Q177" s="2" t="s">
        <v>10</v>
      </c>
      <c r="R177" s="2" t="s">
        <v>29</v>
      </c>
      <c r="S177" s="1" t="s">
        <v>2338</v>
      </c>
      <c r="T177" s="2" t="s">
        <v>12</v>
      </c>
      <c r="U177" s="3">
        <v>9</v>
      </c>
      <c r="V177" s="3">
        <v>9</v>
      </c>
      <c r="W177" s="4" t="s">
        <v>2339</v>
      </c>
      <c r="X177" s="4" t="s">
        <v>2339</v>
      </c>
      <c r="Y177" s="4" t="s">
        <v>1346</v>
      </c>
      <c r="Z177" s="4" t="s">
        <v>1346</v>
      </c>
      <c r="AA177" s="3">
        <v>205</v>
      </c>
      <c r="AB177" s="3">
        <v>178</v>
      </c>
      <c r="AC177" s="3">
        <v>180</v>
      </c>
      <c r="AD177" s="3">
        <v>2</v>
      </c>
      <c r="AE177" s="3">
        <v>2</v>
      </c>
      <c r="AF177" s="3">
        <v>9</v>
      </c>
      <c r="AG177" s="3">
        <v>9</v>
      </c>
      <c r="AH177" s="3">
        <v>2</v>
      </c>
      <c r="AI177" s="3">
        <v>2</v>
      </c>
      <c r="AJ177" s="3">
        <v>1</v>
      </c>
      <c r="AK177" s="3">
        <v>1</v>
      </c>
      <c r="AL177" s="3">
        <v>5</v>
      </c>
      <c r="AM177" s="3">
        <v>5</v>
      </c>
      <c r="AN177" s="3">
        <v>1</v>
      </c>
      <c r="AO177" s="3">
        <v>1</v>
      </c>
      <c r="AP177" s="3">
        <v>1</v>
      </c>
      <c r="AQ177" s="3">
        <v>1</v>
      </c>
      <c r="AR177" s="2" t="s">
        <v>5</v>
      </c>
      <c r="AS177" s="2" t="s">
        <v>90</v>
      </c>
      <c r="AT177" s="5" t="str">
        <f>HYPERLINK("http://catalog.hathitrust.org/Record/000556487","HathiTrust Record")</f>
        <v>HathiTrust Record</v>
      </c>
      <c r="AU177" s="5" t="str">
        <f>HYPERLINK("https://creighton-primo.hosted.exlibrisgroup.com/primo-explore/search?tab=default_tab&amp;search_scope=EVERYTHING&amp;vid=01CRU&amp;lang=en_US&amp;offset=0&amp;query=any,contains,991000724319702656","Catalog Record")</f>
        <v>Catalog Record</v>
      </c>
      <c r="AV177" s="5" t="str">
        <f>HYPERLINK("http://www.worldcat.org/oclc/12972932","WorldCat Record")</f>
        <v>WorldCat Record</v>
      </c>
      <c r="AW177" s="2" t="s">
        <v>2340</v>
      </c>
      <c r="AX177" s="2" t="s">
        <v>2341</v>
      </c>
      <c r="AY177" s="2" t="s">
        <v>2342</v>
      </c>
      <c r="AZ177" s="2" t="s">
        <v>2342</v>
      </c>
      <c r="BA177" s="2" t="s">
        <v>2343</v>
      </c>
      <c r="BB177" s="2" t="s">
        <v>19</v>
      </c>
      <c r="BD177" s="2" t="s">
        <v>2344</v>
      </c>
      <c r="BE177" s="2" t="s">
        <v>2345</v>
      </c>
      <c r="BF177" s="2" t="s">
        <v>2346</v>
      </c>
    </row>
    <row r="178" spans="1:58" ht="50.25" customHeight="1" x14ac:dyDescent="0.25">
      <c r="A178" s="8" t="s">
        <v>5</v>
      </c>
      <c r="B178" s="1" t="s">
        <v>0</v>
      </c>
      <c r="C178" s="1" t="s">
        <v>1</v>
      </c>
      <c r="D178" s="1" t="s">
        <v>2347</v>
      </c>
      <c r="E178" s="1" t="s">
        <v>2348</v>
      </c>
      <c r="F178" s="1" t="s">
        <v>2349</v>
      </c>
      <c r="H178" s="2" t="s">
        <v>5</v>
      </c>
      <c r="I178" s="2" t="s">
        <v>6</v>
      </c>
      <c r="J178" s="2" t="s">
        <v>5</v>
      </c>
      <c r="K178" s="2" t="s">
        <v>90</v>
      </c>
      <c r="L178" s="2" t="s">
        <v>7</v>
      </c>
      <c r="M178" s="1" t="s">
        <v>2350</v>
      </c>
      <c r="N178" s="1" t="s">
        <v>2351</v>
      </c>
      <c r="O178" s="2" t="s">
        <v>109</v>
      </c>
      <c r="P178" s="1" t="s">
        <v>2352</v>
      </c>
      <c r="Q178" s="2" t="s">
        <v>10</v>
      </c>
      <c r="R178" s="2" t="s">
        <v>11</v>
      </c>
      <c r="T178" s="2" t="s">
        <v>12</v>
      </c>
      <c r="U178" s="3">
        <v>5</v>
      </c>
      <c r="V178" s="3">
        <v>5</v>
      </c>
      <c r="W178" s="4" t="s">
        <v>2353</v>
      </c>
      <c r="X178" s="4" t="s">
        <v>2353</v>
      </c>
      <c r="Y178" s="4" t="s">
        <v>336</v>
      </c>
      <c r="Z178" s="4" t="s">
        <v>336</v>
      </c>
      <c r="AA178" s="3">
        <v>52</v>
      </c>
      <c r="AB178" s="3">
        <v>44</v>
      </c>
      <c r="AC178" s="3">
        <v>526</v>
      </c>
      <c r="AD178" s="3">
        <v>2</v>
      </c>
      <c r="AE178" s="3">
        <v>7</v>
      </c>
      <c r="AF178" s="3">
        <v>1</v>
      </c>
      <c r="AG178" s="3">
        <v>29</v>
      </c>
      <c r="AH178" s="3">
        <v>0</v>
      </c>
      <c r="AI178" s="3">
        <v>12</v>
      </c>
      <c r="AJ178" s="3">
        <v>0</v>
      </c>
      <c r="AK178" s="3">
        <v>6</v>
      </c>
      <c r="AL178" s="3">
        <v>0</v>
      </c>
      <c r="AM178" s="3">
        <v>16</v>
      </c>
      <c r="AN178" s="3">
        <v>1</v>
      </c>
      <c r="AO178" s="3">
        <v>4</v>
      </c>
      <c r="AP178" s="3">
        <v>0</v>
      </c>
      <c r="AQ178" s="3">
        <v>0</v>
      </c>
      <c r="AR178" s="2" t="s">
        <v>5</v>
      </c>
      <c r="AS178" s="2" t="s">
        <v>5</v>
      </c>
      <c r="AU178" s="5" t="str">
        <f>HYPERLINK("https://creighton-primo.hosted.exlibrisgroup.com/primo-explore/search?tab=default_tab&amp;search_scope=EVERYTHING&amp;vid=01CRU&amp;lang=en_US&amp;offset=0&amp;query=any,contains,991000370539702656","Catalog Record")</f>
        <v>Catalog Record</v>
      </c>
      <c r="AV178" s="5" t="str">
        <f>HYPERLINK("http://www.worldcat.org/oclc/54017018","WorldCat Record")</f>
        <v>WorldCat Record</v>
      </c>
      <c r="AW178" s="2" t="s">
        <v>2354</v>
      </c>
      <c r="AX178" s="2" t="s">
        <v>2355</v>
      </c>
      <c r="AY178" s="2" t="s">
        <v>2356</v>
      </c>
      <c r="AZ178" s="2" t="s">
        <v>2356</v>
      </c>
      <c r="BA178" s="2" t="s">
        <v>2357</v>
      </c>
      <c r="BB178" s="2" t="s">
        <v>19</v>
      </c>
      <c r="BD178" s="2" t="s">
        <v>2358</v>
      </c>
      <c r="BE178" s="2" t="s">
        <v>2359</v>
      </c>
      <c r="BF178" s="2" t="s">
        <v>2360</v>
      </c>
    </row>
    <row r="179" spans="1:58" ht="50.25" customHeight="1" x14ac:dyDescent="0.25">
      <c r="A179" s="8" t="s">
        <v>5</v>
      </c>
      <c r="B179" s="1" t="s">
        <v>0</v>
      </c>
      <c r="C179" s="1" t="s">
        <v>1</v>
      </c>
      <c r="D179" s="1" t="s">
        <v>2361</v>
      </c>
      <c r="E179" s="1" t="s">
        <v>2362</v>
      </c>
      <c r="F179" s="1" t="s">
        <v>2363</v>
      </c>
      <c r="H179" s="2" t="s">
        <v>5</v>
      </c>
      <c r="I179" s="2" t="s">
        <v>6</v>
      </c>
      <c r="J179" s="2" t="s">
        <v>5</v>
      </c>
      <c r="K179" s="2" t="s">
        <v>5</v>
      </c>
      <c r="L179" s="2" t="s">
        <v>6</v>
      </c>
      <c r="N179" s="1" t="s">
        <v>2364</v>
      </c>
      <c r="O179" s="2" t="s">
        <v>389</v>
      </c>
      <c r="Q179" s="2" t="s">
        <v>10</v>
      </c>
      <c r="R179" s="2" t="s">
        <v>11</v>
      </c>
      <c r="S179" s="1" t="s">
        <v>2365</v>
      </c>
      <c r="T179" s="2" t="s">
        <v>12</v>
      </c>
      <c r="U179" s="3">
        <v>3</v>
      </c>
      <c r="V179" s="3">
        <v>3</v>
      </c>
      <c r="W179" s="4" t="s">
        <v>2366</v>
      </c>
      <c r="X179" s="4" t="s">
        <v>2366</v>
      </c>
      <c r="Y179" s="4" t="s">
        <v>2367</v>
      </c>
      <c r="Z179" s="4" t="s">
        <v>2367</v>
      </c>
      <c r="AA179" s="3">
        <v>291</v>
      </c>
      <c r="AB179" s="3">
        <v>264</v>
      </c>
      <c r="AC179" s="3">
        <v>921</v>
      </c>
      <c r="AD179" s="3">
        <v>3</v>
      </c>
      <c r="AE179" s="3">
        <v>14</v>
      </c>
      <c r="AF179" s="3">
        <v>14</v>
      </c>
      <c r="AG179" s="3">
        <v>45</v>
      </c>
      <c r="AH179" s="3">
        <v>3</v>
      </c>
      <c r="AI179" s="3">
        <v>12</v>
      </c>
      <c r="AJ179" s="3">
        <v>2</v>
      </c>
      <c r="AK179" s="3">
        <v>10</v>
      </c>
      <c r="AL179" s="3">
        <v>8</v>
      </c>
      <c r="AM179" s="3">
        <v>15</v>
      </c>
      <c r="AN179" s="3">
        <v>1</v>
      </c>
      <c r="AO179" s="3">
        <v>11</v>
      </c>
      <c r="AP179" s="3">
        <v>2</v>
      </c>
      <c r="AQ179" s="3">
        <v>4</v>
      </c>
      <c r="AR179" s="2" t="s">
        <v>5</v>
      </c>
      <c r="AS179" s="2" t="s">
        <v>5</v>
      </c>
      <c r="AU179" s="5" t="str">
        <f>HYPERLINK("https://creighton-primo.hosted.exlibrisgroup.com/primo-explore/search?tab=default_tab&amp;search_scope=EVERYTHING&amp;vid=01CRU&amp;lang=en_US&amp;offset=0&amp;query=any,contains,991001327859702656","Catalog Record")</f>
        <v>Catalog Record</v>
      </c>
      <c r="AV179" s="5" t="str">
        <f>HYPERLINK("http://www.worldcat.org/oclc/50448163","WorldCat Record")</f>
        <v>WorldCat Record</v>
      </c>
      <c r="AW179" s="2" t="s">
        <v>2368</v>
      </c>
      <c r="AX179" s="2" t="s">
        <v>2369</v>
      </c>
      <c r="AY179" s="2" t="s">
        <v>2370</v>
      </c>
      <c r="AZ179" s="2" t="s">
        <v>2370</v>
      </c>
      <c r="BA179" s="2" t="s">
        <v>2371</v>
      </c>
      <c r="BB179" s="2" t="s">
        <v>19</v>
      </c>
      <c r="BD179" s="2" t="s">
        <v>2372</v>
      </c>
      <c r="BE179" s="2" t="s">
        <v>2373</v>
      </c>
      <c r="BF179" s="2" t="s">
        <v>2374</v>
      </c>
    </row>
    <row r="180" spans="1:58" ht="50.25" customHeight="1" x14ac:dyDescent="0.25">
      <c r="A180" s="8" t="s">
        <v>5</v>
      </c>
      <c r="B180" s="1" t="s">
        <v>0</v>
      </c>
      <c r="C180" s="1" t="s">
        <v>1</v>
      </c>
      <c r="D180" s="1" t="s">
        <v>2375</v>
      </c>
      <c r="E180" s="1" t="s">
        <v>2376</v>
      </c>
      <c r="F180" s="1" t="s">
        <v>2377</v>
      </c>
      <c r="H180" s="2" t="s">
        <v>5</v>
      </c>
      <c r="I180" s="2" t="s">
        <v>6</v>
      </c>
      <c r="J180" s="2" t="s">
        <v>5</v>
      </c>
      <c r="K180" s="2" t="s">
        <v>5</v>
      </c>
      <c r="L180" s="2" t="s">
        <v>7</v>
      </c>
      <c r="N180" s="1" t="s">
        <v>2378</v>
      </c>
      <c r="O180" s="2" t="s">
        <v>228</v>
      </c>
      <c r="Q180" s="2" t="s">
        <v>10</v>
      </c>
      <c r="R180" s="2" t="s">
        <v>184</v>
      </c>
      <c r="T180" s="2" t="s">
        <v>12</v>
      </c>
      <c r="U180" s="3">
        <v>2</v>
      </c>
      <c r="V180" s="3">
        <v>2</v>
      </c>
      <c r="W180" s="4" t="s">
        <v>2379</v>
      </c>
      <c r="X180" s="4" t="s">
        <v>2379</v>
      </c>
      <c r="Y180" s="4" t="s">
        <v>2380</v>
      </c>
      <c r="Z180" s="4" t="s">
        <v>2380</v>
      </c>
      <c r="AA180" s="3">
        <v>64</v>
      </c>
      <c r="AB180" s="3">
        <v>64</v>
      </c>
      <c r="AC180" s="3">
        <v>106</v>
      </c>
      <c r="AD180" s="3">
        <v>1</v>
      </c>
      <c r="AE180" s="3">
        <v>1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2" t="s">
        <v>5</v>
      </c>
      <c r="AS180" s="2" t="s">
        <v>5</v>
      </c>
      <c r="AU180" s="5" t="str">
        <f>HYPERLINK("https://creighton-primo.hosted.exlibrisgroup.com/primo-explore/search?tab=default_tab&amp;search_scope=EVERYTHING&amp;vid=01CRU&amp;lang=en_US&amp;offset=0&amp;query=any,contains,991001310109702656","Catalog Record")</f>
        <v>Catalog Record</v>
      </c>
      <c r="AV180" s="5" t="str">
        <f>HYPERLINK("http://www.worldcat.org/oclc/19882248","WorldCat Record")</f>
        <v>WorldCat Record</v>
      </c>
      <c r="AW180" s="2" t="s">
        <v>2381</v>
      </c>
      <c r="AX180" s="2" t="s">
        <v>2382</v>
      </c>
      <c r="AY180" s="2" t="s">
        <v>2383</v>
      </c>
      <c r="AZ180" s="2" t="s">
        <v>2383</v>
      </c>
      <c r="BA180" s="2" t="s">
        <v>2384</v>
      </c>
      <c r="BB180" s="2" t="s">
        <v>19</v>
      </c>
      <c r="BE180" s="2" t="s">
        <v>2385</v>
      </c>
      <c r="BF180" s="2" t="s">
        <v>2386</v>
      </c>
    </row>
    <row r="181" spans="1:58" ht="50.25" customHeight="1" x14ac:dyDescent="0.25">
      <c r="A181" s="8" t="s">
        <v>5</v>
      </c>
      <c r="B181" s="1" t="s">
        <v>0</v>
      </c>
      <c r="C181" s="1" t="s">
        <v>1</v>
      </c>
      <c r="D181" s="1" t="s">
        <v>2387</v>
      </c>
      <c r="E181" s="1" t="s">
        <v>2388</v>
      </c>
      <c r="F181" s="1" t="s">
        <v>2389</v>
      </c>
      <c r="H181" s="2" t="s">
        <v>5</v>
      </c>
      <c r="I181" s="2" t="s">
        <v>6</v>
      </c>
      <c r="J181" s="2" t="s">
        <v>5</v>
      </c>
      <c r="K181" s="2" t="s">
        <v>5</v>
      </c>
      <c r="L181" s="2" t="s">
        <v>7</v>
      </c>
      <c r="M181" s="1" t="s">
        <v>2390</v>
      </c>
      <c r="N181" s="1" t="s">
        <v>2391</v>
      </c>
      <c r="O181" s="2" t="s">
        <v>319</v>
      </c>
      <c r="Q181" s="2" t="s">
        <v>10</v>
      </c>
      <c r="R181" s="2" t="s">
        <v>1385</v>
      </c>
      <c r="T181" s="2" t="s">
        <v>12</v>
      </c>
      <c r="U181" s="3">
        <v>9</v>
      </c>
      <c r="V181" s="3">
        <v>9</v>
      </c>
      <c r="W181" s="4" t="s">
        <v>2392</v>
      </c>
      <c r="X181" s="4" t="s">
        <v>2392</v>
      </c>
      <c r="Y181" s="4" t="s">
        <v>2393</v>
      </c>
      <c r="Z181" s="4" t="s">
        <v>2393</v>
      </c>
      <c r="AA181" s="3">
        <v>375</v>
      </c>
      <c r="AB181" s="3">
        <v>277</v>
      </c>
      <c r="AC181" s="3">
        <v>281</v>
      </c>
      <c r="AD181" s="3">
        <v>3</v>
      </c>
      <c r="AE181" s="3">
        <v>3</v>
      </c>
      <c r="AF181" s="3">
        <v>14</v>
      </c>
      <c r="AG181" s="3">
        <v>14</v>
      </c>
      <c r="AH181" s="3">
        <v>6</v>
      </c>
      <c r="AI181" s="3">
        <v>6</v>
      </c>
      <c r="AJ181" s="3">
        <v>2</v>
      </c>
      <c r="AK181" s="3">
        <v>2</v>
      </c>
      <c r="AL181" s="3">
        <v>8</v>
      </c>
      <c r="AM181" s="3">
        <v>8</v>
      </c>
      <c r="AN181" s="3">
        <v>1</v>
      </c>
      <c r="AO181" s="3">
        <v>1</v>
      </c>
      <c r="AP181" s="3">
        <v>0</v>
      </c>
      <c r="AQ181" s="3">
        <v>0</v>
      </c>
      <c r="AR181" s="2" t="s">
        <v>5</v>
      </c>
      <c r="AS181" s="2" t="s">
        <v>90</v>
      </c>
      <c r="AT181" s="5" t="str">
        <f>HYPERLINK("http://catalog.hathitrust.org/Record/002612374","HathiTrust Record")</f>
        <v>HathiTrust Record</v>
      </c>
      <c r="AU181" s="5" t="str">
        <f>HYPERLINK("https://creighton-primo.hosted.exlibrisgroup.com/primo-explore/search?tab=default_tab&amp;search_scope=EVERYTHING&amp;vid=01CRU&amp;lang=en_US&amp;offset=0&amp;query=any,contains,991001161109702656","Catalog Record")</f>
        <v>Catalog Record</v>
      </c>
      <c r="AV181" s="5" t="str">
        <f>HYPERLINK("http://www.worldcat.org/oclc/26769041","WorldCat Record")</f>
        <v>WorldCat Record</v>
      </c>
      <c r="AW181" s="2" t="s">
        <v>2394</v>
      </c>
      <c r="AX181" s="2" t="s">
        <v>2395</v>
      </c>
      <c r="AY181" s="2" t="s">
        <v>2396</v>
      </c>
      <c r="AZ181" s="2" t="s">
        <v>2396</v>
      </c>
      <c r="BA181" s="2" t="s">
        <v>2397</v>
      </c>
      <c r="BB181" s="2" t="s">
        <v>19</v>
      </c>
      <c r="BD181" s="2" t="s">
        <v>2398</v>
      </c>
      <c r="BE181" s="2" t="s">
        <v>2399</v>
      </c>
      <c r="BF181" s="2" t="s">
        <v>2400</v>
      </c>
    </row>
    <row r="182" spans="1:58" ht="50.25" customHeight="1" x14ac:dyDescent="0.25">
      <c r="A182" s="8" t="s">
        <v>5</v>
      </c>
      <c r="B182" s="1" t="s">
        <v>0</v>
      </c>
      <c r="C182" s="1" t="s">
        <v>1</v>
      </c>
      <c r="D182" s="1" t="s">
        <v>2401</v>
      </c>
      <c r="E182" s="1" t="s">
        <v>2402</v>
      </c>
      <c r="F182" s="1" t="s">
        <v>2403</v>
      </c>
      <c r="H182" s="2" t="s">
        <v>5</v>
      </c>
      <c r="I182" s="2" t="s">
        <v>6</v>
      </c>
      <c r="J182" s="2" t="s">
        <v>5</v>
      </c>
      <c r="K182" s="2" t="s">
        <v>5</v>
      </c>
      <c r="L182" s="2" t="s">
        <v>7</v>
      </c>
      <c r="N182" s="1" t="s">
        <v>2404</v>
      </c>
      <c r="O182" s="2" t="s">
        <v>213</v>
      </c>
      <c r="Q182" s="2" t="s">
        <v>10</v>
      </c>
      <c r="R182" s="2" t="s">
        <v>405</v>
      </c>
      <c r="T182" s="2" t="s">
        <v>12</v>
      </c>
      <c r="U182" s="3">
        <v>3</v>
      </c>
      <c r="V182" s="3">
        <v>3</v>
      </c>
      <c r="W182" s="4" t="s">
        <v>2405</v>
      </c>
      <c r="X182" s="4" t="s">
        <v>2405</v>
      </c>
      <c r="Y182" s="4" t="s">
        <v>2406</v>
      </c>
      <c r="Z182" s="4" t="s">
        <v>2406</v>
      </c>
      <c r="AA182" s="3">
        <v>201</v>
      </c>
      <c r="AB182" s="3">
        <v>155</v>
      </c>
      <c r="AC182" s="3">
        <v>161</v>
      </c>
      <c r="AD182" s="3">
        <v>2</v>
      </c>
      <c r="AE182" s="3">
        <v>2</v>
      </c>
      <c r="AF182" s="3">
        <v>12</v>
      </c>
      <c r="AG182" s="3">
        <v>12</v>
      </c>
      <c r="AH182" s="3">
        <v>5</v>
      </c>
      <c r="AI182" s="3">
        <v>5</v>
      </c>
      <c r="AJ182" s="3">
        <v>2</v>
      </c>
      <c r="AK182" s="3">
        <v>2</v>
      </c>
      <c r="AL182" s="3">
        <v>7</v>
      </c>
      <c r="AM182" s="3">
        <v>7</v>
      </c>
      <c r="AN182" s="3">
        <v>1</v>
      </c>
      <c r="AO182" s="3">
        <v>1</v>
      </c>
      <c r="AP182" s="3">
        <v>0</v>
      </c>
      <c r="AQ182" s="3">
        <v>0</v>
      </c>
      <c r="AR182" s="2" t="s">
        <v>5</v>
      </c>
      <c r="AS182" s="2" t="s">
        <v>90</v>
      </c>
      <c r="AT182" s="5" t="str">
        <f>HYPERLINK("http://catalog.hathitrust.org/Record/002570678","HathiTrust Record")</f>
        <v>HathiTrust Record</v>
      </c>
      <c r="AU182" s="5" t="str">
        <f>HYPERLINK("https://creighton-primo.hosted.exlibrisgroup.com/primo-explore/search?tab=default_tab&amp;search_scope=EVERYTHING&amp;vid=01CRU&amp;lang=en_US&amp;offset=0&amp;query=any,contains,991001342769702656","Catalog Record")</f>
        <v>Catalog Record</v>
      </c>
      <c r="AV182" s="5" t="str">
        <f>HYPERLINK("http://www.worldcat.org/oclc/26318438","WorldCat Record")</f>
        <v>WorldCat Record</v>
      </c>
      <c r="AW182" s="2" t="s">
        <v>2407</v>
      </c>
      <c r="AX182" s="2" t="s">
        <v>2408</v>
      </c>
      <c r="AY182" s="2" t="s">
        <v>2409</v>
      </c>
      <c r="AZ182" s="2" t="s">
        <v>2409</v>
      </c>
      <c r="BA182" s="2" t="s">
        <v>2410</v>
      </c>
      <c r="BB182" s="2" t="s">
        <v>19</v>
      </c>
      <c r="BD182" s="2" t="s">
        <v>2411</v>
      </c>
      <c r="BE182" s="2" t="s">
        <v>2412</v>
      </c>
      <c r="BF182" s="2" t="s">
        <v>2413</v>
      </c>
    </row>
    <row r="183" spans="1:58" ht="50.25" customHeight="1" x14ac:dyDescent="0.25">
      <c r="A183" s="8" t="s">
        <v>5</v>
      </c>
      <c r="B183" s="1" t="s">
        <v>0</v>
      </c>
      <c r="C183" s="1" t="s">
        <v>1</v>
      </c>
      <c r="D183" s="1" t="s">
        <v>2414</v>
      </c>
      <c r="E183" s="1" t="s">
        <v>2415</v>
      </c>
      <c r="F183" s="1" t="s">
        <v>2416</v>
      </c>
      <c r="H183" s="2" t="s">
        <v>5</v>
      </c>
      <c r="I183" s="2" t="s">
        <v>6</v>
      </c>
      <c r="J183" s="2" t="s">
        <v>5</v>
      </c>
      <c r="K183" s="2" t="s">
        <v>5</v>
      </c>
      <c r="L183" s="2" t="s">
        <v>7</v>
      </c>
      <c r="M183" s="1" t="s">
        <v>2417</v>
      </c>
      <c r="N183" s="1" t="s">
        <v>2418</v>
      </c>
      <c r="O183" s="2" t="s">
        <v>474</v>
      </c>
      <c r="Q183" s="2" t="s">
        <v>10</v>
      </c>
      <c r="R183" s="2" t="s">
        <v>11</v>
      </c>
      <c r="T183" s="2" t="s">
        <v>12</v>
      </c>
      <c r="U183" s="3">
        <v>5</v>
      </c>
      <c r="V183" s="3">
        <v>5</v>
      </c>
      <c r="W183" s="4" t="s">
        <v>2419</v>
      </c>
      <c r="X183" s="4" t="s">
        <v>2419</v>
      </c>
      <c r="Y183" s="4" t="s">
        <v>2420</v>
      </c>
      <c r="Z183" s="4" t="s">
        <v>2420</v>
      </c>
      <c r="AA183" s="3">
        <v>274</v>
      </c>
      <c r="AB183" s="3">
        <v>266</v>
      </c>
      <c r="AC183" s="3">
        <v>289</v>
      </c>
      <c r="AD183" s="3">
        <v>1</v>
      </c>
      <c r="AE183" s="3">
        <v>1</v>
      </c>
      <c r="AF183" s="3">
        <v>3</v>
      </c>
      <c r="AG183" s="3">
        <v>3</v>
      </c>
      <c r="AH183" s="3">
        <v>1</v>
      </c>
      <c r="AI183" s="3">
        <v>1</v>
      </c>
      <c r="AJ183" s="3">
        <v>0</v>
      </c>
      <c r="AK183" s="3">
        <v>0</v>
      </c>
      <c r="AL183" s="3">
        <v>3</v>
      </c>
      <c r="AM183" s="3">
        <v>3</v>
      </c>
      <c r="AN183" s="3">
        <v>0</v>
      </c>
      <c r="AO183" s="3">
        <v>0</v>
      </c>
      <c r="AP183" s="3">
        <v>0</v>
      </c>
      <c r="AQ183" s="3">
        <v>0</v>
      </c>
      <c r="AR183" s="2" t="s">
        <v>5</v>
      </c>
      <c r="AS183" s="2" t="s">
        <v>5</v>
      </c>
      <c r="AU183" s="5" t="str">
        <f>HYPERLINK("https://creighton-primo.hosted.exlibrisgroup.com/primo-explore/search?tab=default_tab&amp;search_scope=EVERYTHING&amp;vid=01CRU&amp;lang=en_US&amp;offset=0&amp;query=any,contains,991000815439702656","Catalog Record")</f>
        <v>Catalog Record</v>
      </c>
      <c r="AV183" s="5" t="str">
        <f>HYPERLINK("http://www.worldcat.org/oclc/20294308","WorldCat Record")</f>
        <v>WorldCat Record</v>
      </c>
      <c r="AW183" s="2" t="s">
        <v>2421</v>
      </c>
      <c r="AX183" s="2" t="s">
        <v>2422</v>
      </c>
      <c r="AY183" s="2" t="s">
        <v>2423</v>
      </c>
      <c r="AZ183" s="2" t="s">
        <v>2423</v>
      </c>
      <c r="BA183" s="2" t="s">
        <v>2424</v>
      </c>
      <c r="BB183" s="2" t="s">
        <v>19</v>
      </c>
      <c r="BD183" s="2" t="s">
        <v>2425</v>
      </c>
      <c r="BE183" s="2" t="s">
        <v>2426</v>
      </c>
      <c r="BF183" s="2" t="s">
        <v>2427</v>
      </c>
    </row>
    <row r="184" spans="1:58" ht="50.25" customHeight="1" x14ac:dyDescent="0.25">
      <c r="A184" s="8" t="s">
        <v>5</v>
      </c>
      <c r="B184" s="1" t="s">
        <v>0</v>
      </c>
      <c r="C184" s="1" t="s">
        <v>1</v>
      </c>
      <c r="D184" s="1" t="s">
        <v>2428</v>
      </c>
      <c r="E184" s="1" t="s">
        <v>2429</v>
      </c>
      <c r="F184" s="1" t="s">
        <v>2430</v>
      </c>
      <c r="H184" s="2" t="s">
        <v>5</v>
      </c>
      <c r="I184" s="2" t="s">
        <v>6</v>
      </c>
      <c r="J184" s="2" t="s">
        <v>5</v>
      </c>
      <c r="K184" s="2" t="s">
        <v>5</v>
      </c>
      <c r="L184" s="2" t="s">
        <v>7</v>
      </c>
      <c r="N184" s="1" t="s">
        <v>2431</v>
      </c>
      <c r="O184" s="2" t="s">
        <v>109</v>
      </c>
      <c r="P184" s="1" t="s">
        <v>568</v>
      </c>
      <c r="Q184" s="2" t="s">
        <v>10</v>
      </c>
      <c r="R184" s="2" t="s">
        <v>61</v>
      </c>
      <c r="T184" s="2" t="s">
        <v>12</v>
      </c>
      <c r="U184" s="3">
        <v>1</v>
      </c>
      <c r="V184" s="3">
        <v>1</v>
      </c>
      <c r="W184" s="4" t="s">
        <v>2432</v>
      </c>
      <c r="X184" s="4" t="s">
        <v>2432</v>
      </c>
      <c r="Y184" s="4" t="s">
        <v>2433</v>
      </c>
      <c r="Z184" s="4" t="s">
        <v>2433</v>
      </c>
      <c r="AA184" s="3">
        <v>425</v>
      </c>
      <c r="AB184" s="3">
        <v>369</v>
      </c>
      <c r="AC184" s="3">
        <v>605</v>
      </c>
      <c r="AD184" s="3">
        <v>3</v>
      </c>
      <c r="AE184" s="3">
        <v>4</v>
      </c>
      <c r="AF184" s="3">
        <v>17</v>
      </c>
      <c r="AG184" s="3">
        <v>26</v>
      </c>
      <c r="AH184" s="3">
        <v>9</v>
      </c>
      <c r="AI184" s="3">
        <v>14</v>
      </c>
      <c r="AJ184" s="3">
        <v>3</v>
      </c>
      <c r="AK184" s="3">
        <v>4</v>
      </c>
      <c r="AL184" s="3">
        <v>6</v>
      </c>
      <c r="AM184" s="3">
        <v>10</v>
      </c>
      <c r="AN184" s="3">
        <v>2</v>
      </c>
      <c r="AO184" s="3">
        <v>3</v>
      </c>
      <c r="AP184" s="3">
        <v>0</v>
      </c>
      <c r="AQ184" s="3">
        <v>0</v>
      </c>
      <c r="AR184" s="2" t="s">
        <v>5</v>
      </c>
      <c r="AS184" s="2" t="s">
        <v>90</v>
      </c>
      <c r="AT184" s="5" t="str">
        <f>HYPERLINK("http://catalog.hathitrust.org/Record/004323218","HathiTrust Record")</f>
        <v>HathiTrust Record</v>
      </c>
      <c r="AU184" s="5" t="str">
        <f>HYPERLINK("https://creighton-primo.hosted.exlibrisgroup.com/primo-explore/search?tab=default_tab&amp;search_scope=EVERYTHING&amp;vid=01CRU&amp;lang=en_US&amp;offset=0&amp;query=any,contains,991000349469702656","Catalog Record")</f>
        <v>Catalog Record</v>
      </c>
      <c r="AV184" s="5" t="str">
        <f>HYPERLINK("http://www.worldcat.org/oclc/51096020","WorldCat Record")</f>
        <v>WorldCat Record</v>
      </c>
      <c r="AW184" s="2" t="s">
        <v>2434</v>
      </c>
      <c r="AX184" s="2" t="s">
        <v>2435</v>
      </c>
      <c r="AY184" s="2" t="s">
        <v>2436</v>
      </c>
      <c r="AZ184" s="2" t="s">
        <v>2436</v>
      </c>
      <c r="BA184" s="2" t="s">
        <v>2437</v>
      </c>
      <c r="BB184" s="2" t="s">
        <v>19</v>
      </c>
      <c r="BD184" s="2" t="s">
        <v>2438</v>
      </c>
      <c r="BE184" s="2" t="s">
        <v>2439</v>
      </c>
      <c r="BF184" s="2" t="s">
        <v>2440</v>
      </c>
    </row>
    <row r="185" spans="1:58" ht="50.25" customHeight="1" x14ac:dyDescent="0.25">
      <c r="A185" s="8" t="s">
        <v>5</v>
      </c>
      <c r="B185" s="1" t="s">
        <v>0</v>
      </c>
      <c r="C185" s="1" t="s">
        <v>1</v>
      </c>
      <c r="D185" s="1" t="s">
        <v>2441</v>
      </c>
      <c r="E185" s="1" t="s">
        <v>2442</v>
      </c>
      <c r="F185" s="1" t="s">
        <v>2443</v>
      </c>
      <c r="H185" s="2" t="s">
        <v>5</v>
      </c>
      <c r="I185" s="2" t="s">
        <v>6</v>
      </c>
      <c r="J185" s="2" t="s">
        <v>5</v>
      </c>
      <c r="K185" s="2" t="s">
        <v>5</v>
      </c>
      <c r="L185" s="2" t="s">
        <v>7</v>
      </c>
      <c r="N185" s="1" t="s">
        <v>2444</v>
      </c>
      <c r="O185" s="2" t="s">
        <v>169</v>
      </c>
      <c r="Q185" s="2" t="s">
        <v>10</v>
      </c>
      <c r="R185" s="2" t="s">
        <v>405</v>
      </c>
      <c r="S185" s="1" t="s">
        <v>2445</v>
      </c>
      <c r="T185" s="2" t="s">
        <v>12</v>
      </c>
      <c r="U185" s="3">
        <v>1</v>
      </c>
      <c r="V185" s="3">
        <v>1</v>
      </c>
      <c r="W185" s="4" t="s">
        <v>1702</v>
      </c>
      <c r="X185" s="4" t="s">
        <v>1702</v>
      </c>
      <c r="Y185" s="4" t="s">
        <v>336</v>
      </c>
      <c r="Z185" s="4" t="s">
        <v>336</v>
      </c>
      <c r="AA185" s="3">
        <v>347</v>
      </c>
      <c r="AB185" s="3">
        <v>318</v>
      </c>
      <c r="AC185" s="3">
        <v>608</v>
      </c>
      <c r="AD185" s="3">
        <v>4</v>
      </c>
      <c r="AE185" s="3">
        <v>6</v>
      </c>
      <c r="AF185" s="3">
        <v>18</v>
      </c>
      <c r="AG185" s="3">
        <v>21</v>
      </c>
      <c r="AH185" s="3">
        <v>2</v>
      </c>
      <c r="AI185" s="3">
        <v>3</v>
      </c>
      <c r="AJ185" s="3">
        <v>6</v>
      </c>
      <c r="AK185" s="3">
        <v>6</v>
      </c>
      <c r="AL185" s="3">
        <v>11</v>
      </c>
      <c r="AM185" s="3">
        <v>12</v>
      </c>
      <c r="AN185" s="3">
        <v>3</v>
      </c>
      <c r="AO185" s="3">
        <v>5</v>
      </c>
      <c r="AP185" s="3">
        <v>0</v>
      </c>
      <c r="AQ185" s="3">
        <v>0</v>
      </c>
      <c r="AR185" s="2" t="s">
        <v>5</v>
      </c>
      <c r="AS185" s="2" t="s">
        <v>90</v>
      </c>
      <c r="AT185" s="5" t="str">
        <f>HYPERLINK("http://catalog.hathitrust.org/Record/003981184","HathiTrust Record")</f>
        <v>HathiTrust Record</v>
      </c>
      <c r="AU185" s="5" t="str">
        <f>HYPERLINK("https://creighton-primo.hosted.exlibrisgroup.com/primo-explore/search?tab=default_tab&amp;search_scope=EVERYTHING&amp;vid=01CRU&amp;lang=en_US&amp;offset=0&amp;query=any,contains,991000370839702656","Catalog Record")</f>
        <v>Catalog Record</v>
      </c>
      <c r="AV185" s="5" t="str">
        <f>HYPERLINK("http://www.worldcat.org/oclc/38573229","WorldCat Record")</f>
        <v>WorldCat Record</v>
      </c>
      <c r="AW185" s="2" t="s">
        <v>2446</v>
      </c>
      <c r="AX185" s="2" t="s">
        <v>2447</v>
      </c>
      <c r="AY185" s="2" t="s">
        <v>2448</v>
      </c>
      <c r="AZ185" s="2" t="s">
        <v>2448</v>
      </c>
      <c r="BA185" s="2" t="s">
        <v>2449</v>
      </c>
      <c r="BB185" s="2" t="s">
        <v>19</v>
      </c>
      <c r="BD185" s="2" t="s">
        <v>2450</v>
      </c>
      <c r="BE185" s="2" t="s">
        <v>2451</v>
      </c>
      <c r="BF185" s="2" t="s">
        <v>2452</v>
      </c>
    </row>
    <row r="186" spans="1:58" ht="50.25" customHeight="1" x14ac:dyDescent="0.25">
      <c r="A186" s="8" t="s">
        <v>5</v>
      </c>
      <c r="B186" s="1" t="s">
        <v>0</v>
      </c>
      <c r="C186" s="1" t="s">
        <v>1</v>
      </c>
      <c r="D186" s="1" t="s">
        <v>2453</v>
      </c>
      <c r="E186" s="1" t="s">
        <v>2454</v>
      </c>
      <c r="F186" s="1" t="s">
        <v>2455</v>
      </c>
      <c r="H186" s="2" t="s">
        <v>5</v>
      </c>
      <c r="I186" s="2" t="s">
        <v>6</v>
      </c>
      <c r="J186" s="2" t="s">
        <v>5</v>
      </c>
      <c r="K186" s="2" t="s">
        <v>5</v>
      </c>
      <c r="L186" s="2" t="s">
        <v>7</v>
      </c>
      <c r="M186" s="1" t="s">
        <v>2456</v>
      </c>
      <c r="N186" s="1" t="s">
        <v>2457</v>
      </c>
      <c r="O186" s="2" t="s">
        <v>259</v>
      </c>
      <c r="Q186" s="2" t="s">
        <v>10</v>
      </c>
      <c r="R186" s="2" t="s">
        <v>11</v>
      </c>
      <c r="T186" s="2" t="s">
        <v>12</v>
      </c>
      <c r="U186" s="3">
        <v>5</v>
      </c>
      <c r="V186" s="3">
        <v>5</v>
      </c>
      <c r="W186" s="4" t="s">
        <v>2458</v>
      </c>
      <c r="X186" s="4" t="s">
        <v>2458</v>
      </c>
      <c r="Y186" s="4" t="s">
        <v>942</v>
      </c>
      <c r="Z186" s="4" t="s">
        <v>942</v>
      </c>
      <c r="AA186" s="3">
        <v>439</v>
      </c>
      <c r="AB186" s="3">
        <v>360</v>
      </c>
      <c r="AC186" s="3">
        <v>367</v>
      </c>
      <c r="AD186" s="3">
        <v>2</v>
      </c>
      <c r="AE186" s="3">
        <v>2</v>
      </c>
      <c r="AF186" s="3">
        <v>17</v>
      </c>
      <c r="AG186" s="3">
        <v>17</v>
      </c>
      <c r="AH186" s="3">
        <v>5</v>
      </c>
      <c r="AI186" s="3">
        <v>5</v>
      </c>
      <c r="AJ186" s="3">
        <v>3</v>
      </c>
      <c r="AK186" s="3">
        <v>3</v>
      </c>
      <c r="AL186" s="3">
        <v>13</v>
      </c>
      <c r="AM186" s="3">
        <v>13</v>
      </c>
      <c r="AN186" s="3">
        <v>1</v>
      </c>
      <c r="AO186" s="3">
        <v>1</v>
      </c>
      <c r="AP186" s="3">
        <v>0</v>
      </c>
      <c r="AQ186" s="3">
        <v>0</v>
      </c>
      <c r="AR186" s="2" t="s">
        <v>5</v>
      </c>
      <c r="AS186" s="2" t="s">
        <v>90</v>
      </c>
      <c r="AT186" s="5" t="str">
        <f>HYPERLINK("http://catalog.hathitrust.org/Record/002882958","HathiTrust Record")</f>
        <v>HathiTrust Record</v>
      </c>
      <c r="AU186" s="5" t="str">
        <f>HYPERLINK("https://creighton-primo.hosted.exlibrisgroup.com/primo-explore/search?tab=default_tab&amp;search_scope=EVERYTHING&amp;vid=01CRU&amp;lang=en_US&amp;offset=0&amp;query=any,contains,991001397049702656","Catalog Record")</f>
        <v>Catalog Record</v>
      </c>
      <c r="AV186" s="5" t="str">
        <f>HYPERLINK("http://www.worldcat.org/oclc/29848184","WorldCat Record")</f>
        <v>WorldCat Record</v>
      </c>
      <c r="AW186" s="2" t="s">
        <v>2459</v>
      </c>
      <c r="AX186" s="2" t="s">
        <v>2460</v>
      </c>
      <c r="AY186" s="2" t="s">
        <v>2461</v>
      </c>
      <c r="AZ186" s="2" t="s">
        <v>2461</v>
      </c>
      <c r="BA186" s="2" t="s">
        <v>2462</v>
      </c>
      <c r="BB186" s="2" t="s">
        <v>19</v>
      </c>
      <c r="BD186" s="2" t="s">
        <v>2463</v>
      </c>
      <c r="BE186" s="2" t="s">
        <v>2464</v>
      </c>
      <c r="BF186" s="2" t="s">
        <v>2465</v>
      </c>
    </row>
    <row r="187" spans="1:58" ht="50.25" customHeight="1" x14ac:dyDescent="0.25">
      <c r="A187" s="8" t="s">
        <v>5</v>
      </c>
      <c r="B187" s="1" t="s">
        <v>0</v>
      </c>
      <c r="C187" s="1" t="s">
        <v>1</v>
      </c>
      <c r="D187" s="1" t="s">
        <v>2466</v>
      </c>
      <c r="E187" s="1" t="s">
        <v>2467</v>
      </c>
      <c r="F187" s="1" t="s">
        <v>2468</v>
      </c>
      <c r="H187" s="2" t="s">
        <v>5</v>
      </c>
      <c r="I187" s="2" t="s">
        <v>6</v>
      </c>
      <c r="J187" s="2" t="s">
        <v>5</v>
      </c>
      <c r="K187" s="2" t="s">
        <v>5</v>
      </c>
      <c r="L187" s="2" t="s">
        <v>7</v>
      </c>
      <c r="M187" s="1" t="s">
        <v>2469</v>
      </c>
      <c r="N187" s="1" t="s">
        <v>2470</v>
      </c>
      <c r="O187" s="2" t="s">
        <v>28</v>
      </c>
      <c r="Q187" s="2" t="s">
        <v>10</v>
      </c>
      <c r="R187" s="2" t="s">
        <v>77</v>
      </c>
      <c r="S187" s="1" t="s">
        <v>2471</v>
      </c>
      <c r="T187" s="2" t="s">
        <v>12</v>
      </c>
      <c r="U187" s="3">
        <v>2</v>
      </c>
      <c r="V187" s="3">
        <v>2</v>
      </c>
      <c r="W187" s="4" t="s">
        <v>2472</v>
      </c>
      <c r="X187" s="4" t="s">
        <v>2472</v>
      </c>
      <c r="Y187" s="4" t="s">
        <v>2472</v>
      </c>
      <c r="Z187" s="4" t="s">
        <v>2472</v>
      </c>
      <c r="AA187" s="3">
        <v>130</v>
      </c>
      <c r="AB187" s="3">
        <v>64</v>
      </c>
      <c r="AC187" s="3">
        <v>71</v>
      </c>
      <c r="AD187" s="3">
        <v>1</v>
      </c>
      <c r="AE187" s="3">
        <v>1</v>
      </c>
      <c r="AF187" s="3">
        <v>4</v>
      </c>
      <c r="AG187" s="3">
        <v>4</v>
      </c>
      <c r="AH187" s="3">
        <v>1</v>
      </c>
      <c r="AI187" s="3">
        <v>1</v>
      </c>
      <c r="AJ187" s="3">
        <v>1</v>
      </c>
      <c r="AK187" s="3">
        <v>1</v>
      </c>
      <c r="AL187" s="3">
        <v>4</v>
      </c>
      <c r="AM187" s="3">
        <v>4</v>
      </c>
      <c r="AN187" s="3">
        <v>0</v>
      </c>
      <c r="AO187" s="3">
        <v>0</v>
      </c>
      <c r="AP187" s="3">
        <v>0</v>
      </c>
      <c r="AQ187" s="3">
        <v>0</v>
      </c>
      <c r="AR187" s="2" t="s">
        <v>5</v>
      </c>
      <c r="AS187" s="2" t="s">
        <v>90</v>
      </c>
      <c r="AT187" s="5" t="str">
        <f>HYPERLINK("http://catalog.hathitrust.org/Record/001841133","HathiTrust Record")</f>
        <v>HathiTrust Record</v>
      </c>
      <c r="AU187" s="5" t="str">
        <f>HYPERLINK("https://creighton-primo.hosted.exlibrisgroup.com/primo-explore/search?tab=default_tab&amp;search_scope=EVERYTHING&amp;vid=01CRU&amp;lang=en_US&amp;offset=0&amp;query=any,contains,991001300089702656","Catalog Record")</f>
        <v>Catalog Record</v>
      </c>
      <c r="AV187" s="5" t="str">
        <f>HYPERLINK("http://www.worldcat.org/oclc/19513371","WorldCat Record")</f>
        <v>WorldCat Record</v>
      </c>
      <c r="AW187" s="2" t="s">
        <v>2473</v>
      </c>
      <c r="AX187" s="2" t="s">
        <v>2474</v>
      </c>
      <c r="AY187" s="2" t="s">
        <v>2475</v>
      </c>
      <c r="AZ187" s="2" t="s">
        <v>2475</v>
      </c>
      <c r="BA187" s="2" t="s">
        <v>2476</v>
      </c>
      <c r="BB187" s="2" t="s">
        <v>19</v>
      </c>
      <c r="BD187" s="2" t="s">
        <v>2477</v>
      </c>
      <c r="BE187" s="2" t="s">
        <v>2478</v>
      </c>
      <c r="BF187" s="2" t="s">
        <v>2479</v>
      </c>
    </row>
    <row r="188" spans="1:58" ht="50.25" customHeight="1" x14ac:dyDescent="0.25">
      <c r="A188" s="8" t="s">
        <v>5</v>
      </c>
      <c r="B188" s="1" t="s">
        <v>0</v>
      </c>
      <c r="C188" s="1" t="s">
        <v>1</v>
      </c>
      <c r="D188" s="1" t="s">
        <v>2480</v>
      </c>
      <c r="E188" s="1" t="s">
        <v>2481</v>
      </c>
      <c r="F188" s="1" t="s">
        <v>2482</v>
      </c>
      <c r="H188" s="2" t="s">
        <v>5</v>
      </c>
      <c r="I188" s="2" t="s">
        <v>6</v>
      </c>
      <c r="J188" s="2" t="s">
        <v>5</v>
      </c>
      <c r="K188" s="2" t="s">
        <v>5</v>
      </c>
      <c r="L188" s="2" t="s">
        <v>7</v>
      </c>
      <c r="M188" s="1" t="s">
        <v>2483</v>
      </c>
      <c r="N188" s="1" t="s">
        <v>2484</v>
      </c>
      <c r="O188" s="2" t="s">
        <v>349</v>
      </c>
      <c r="P188" s="1" t="s">
        <v>568</v>
      </c>
      <c r="Q188" s="2" t="s">
        <v>10</v>
      </c>
      <c r="R188" s="2" t="s">
        <v>184</v>
      </c>
      <c r="S188" s="1" t="s">
        <v>2485</v>
      </c>
      <c r="T188" s="2" t="s">
        <v>12</v>
      </c>
      <c r="U188" s="3">
        <v>2</v>
      </c>
      <c r="V188" s="3">
        <v>2</v>
      </c>
      <c r="W188" s="4" t="s">
        <v>2486</v>
      </c>
      <c r="X188" s="4" t="s">
        <v>2486</v>
      </c>
      <c r="Y188" s="4" t="s">
        <v>1660</v>
      </c>
      <c r="Z188" s="4" t="s">
        <v>1660</v>
      </c>
      <c r="AA188" s="3">
        <v>167</v>
      </c>
      <c r="AB188" s="3">
        <v>142</v>
      </c>
      <c r="AC188" s="3">
        <v>212</v>
      </c>
      <c r="AD188" s="3">
        <v>1</v>
      </c>
      <c r="AE188" s="3">
        <v>1</v>
      </c>
      <c r="AF188" s="3">
        <v>3</v>
      </c>
      <c r="AG188" s="3">
        <v>4</v>
      </c>
      <c r="AH188" s="3">
        <v>3</v>
      </c>
      <c r="AI188" s="3">
        <v>4</v>
      </c>
      <c r="AJ188" s="3">
        <v>0</v>
      </c>
      <c r="AK188" s="3">
        <v>0</v>
      </c>
      <c r="AL188" s="3">
        <v>1</v>
      </c>
      <c r="AM188" s="3">
        <v>1</v>
      </c>
      <c r="AN188" s="3">
        <v>0</v>
      </c>
      <c r="AO188" s="3">
        <v>0</v>
      </c>
      <c r="AP188" s="3">
        <v>0</v>
      </c>
      <c r="AQ188" s="3">
        <v>0</v>
      </c>
      <c r="AR188" s="2" t="s">
        <v>5</v>
      </c>
      <c r="AS188" s="2" t="s">
        <v>5</v>
      </c>
      <c r="AU188" s="5" t="str">
        <f>HYPERLINK("https://creighton-primo.hosted.exlibrisgroup.com/primo-explore/search?tab=default_tab&amp;search_scope=EVERYTHING&amp;vid=01CRU&amp;lang=en_US&amp;offset=0&amp;query=any,contains,991000316159702656","Catalog Record")</f>
        <v>Catalog Record</v>
      </c>
      <c r="AV188" s="5" t="str">
        <f>HYPERLINK("http://www.worldcat.org/oclc/45500394","WorldCat Record")</f>
        <v>WorldCat Record</v>
      </c>
      <c r="AW188" s="2" t="s">
        <v>2487</v>
      </c>
      <c r="AX188" s="2" t="s">
        <v>2488</v>
      </c>
      <c r="AY188" s="2" t="s">
        <v>2489</v>
      </c>
      <c r="AZ188" s="2" t="s">
        <v>2489</v>
      </c>
      <c r="BA188" s="2" t="s">
        <v>2490</v>
      </c>
      <c r="BB188" s="2" t="s">
        <v>19</v>
      </c>
      <c r="BD188" s="2" t="s">
        <v>2491</v>
      </c>
      <c r="BE188" s="2" t="s">
        <v>2492</v>
      </c>
      <c r="BF188" s="2" t="s">
        <v>2493</v>
      </c>
    </row>
    <row r="189" spans="1:58" ht="50.25" customHeight="1" x14ac:dyDescent="0.25">
      <c r="A189" s="8" t="s">
        <v>5</v>
      </c>
      <c r="B189" s="1" t="s">
        <v>0</v>
      </c>
      <c r="C189" s="1" t="s">
        <v>1</v>
      </c>
      <c r="D189" s="1" t="s">
        <v>2494</v>
      </c>
      <c r="E189" s="1" t="s">
        <v>2495</v>
      </c>
      <c r="F189" s="1" t="s">
        <v>2496</v>
      </c>
      <c r="H189" s="2" t="s">
        <v>5</v>
      </c>
      <c r="I189" s="2" t="s">
        <v>6</v>
      </c>
      <c r="J189" s="2" t="s">
        <v>5</v>
      </c>
      <c r="K189" s="2" t="s">
        <v>5</v>
      </c>
      <c r="L189" s="2" t="s">
        <v>7</v>
      </c>
      <c r="M189" s="1" t="s">
        <v>2497</v>
      </c>
      <c r="N189" s="1" t="s">
        <v>2125</v>
      </c>
      <c r="O189" s="2" t="s">
        <v>60</v>
      </c>
      <c r="Q189" s="2" t="s">
        <v>10</v>
      </c>
      <c r="R189" s="2" t="s">
        <v>45</v>
      </c>
      <c r="T189" s="2" t="s">
        <v>12</v>
      </c>
      <c r="U189" s="3">
        <v>0</v>
      </c>
      <c r="V189" s="3">
        <v>0</v>
      </c>
      <c r="W189" s="4" t="s">
        <v>2498</v>
      </c>
      <c r="X189" s="4" t="s">
        <v>2498</v>
      </c>
      <c r="Y189" s="4" t="s">
        <v>2499</v>
      </c>
      <c r="Z189" s="4" t="s">
        <v>2499</v>
      </c>
      <c r="AA189" s="3">
        <v>285</v>
      </c>
      <c r="AB189" s="3">
        <v>223</v>
      </c>
      <c r="AC189" s="3">
        <v>230</v>
      </c>
      <c r="AD189" s="3">
        <v>0</v>
      </c>
      <c r="AE189" s="3">
        <v>0</v>
      </c>
      <c r="AF189" s="3">
        <v>8</v>
      </c>
      <c r="AG189" s="3">
        <v>8</v>
      </c>
      <c r="AH189" s="3">
        <v>3</v>
      </c>
      <c r="AI189" s="3">
        <v>3</v>
      </c>
      <c r="AJ189" s="3">
        <v>1</v>
      </c>
      <c r="AK189" s="3">
        <v>1</v>
      </c>
      <c r="AL189" s="3">
        <v>5</v>
      </c>
      <c r="AM189" s="3">
        <v>5</v>
      </c>
      <c r="AN189" s="3">
        <v>0</v>
      </c>
      <c r="AO189" s="3">
        <v>0</v>
      </c>
      <c r="AP189" s="3">
        <v>0</v>
      </c>
      <c r="AQ189" s="3">
        <v>0</v>
      </c>
      <c r="AR189" s="2" t="s">
        <v>5</v>
      </c>
      <c r="AS189" s="2" t="s">
        <v>90</v>
      </c>
      <c r="AT189" s="5" t="str">
        <f>HYPERLINK("http://catalog.hathitrust.org/Record/004305030","HathiTrust Record")</f>
        <v>HathiTrust Record</v>
      </c>
      <c r="AU189" s="5" t="str">
        <f>HYPERLINK("https://creighton-primo.hosted.exlibrisgroup.com/primo-explore/search?tab=default_tab&amp;search_scope=EVERYTHING&amp;vid=01CRU&amp;lang=en_US&amp;offset=0&amp;query=any,contains,991000634469702656","Catalog Record")</f>
        <v>Catalog Record</v>
      </c>
      <c r="AV189" s="5" t="str">
        <f>HYPERLINK("http://www.worldcat.org/oclc/47798253","WorldCat Record")</f>
        <v>WorldCat Record</v>
      </c>
      <c r="AW189" s="2" t="s">
        <v>2500</v>
      </c>
      <c r="AX189" s="2" t="s">
        <v>2501</v>
      </c>
      <c r="AY189" s="2" t="s">
        <v>2502</v>
      </c>
      <c r="AZ189" s="2" t="s">
        <v>2502</v>
      </c>
      <c r="BA189" s="2" t="s">
        <v>2503</v>
      </c>
      <c r="BB189" s="2" t="s">
        <v>19</v>
      </c>
      <c r="BD189" s="2" t="s">
        <v>2504</v>
      </c>
      <c r="BE189" s="2" t="s">
        <v>2505</v>
      </c>
      <c r="BF189" s="2" t="s">
        <v>2506</v>
      </c>
    </row>
    <row r="190" spans="1:58" ht="50.25" customHeight="1" x14ac:dyDescent="0.25">
      <c r="A190" s="8" t="s">
        <v>5</v>
      </c>
      <c r="B190" s="1" t="s">
        <v>0</v>
      </c>
      <c r="C190" s="1" t="s">
        <v>1</v>
      </c>
      <c r="D190" s="1" t="s">
        <v>2507</v>
      </c>
      <c r="E190" s="1" t="s">
        <v>2508</v>
      </c>
      <c r="F190" s="1" t="s">
        <v>2509</v>
      </c>
      <c r="H190" s="2" t="s">
        <v>5</v>
      </c>
      <c r="I190" s="2" t="s">
        <v>6</v>
      </c>
      <c r="J190" s="2" t="s">
        <v>5</v>
      </c>
      <c r="K190" s="2" t="s">
        <v>5</v>
      </c>
      <c r="L190" s="2" t="s">
        <v>7</v>
      </c>
      <c r="N190" s="1" t="s">
        <v>2510</v>
      </c>
      <c r="O190" s="2" t="s">
        <v>60</v>
      </c>
      <c r="Q190" s="2" t="s">
        <v>10</v>
      </c>
      <c r="R190" s="2" t="s">
        <v>11</v>
      </c>
      <c r="T190" s="2" t="s">
        <v>12</v>
      </c>
      <c r="U190" s="3">
        <v>2</v>
      </c>
      <c r="V190" s="3">
        <v>2</v>
      </c>
      <c r="W190" s="4" t="s">
        <v>2511</v>
      </c>
      <c r="X190" s="4" t="s">
        <v>2511</v>
      </c>
      <c r="Y190" s="4" t="s">
        <v>1943</v>
      </c>
      <c r="Z190" s="4" t="s">
        <v>1943</v>
      </c>
      <c r="AA190" s="3">
        <v>209</v>
      </c>
      <c r="AB190" s="3">
        <v>169</v>
      </c>
      <c r="AC190" s="3">
        <v>188</v>
      </c>
      <c r="AD190" s="3">
        <v>1</v>
      </c>
      <c r="AE190" s="3">
        <v>1</v>
      </c>
      <c r="AF190" s="3">
        <v>5</v>
      </c>
      <c r="AG190" s="3">
        <v>6</v>
      </c>
      <c r="AH190" s="3">
        <v>2</v>
      </c>
      <c r="AI190" s="3">
        <v>2</v>
      </c>
      <c r="AJ190" s="3">
        <v>1</v>
      </c>
      <c r="AK190" s="3">
        <v>2</v>
      </c>
      <c r="AL190" s="3">
        <v>3</v>
      </c>
      <c r="AM190" s="3">
        <v>3</v>
      </c>
      <c r="AN190" s="3">
        <v>0</v>
      </c>
      <c r="AO190" s="3">
        <v>0</v>
      </c>
      <c r="AP190" s="3">
        <v>0</v>
      </c>
      <c r="AQ190" s="3">
        <v>0</v>
      </c>
      <c r="AR190" s="2" t="s">
        <v>5</v>
      </c>
      <c r="AS190" s="2" t="s">
        <v>90</v>
      </c>
      <c r="AT190" s="5" t="str">
        <f>HYPERLINK("http://catalog.hathitrust.org/Record/004342121","HathiTrust Record")</f>
        <v>HathiTrust Record</v>
      </c>
      <c r="AU190" s="5" t="str">
        <f>HYPERLINK("https://creighton-primo.hosted.exlibrisgroup.com/primo-explore/search?tab=default_tab&amp;search_scope=EVERYTHING&amp;vid=01CRU&amp;lang=en_US&amp;offset=0&amp;query=any,contains,991000391279702656","Catalog Record")</f>
        <v>Catalog Record</v>
      </c>
      <c r="AV190" s="5" t="str">
        <f>HYPERLINK("http://www.worldcat.org/oclc/53971836","WorldCat Record")</f>
        <v>WorldCat Record</v>
      </c>
      <c r="AW190" s="2" t="s">
        <v>2512</v>
      </c>
      <c r="AX190" s="2" t="s">
        <v>2513</v>
      </c>
      <c r="AY190" s="2" t="s">
        <v>2514</v>
      </c>
      <c r="AZ190" s="2" t="s">
        <v>2514</v>
      </c>
      <c r="BA190" s="2" t="s">
        <v>2515</v>
      </c>
      <c r="BB190" s="2" t="s">
        <v>19</v>
      </c>
      <c r="BD190" s="2" t="s">
        <v>2516</v>
      </c>
      <c r="BE190" s="2" t="s">
        <v>2517</v>
      </c>
      <c r="BF190" s="2" t="s">
        <v>2518</v>
      </c>
    </row>
    <row r="191" spans="1:58" ht="50.25" customHeight="1" x14ac:dyDescent="0.25">
      <c r="A191" s="8" t="s">
        <v>5</v>
      </c>
      <c r="B191" s="1" t="s">
        <v>0</v>
      </c>
      <c r="C191" s="1" t="s">
        <v>1</v>
      </c>
      <c r="D191" s="1" t="s">
        <v>2519</v>
      </c>
      <c r="E191" s="1" t="s">
        <v>2520</v>
      </c>
      <c r="F191" s="1" t="s">
        <v>2521</v>
      </c>
      <c r="H191" s="2" t="s">
        <v>5</v>
      </c>
      <c r="I191" s="2" t="s">
        <v>6</v>
      </c>
      <c r="J191" s="2" t="s">
        <v>5</v>
      </c>
      <c r="K191" s="2" t="s">
        <v>5</v>
      </c>
      <c r="L191" s="2" t="s">
        <v>7</v>
      </c>
      <c r="M191" s="1" t="s">
        <v>2522</v>
      </c>
      <c r="N191" s="1" t="s">
        <v>2523</v>
      </c>
      <c r="O191" s="2" t="s">
        <v>228</v>
      </c>
      <c r="Q191" s="2" t="s">
        <v>10</v>
      </c>
      <c r="R191" s="2" t="s">
        <v>11</v>
      </c>
      <c r="T191" s="2" t="s">
        <v>12</v>
      </c>
      <c r="U191" s="3">
        <v>2</v>
      </c>
      <c r="V191" s="3">
        <v>2</v>
      </c>
      <c r="W191" s="4" t="s">
        <v>1981</v>
      </c>
      <c r="X191" s="4" t="s">
        <v>1981</v>
      </c>
      <c r="Y191" s="4" t="s">
        <v>2524</v>
      </c>
      <c r="Z191" s="4" t="s">
        <v>2524</v>
      </c>
      <c r="AA191" s="3">
        <v>112</v>
      </c>
      <c r="AB191" s="3">
        <v>88</v>
      </c>
      <c r="AC191" s="3">
        <v>93</v>
      </c>
      <c r="AD191" s="3">
        <v>1</v>
      </c>
      <c r="AE191" s="3">
        <v>1</v>
      </c>
      <c r="AF191" s="3">
        <v>3</v>
      </c>
      <c r="AG191" s="3">
        <v>3</v>
      </c>
      <c r="AH191" s="3">
        <v>2</v>
      </c>
      <c r="AI191" s="3">
        <v>2</v>
      </c>
      <c r="AJ191" s="3">
        <v>0</v>
      </c>
      <c r="AK191" s="3">
        <v>0</v>
      </c>
      <c r="AL191" s="3">
        <v>2</v>
      </c>
      <c r="AM191" s="3">
        <v>2</v>
      </c>
      <c r="AN191" s="3">
        <v>0</v>
      </c>
      <c r="AO191" s="3">
        <v>0</v>
      </c>
      <c r="AP191" s="3">
        <v>1</v>
      </c>
      <c r="AQ191" s="3">
        <v>1</v>
      </c>
      <c r="AR191" s="2" t="s">
        <v>5</v>
      </c>
      <c r="AS191" s="2" t="s">
        <v>5</v>
      </c>
      <c r="AU191" s="5" t="str">
        <f>HYPERLINK("https://creighton-primo.hosted.exlibrisgroup.com/primo-explore/search?tab=default_tab&amp;search_scope=EVERYTHING&amp;vid=01CRU&amp;lang=en_US&amp;offset=0&amp;query=any,contains,991000371739702656","Catalog Record")</f>
        <v>Catalog Record</v>
      </c>
      <c r="AV191" s="5" t="str">
        <f>HYPERLINK("http://www.worldcat.org/oclc/17412601","WorldCat Record")</f>
        <v>WorldCat Record</v>
      </c>
      <c r="AW191" s="2" t="s">
        <v>2525</v>
      </c>
      <c r="AX191" s="2" t="s">
        <v>2526</v>
      </c>
      <c r="AY191" s="2" t="s">
        <v>2527</v>
      </c>
      <c r="AZ191" s="2" t="s">
        <v>2527</v>
      </c>
      <c r="BA191" s="2" t="s">
        <v>2528</v>
      </c>
      <c r="BB191" s="2" t="s">
        <v>19</v>
      </c>
      <c r="BD191" s="2" t="s">
        <v>2529</v>
      </c>
      <c r="BE191" s="2" t="s">
        <v>2530</v>
      </c>
      <c r="BF191" s="2" t="s">
        <v>2531</v>
      </c>
    </row>
    <row r="192" spans="1:58" ht="50.25" customHeight="1" x14ac:dyDescent="0.25">
      <c r="A192" s="8" t="s">
        <v>5</v>
      </c>
      <c r="B192" s="1" t="s">
        <v>0</v>
      </c>
      <c r="C192" s="1" t="s">
        <v>1</v>
      </c>
      <c r="D192" s="1" t="s">
        <v>2532</v>
      </c>
      <c r="E192" s="1" t="s">
        <v>2533</v>
      </c>
      <c r="F192" s="1" t="s">
        <v>2534</v>
      </c>
      <c r="H192" s="2" t="s">
        <v>5</v>
      </c>
      <c r="I192" s="2" t="s">
        <v>6</v>
      </c>
      <c r="J192" s="2" t="s">
        <v>5</v>
      </c>
      <c r="K192" s="2" t="s">
        <v>5</v>
      </c>
      <c r="L192" s="2" t="s">
        <v>7</v>
      </c>
      <c r="N192" s="1" t="s">
        <v>2535</v>
      </c>
      <c r="O192" s="2" t="s">
        <v>389</v>
      </c>
      <c r="Q192" s="2" t="s">
        <v>10</v>
      </c>
      <c r="R192" s="2" t="s">
        <v>11</v>
      </c>
      <c r="T192" s="2" t="s">
        <v>12</v>
      </c>
      <c r="U192" s="3">
        <v>1</v>
      </c>
      <c r="V192" s="3">
        <v>1</v>
      </c>
      <c r="W192" s="4" t="s">
        <v>1702</v>
      </c>
      <c r="X192" s="4" t="s">
        <v>1702</v>
      </c>
      <c r="Y192" s="4" t="s">
        <v>1702</v>
      </c>
      <c r="Z192" s="4" t="s">
        <v>1702</v>
      </c>
      <c r="AA192" s="3">
        <v>65</v>
      </c>
      <c r="AB192" s="3">
        <v>52</v>
      </c>
      <c r="AC192" s="3">
        <v>57</v>
      </c>
      <c r="AD192" s="3">
        <v>1</v>
      </c>
      <c r="AE192" s="3">
        <v>1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2" t="s">
        <v>5</v>
      </c>
      <c r="AS192" s="2" t="s">
        <v>5</v>
      </c>
      <c r="AU192" s="5" t="str">
        <f>HYPERLINK("https://creighton-primo.hosted.exlibrisgroup.com/primo-explore/search?tab=default_tab&amp;search_scope=EVERYTHING&amp;vid=01CRU&amp;lang=en_US&amp;offset=0&amp;query=any,contains,991000373009702656","Catalog Record")</f>
        <v>Catalog Record</v>
      </c>
      <c r="AV192" s="5" t="str">
        <f>HYPERLINK("http://www.worldcat.org/oclc/50285705","WorldCat Record")</f>
        <v>WorldCat Record</v>
      </c>
      <c r="AW192" s="2" t="s">
        <v>2536</v>
      </c>
      <c r="AX192" s="2" t="s">
        <v>2537</v>
      </c>
      <c r="AY192" s="2" t="s">
        <v>2538</v>
      </c>
      <c r="AZ192" s="2" t="s">
        <v>2538</v>
      </c>
      <c r="BA192" s="2" t="s">
        <v>2539</v>
      </c>
      <c r="BB192" s="2" t="s">
        <v>19</v>
      </c>
      <c r="BD192" s="2" t="s">
        <v>2540</v>
      </c>
      <c r="BE192" s="2" t="s">
        <v>2541</v>
      </c>
      <c r="BF192" s="2" t="s">
        <v>2542</v>
      </c>
    </row>
    <row r="193" spans="1:58" ht="50.25" customHeight="1" x14ac:dyDescent="0.25">
      <c r="A193" s="8" t="s">
        <v>5</v>
      </c>
      <c r="B193" s="1" t="s">
        <v>0</v>
      </c>
      <c r="C193" s="1" t="s">
        <v>1</v>
      </c>
      <c r="D193" s="1" t="s">
        <v>2543</v>
      </c>
      <c r="E193" s="1" t="s">
        <v>2544</v>
      </c>
      <c r="F193" s="1" t="s">
        <v>2545</v>
      </c>
      <c r="H193" s="2" t="s">
        <v>5</v>
      </c>
      <c r="I193" s="2" t="s">
        <v>6</v>
      </c>
      <c r="J193" s="2" t="s">
        <v>5</v>
      </c>
      <c r="K193" s="2" t="s">
        <v>5</v>
      </c>
      <c r="L193" s="2" t="s">
        <v>7</v>
      </c>
      <c r="N193" s="1" t="s">
        <v>2546</v>
      </c>
      <c r="O193" s="2" t="s">
        <v>125</v>
      </c>
      <c r="Q193" s="2" t="s">
        <v>10</v>
      </c>
      <c r="R193" s="2" t="s">
        <v>405</v>
      </c>
      <c r="T193" s="2" t="s">
        <v>12</v>
      </c>
      <c r="U193" s="3">
        <v>6</v>
      </c>
      <c r="V193" s="3">
        <v>6</v>
      </c>
      <c r="W193" s="4" t="s">
        <v>810</v>
      </c>
      <c r="X193" s="4" t="s">
        <v>810</v>
      </c>
      <c r="Y193" s="4" t="s">
        <v>2547</v>
      </c>
      <c r="Z193" s="4" t="s">
        <v>2547</v>
      </c>
      <c r="AA193" s="3">
        <v>459</v>
      </c>
      <c r="AB193" s="3">
        <v>366</v>
      </c>
      <c r="AC193" s="3">
        <v>431</v>
      </c>
      <c r="AD193" s="3">
        <v>4</v>
      </c>
      <c r="AE193" s="3">
        <v>4</v>
      </c>
      <c r="AF193" s="3">
        <v>19</v>
      </c>
      <c r="AG193" s="3">
        <v>22</v>
      </c>
      <c r="AH193" s="3">
        <v>6</v>
      </c>
      <c r="AI193" s="3">
        <v>7</v>
      </c>
      <c r="AJ193" s="3">
        <v>2</v>
      </c>
      <c r="AK193" s="3">
        <v>4</v>
      </c>
      <c r="AL193" s="3">
        <v>11</v>
      </c>
      <c r="AM193" s="3">
        <v>11</v>
      </c>
      <c r="AN193" s="3">
        <v>3</v>
      </c>
      <c r="AO193" s="3">
        <v>3</v>
      </c>
      <c r="AP193" s="3">
        <v>0</v>
      </c>
      <c r="AQ193" s="3">
        <v>0</v>
      </c>
      <c r="AR193" s="2" t="s">
        <v>5</v>
      </c>
      <c r="AS193" s="2" t="s">
        <v>90</v>
      </c>
      <c r="AT193" s="5" t="str">
        <f>HYPERLINK("http://catalog.hathitrust.org/Record/003069298","HathiTrust Record")</f>
        <v>HathiTrust Record</v>
      </c>
      <c r="AU193" s="5" t="str">
        <f>HYPERLINK("https://creighton-primo.hosted.exlibrisgroup.com/primo-explore/search?tab=default_tab&amp;search_scope=EVERYTHING&amp;vid=01CRU&amp;lang=en_US&amp;offset=0&amp;query=any,contains,991001255439702656","Catalog Record")</f>
        <v>Catalog Record</v>
      </c>
      <c r="AV193" s="5" t="str">
        <f>HYPERLINK("http://www.worldcat.org/oclc/33078540","WorldCat Record")</f>
        <v>WorldCat Record</v>
      </c>
      <c r="AW193" s="2" t="s">
        <v>2548</v>
      </c>
      <c r="AX193" s="2" t="s">
        <v>2549</v>
      </c>
      <c r="AY193" s="2" t="s">
        <v>2550</v>
      </c>
      <c r="AZ193" s="2" t="s">
        <v>2550</v>
      </c>
      <c r="BA193" s="2" t="s">
        <v>2551</v>
      </c>
      <c r="BB193" s="2" t="s">
        <v>19</v>
      </c>
      <c r="BD193" s="2" t="s">
        <v>2552</v>
      </c>
      <c r="BE193" s="2" t="s">
        <v>2553</v>
      </c>
      <c r="BF193" s="2" t="s">
        <v>2554</v>
      </c>
    </row>
    <row r="194" spans="1:58" ht="50.25" customHeight="1" x14ac:dyDescent="0.25">
      <c r="A194" s="8" t="s">
        <v>5</v>
      </c>
      <c r="B194" s="1" t="s">
        <v>0</v>
      </c>
      <c r="C194" s="1" t="s">
        <v>1</v>
      </c>
      <c r="D194" s="1" t="s">
        <v>2555</v>
      </c>
      <c r="E194" s="1" t="s">
        <v>2556</v>
      </c>
      <c r="F194" s="1" t="s">
        <v>2557</v>
      </c>
      <c r="H194" s="2" t="s">
        <v>5</v>
      </c>
      <c r="I194" s="2" t="s">
        <v>6</v>
      </c>
      <c r="J194" s="2" t="s">
        <v>5</v>
      </c>
      <c r="K194" s="2" t="s">
        <v>5</v>
      </c>
      <c r="L194" s="2" t="s">
        <v>7</v>
      </c>
      <c r="M194" s="1" t="s">
        <v>2558</v>
      </c>
      <c r="N194" s="1" t="s">
        <v>2559</v>
      </c>
      <c r="O194" s="2" t="s">
        <v>1095</v>
      </c>
      <c r="Q194" s="2" t="s">
        <v>10</v>
      </c>
      <c r="R194" s="2" t="s">
        <v>110</v>
      </c>
      <c r="T194" s="2" t="s">
        <v>12</v>
      </c>
      <c r="U194" s="3">
        <v>10</v>
      </c>
      <c r="V194" s="3">
        <v>10</v>
      </c>
      <c r="W194" s="4" t="s">
        <v>2560</v>
      </c>
      <c r="X194" s="4" t="s">
        <v>2560</v>
      </c>
      <c r="Y194" s="4" t="s">
        <v>2561</v>
      </c>
      <c r="Z194" s="4" t="s">
        <v>2561</v>
      </c>
      <c r="AA194" s="3">
        <v>279</v>
      </c>
      <c r="AB194" s="3">
        <v>130</v>
      </c>
      <c r="AC194" s="3">
        <v>132</v>
      </c>
      <c r="AD194" s="3">
        <v>2</v>
      </c>
      <c r="AE194" s="3">
        <v>2</v>
      </c>
      <c r="AF194" s="3">
        <v>9</v>
      </c>
      <c r="AG194" s="3">
        <v>9</v>
      </c>
      <c r="AH194" s="3">
        <v>4</v>
      </c>
      <c r="AI194" s="3">
        <v>4</v>
      </c>
      <c r="AJ194" s="3">
        <v>2</v>
      </c>
      <c r="AK194" s="3">
        <v>2</v>
      </c>
      <c r="AL194" s="3">
        <v>7</v>
      </c>
      <c r="AM194" s="3">
        <v>7</v>
      </c>
      <c r="AN194" s="3">
        <v>1</v>
      </c>
      <c r="AO194" s="3">
        <v>1</v>
      </c>
      <c r="AP194" s="3">
        <v>0</v>
      </c>
      <c r="AQ194" s="3">
        <v>0</v>
      </c>
      <c r="AR194" s="2" t="s">
        <v>5</v>
      </c>
      <c r="AS194" s="2" t="s">
        <v>90</v>
      </c>
      <c r="AT194" s="5" t="str">
        <f>HYPERLINK("http://catalog.hathitrust.org/Record/002961032","HathiTrust Record")</f>
        <v>HathiTrust Record</v>
      </c>
      <c r="AU194" s="5" t="str">
        <f>HYPERLINK("https://creighton-primo.hosted.exlibrisgroup.com/primo-explore/search?tab=default_tab&amp;search_scope=EVERYTHING&amp;vid=01CRU&amp;lang=en_US&amp;offset=0&amp;query=any,contains,991001501339702656","Catalog Record")</f>
        <v>Catalog Record</v>
      </c>
      <c r="AV194" s="5" t="str">
        <f>HYPERLINK("http://www.worldcat.org/oclc/31607427","WorldCat Record")</f>
        <v>WorldCat Record</v>
      </c>
      <c r="AW194" s="2" t="s">
        <v>2562</v>
      </c>
      <c r="AX194" s="2" t="s">
        <v>2563</v>
      </c>
      <c r="AY194" s="2" t="s">
        <v>2564</v>
      </c>
      <c r="AZ194" s="2" t="s">
        <v>2564</v>
      </c>
      <c r="BA194" s="2" t="s">
        <v>2565</v>
      </c>
      <c r="BB194" s="2" t="s">
        <v>19</v>
      </c>
      <c r="BD194" s="2" t="s">
        <v>2566</v>
      </c>
      <c r="BE194" s="2" t="s">
        <v>2567</v>
      </c>
      <c r="BF194" s="2" t="s">
        <v>2568</v>
      </c>
    </row>
    <row r="195" spans="1:58" ht="50.25" customHeight="1" x14ac:dyDescent="0.25">
      <c r="A195" s="8" t="s">
        <v>5</v>
      </c>
      <c r="B195" s="1" t="s">
        <v>0</v>
      </c>
      <c r="C195" s="1" t="s">
        <v>1</v>
      </c>
      <c r="D195" s="1" t="s">
        <v>2569</v>
      </c>
      <c r="E195" s="1" t="s">
        <v>2570</v>
      </c>
      <c r="F195" s="1" t="s">
        <v>2571</v>
      </c>
      <c r="H195" s="2" t="s">
        <v>5</v>
      </c>
      <c r="I195" s="2" t="s">
        <v>6</v>
      </c>
      <c r="J195" s="2" t="s">
        <v>5</v>
      </c>
      <c r="K195" s="2" t="s">
        <v>5</v>
      </c>
      <c r="L195" s="2" t="s">
        <v>7</v>
      </c>
      <c r="N195" s="1" t="s">
        <v>2572</v>
      </c>
      <c r="O195" s="2" t="s">
        <v>125</v>
      </c>
      <c r="Q195" s="2" t="s">
        <v>10</v>
      </c>
      <c r="R195" s="2" t="s">
        <v>184</v>
      </c>
      <c r="T195" s="2" t="s">
        <v>12</v>
      </c>
      <c r="U195" s="3">
        <v>5</v>
      </c>
      <c r="V195" s="3">
        <v>5</v>
      </c>
      <c r="W195" s="4" t="s">
        <v>2573</v>
      </c>
      <c r="X195" s="4" t="s">
        <v>2573</v>
      </c>
      <c r="Y195" s="4" t="s">
        <v>2574</v>
      </c>
      <c r="Z195" s="4" t="s">
        <v>2574</v>
      </c>
      <c r="AA195" s="3">
        <v>22</v>
      </c>
      <c r="AB195" s="3">
        <v>21</v>
      </c>
      <c r="AC195" s="3">
        <v>21</v>
      </c>
      <c r="AD195" s="3">
        <v>1</v>
      </c>
      <c r="AE195" s="3">
        <v>1</v>
      </c>
      <c r="AF195" s="3">
        <v>1</v>
      </c>
      <c r="AG195" s="3">
        <v>1</v>
      </c>
      <c r="AH195" s="3">
        <v>0</v>
      </c>
      <c r="AI195" s="3">
        <v>0</v>
      </c>
      <c r="AJ195" s="3">
        <v>1</v>
      </c>
      <c r="AK195" s="3">
        <v>1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2" t="s">
        <v>5</v>
      </c>
      <c r="AS195" s="2" t="s">
        <v>5</v>
      </c>
      <c r="AU195" s="5" t="str">
        <f>HYPERLINK("https://creighton-primo.hosted.exlibrisgroup.com/primo-explore/search?tab=default_tab&amp;search_scope=EVERYTHING&amp;vid=01CRU&amp;lang=en_US&amp;offset=0&amp;query=any,contains,991001297929702656","Catalog Record")</f>
        <v>Catalog Record</v>
      </c>
      <c r="AV195" s="5" t="str">
        <f>HYPERLINK("http://www.worldcat.org/oclc/38067423","WorldCat Record")</f>
        <v>WorldCat Record</v>
      </c>
      <c r="AW195" s="2" t="s">
        <v>2575</v>
      </c>
      <c r="AX195" s="2" t="s">
        <v>2576</v>
      </c>
      <c r="AY195" s="2" t="s">
        <v>2577</v>
      </c>
      <c r="AZ195" s="2" t="s">
        <v>2577</v>
      </c>
      <c r="BA195" s="2" t="s">
        <v>2578</v>
      </c>
      <c r="BB195" s="2" t="s">
        <v>19</v>
      </c>
      <c r="BD195" s="2" t="s">
        <v>2579</v>
      </c>
      <c r="BE195" s="2" t="s">
        <v>2580</v>
      </c>
      <c r="BF195" s="2" t="s">
        <v>2581</v>
      </c>
    </row>
    <row r="196" spans="1:58" ht="50.25" customHeight="1" x14ac:dyDescent="0.25">
      <c r="A196" s="8" t="s">
        <v>5</v>
      </c>
      <c r="B196" s="1" t="s">
        <v>0</v>
      </c>
      <c r="C196" s="1" t="s">
        <v>1</v>
      </c>
      <c r="D196" s="1" t="s">
        <v>2582</v>
      </c>
      <c r="E196" s="1" t="s">
        <v>2583</v>
      </c>
      <c r="F196" s="1" t="s">
        <v>2584</v>
      </c>
      <c r="H196" s="2" t="s">
        <v>5</v>
      </c>
      <c r="I196" s="2" t="s">
        <v>6</v>
      </c>
      <c r="J196" s="2" t="s">
        <v>5</v>
      </c>
      <c r="K196" s="2" t="s">
        <v>5</v>
      </c>
      <c r="L196" s="2" t="s">
        <v>7</v>
      </c>
      <c r="N196" s="1" t="s">
        <v>2585</v>
      </c>
      <c r="O196" s="2" t="s">
        <v>289</v>
      </c>
      <c r="P196" s="1" t="s">
        <v>320</v>
      </c>
      <c r="Q196" s="2" t="s">
        <v>10</v>
      </c>
      <c r="R196" s="2" t="s">
        <v>405</v>
      </c>
      <c r="T196" s="2" t="s">
        <v>12</v>
      </c>
      <c r="U196" s="3">
        <v>5</v>
      </c>
      <c r="V196" s="3">
        <v>5</v>
      </c>
      <c r="W196" s="4" t="s">
        <v>2586</v>
      </c>
      <c r="X196" s="4" t="s">
        <v>2586</v>
      </c>
      <c r="Y196" s="4" t="s">
        <v>2524</v>
      </c>
      <c r="Z196" s="4" t="s">
        <v>2524</v>
      </c>
      <c r="AA196" s="3">
        <v>353</v>
      </c>
      <c r="AB196" s="3">
        <v>315</v>
      </c>
      <c r="AC196" s="3">
        <v>322</v>
      </c>
      <c r="AD196" s="3">
        <v>1</v>
      </c>
      <c r="AE196" s="3">
        <v>1</v>
      </c>
      <c r="AF196" s="3">
        <v>11</v>
      </c>
      <c r="AG196" s="3">
        <v>11</v>
      </c>
      <c r="AH196" s="3">
        <v>4</v>
      </c>
      <c r="AI196" s="3">
        <v>4</v>
      </c>
      <c r="AJ196" s="3">
        <v>2</v>
      </c>
      <c r="AK196" s="3">
        <v>2</v>
      </c>
      <c r="AL196" s="3">
        <v>8</v>
      </c>
      <c r="AM196" s="3">
        <v>8</v>
      </c>
      <c r="AN196" s="3">
        <v>0</v>
      </c>
      <c r="AO196" s="3">
        <v>0</v>
      </c>
      <c r="AP196" s="3">
        <v>0</v>
      </c>
      <c r="AQ196" s="3">
        <v>0</v>
      </c>
      <c r="AR196" s="2" t="s">
        <v>5</v>
      </c>
      <c r="AS196" s="2" t="s">
        <v>90</v>
      </c>
      <c r="AT196" s="5" t="str">
        <f>HYPERLINK("http://catalog.hathitrust.org/Record/004024265","HathiTrust Record")</f>
        <v>HathiTrust Record</v>
      </c>
      <c r="AU196" s="5" t="str">
        <f>HYPERLINK("https://creighton-primo.hosted.exlibrisgroup.com/primo-explore/search?tab=default_tab&amp;search_scope=EVERYTHING&amp;vid=01CRU&amp;lang=en_US&amp;offset=0&amp;query=any,contains,991000371639702656","Catalog Record")</f>
        <v>Catalog Record</v>
      </c>
      <c r="AV196" s="5" t="str">
        <f>HYPERLINK("http://www.worldcat.org/oclc/39981342","WorldCat Record")</f>
        <v>WorldCat Record</v>
      </c>
      <c r="AW196" s="2" t="s">
        <v>2587</v>
      </c>
      <c r="AX196" s="2" t="s">
        <v>2588</v>
      </c>
      <c r="AY196" s="2" t="s">
        <v>2589</v>
      </c>
      <c r="AZ196" s="2" t="s">
        <v>2589</v>
      </c>
      <c r="BA196" s="2" t="s">
        <v>2590</v>
      </c>
      <c r="BB196" s="2" t="s">
        <v>19</v>
      </c>
      <c r="BD196" s="2" t="s">
        <v>2591</v>
      </c>
      <c r="BE196" s="2" t="s">
        <v>2592</v>
      </c>
      <c r="BF196" s="2" t="s">
        <v>2593</v>
      </c>
    </row>
    <row r="197" spans="1:58" ht="50.25" customHeight="1" x14ac:dyDescent="0.25">
      <c r="A197" s="8" t="s">
        <v>5</v>
      </c>
      <c r="B197" s="1" t="s">
        <v>0</v>
      </c>
      <c r="C197" s="1" t="s">
        <v>1</v>
      </c>
      <c r="D197" s="1" t="s">
        <v>2594</v>
      </c>
      <c r="E197" s="1" t="s">
        <v>2595</v>
      </c>
      <c r="F197" s="1" t="s">
        <v>2596</v>
      </c>
      <c r="H197" s="2" t="s">
        <v>5</v>
      </c>
      <c r="I197" s="2" t="s">
        <v>6</v>
      </c>
      <c r="J197" s="2" t="s">
        <v>5</v>
      </c>
      <c r="K197" s="2" t="s">
        <v>5</v>
      </c>
      <c r="L197" s="2" t="s">
        <v>7</v>
      </c>
      <c r="N197" s="1" t="s">
        <v>2597</v>
      </c>
      <c r="O197" s="2" t="s">
        <v>109</v>
      </c>
      <c r="Q197" s="2" t="s">
        <v>10</v>
      </c>
      <c r="R197" s="2" t="s">
        <v>2598</v>
      </c>
      <c r="T197" s="2" t="s">
        <v>12</v>
      </c>
      <c r="U197" s="3">
        <v>3</v>
      </c>
      <c r="V197" s="3">
        <v>3</v>
      </c>
      <c r="W197" s="4" t="s">
        <v>694</v>
      </c>
      <c r="X197" s="4" t="s">
        <v>694</v>
      </c>
      <c r="Y197" s="4" t="s">
        <v>1702</v>
      </c>
      <c r="Z197" s="4" t="s">
        <v>1702</v>
      </c>
      <c r="AA197" s="3">
        <v>102</v>
      </c>
      <c r="AB197" s="3">
        <v>84</v>
      </c>
      <c r="AC197" s="3">
        <v>84</v>
      </c>
      <c r="AD197" s="3">
        <v>1</v>
      </c>
      <c r="AE197" s="3">
        <v>1</v>
      </c>
      <c r="AF197" s="3">
        <v>2</v>
      </c>
      <c r="AG197" s="3">
        <v>2</v>
      </c>
      <c r="AH197" s="3">
        <v>0</v>
      </c>
      <c r="AI197" s="3">
        <v>0</v>
      </c>
      <c r="AJ197" s="3">
        <v>1</v>
      </c>
      <c r="AK197" s="3">
        <v>1</v>
      </c>
      <c r="AL197" s="3">
        <v>0</v>
      </c>
      <c r="AM197" s="3">
        <v>0</v>
      </c>
      <c r="AN197" s="3">
        <v>0</v>
      </c>
      <c r="AO197" s="3">
        <v>0</v>
      </c>
      <c r="AP197" s="3">
        <v>1</v>
      </c>
      <c r="AQ197" s="3">
        <v>1</v>
      </c>
      <c r="AR197" s="2" t="s">
        <v>5</v>
      </c>
      <c r="AS197" s="2" t="s">
        <v>5</v>
      </c>
      <c r="AU197" s="5" t="str">
        <f>HYPERLINK("https://creighton-primo.hosted.exlibrisgroup.com/primo-explore/search?tab=default_tab&amp;search_scope=EVERYTHING&amp;vid=01CRU&amp;lang=en_US&amp;offset=0&amp;query=any,contains,991000373259702656","Catalog Record")</f>
        <v>Catalog Record</v>
      </c>
      <c r="AV197" s="5" t="str">
        <f>HYPERLINK("http://www.worldcat.org/oclc/54057628","WorldCat Record")</f>
        <v>WorldCat Record</v>
      </c>
      <c r="AW197" s="2" t="s">
        <v>2599</v>
      </c>
      <c r="AX197" s="2" t="s">
        <v>2600</v>
      </c>
      <c r="AY197" s="2" t="s">
        <v>2601</v>
      </c>
      <c r="AZ197" s="2" t="s">
        <v>2601</v>
      </c>
      <c r="BA197" s="2" t="s">
        <v>2602</v>
      </c>
      <c r="BB197" s="2" t="s">
        <v>19</v>
      </c>
      <c r="BD197" s="2" t="s">
        <v>2603</v>
      </c>
      <c r="BE197" s="2" t="s">
        <v>2604</v>
      </c>
      <c r="BF197" s="2" t="s">
        <v>2605</v>
      </c>
    </row>
    <row r="198" spans="1:58" ht="50.25" customHeight="1" x14ac:dyDescent="0.25">
      <c r="A198" s="8" t="s">
        <v>5</v>
      </c>
      <c r="B198" s="1" t="s">
        <v>0</v>
      </c>
      <c r="C198" s="1" t="s">
        <v>1</v>
      </c>
      <c r="D198" s="1" t="s">
        <v>2606</v>
      </c>
      <c r="E198" s="1" t="s">
        <v>2607</v>
      </c>
      <c r="F198" s="1" t="s">
        <v>2608</v>
      </c>
      <c r="H198" s="2" t="s">
        <v>5</v>
      </c>
      <c r="I198" s="2" t="s">
        <v>6</v>
      </c>
      <c r="J198" s="2" t="s">
        <v>5</v>
      </c>
      <c r="K198" s="2" t="s">
        <v>5</v>
      </c>
      <c r="L198" s="2" t="s">
        <v>7</v>
      </c>
      <c r="M198" s="1" t="s">
        <v>2609</v>
      </c>
      <c r="N198" s="1" t="s">
        <v>2610</v>
      </c>
      <c r="O198" s="2" t="s">
        <v>489</v>
      </c>
      <c r="Q198" s="2" t="s">
        <v>10</v>
      </c>
      <c r="R198" s="2" t="s">
        <v>405</v>
      </c>
      <c r="T198" s="2" t="s">
        <v>12</v>
      </c>
      <c r="U198" s="3">
        <v>1</v>
      </c>
      <c r="V198" s="3">
        <v>1</v>
      </c>
      <c r="W198" s="4" t="s">
        <v>2611</v>
      </c>
      <c r="X198" s="4" t="s">
        <v>2611</v>
      </c>
      <c r="Y198" s="4" t="s">
        <v>2611</v>
      </c>
      <c r="Z198" s="4" t="s">
        <v>2611</v>
      </c>
      <c r="AA198" s="3">
        <v>185</v>
      </c>
      <c r="AB198" s="3">
        <v>164</v>
      </c>
      <c r="AC198" s="3">
        <v>1267</v>
      </c>
      <c r="AD198" s="3">
        <v>1</v>
      </c>
      <c r="AE198" s="3">
        <v>3</v>
      </c>
      <c r="AF198" s="3">
        <v>9</v>
      </c>
      <c r="AG198" s="3">
        <v>29</v>
      </c>
      <c r="AH198" s="3">
        <v>4</v>
      </c>
      <c r="AI198" s="3">
        <v>15</v>
      </c>
      <c r="AJ198" s="3">
        <v>3</v>
      </c>
      <c r="AK198" s="3">
        <v>6</v>
      </c>
      <c r="AL198" s="3">
        <v>3</v>
      </c>
      <c r="AM198" s="3">
        <v>12</v>
      </c>
      <c r="AN198" s="3">
        <v>0</v>
      </c>
      <c r="AO198" s="3">
        <v>1</v>
      </c>
      <c r="AP198" s="3">
        <v>0</v>
      </c>
      <c r="AQ198" s="3">
        <v>0</v>
      </c>
      <c r="AR198" s="2" t="s">
        <v>5</v>
      </c>
      <c r="AS198" s="2" t="s">
        <v>5</v>
      </c>
      <c r="AU198" s="5" t="str">
        <f>HYPERLINK("https://creighton-primo.hosted.exlibrisgroup.com/primo-explore/search?tab=default_tab&amp;search_scope=EVERYTHING&amp;vid=01CRU&amp;lang=en_US&amp;offset=0&amp;query=any,contains,991000381449702656","Catalog Record")</f>
        <v>Catalog Record</v>
      </c>
      <c r="AV198" s="5" t="str">
        <f>HYPERLINK("http://www.worldcat.org/oclc/41892389","WorldCat Record")</f>
        <v>WorldCat Record</v>
      </c>
      <c r="AW198" s="2" t="s">
        <v>2612</v>
      </c>
      <c r="AX198" s="2" t="s">
        <v>2613</v>
      </c>
      <c r="AY198" s="2" t="s">
        <v>2614</v>
      </c>
      <c r="AZ198" s="2" t="s">
        <v>2614</v>
      </c>
      <c r="BA198" s="2" t="s">
        <v>2615</v>
      </c>
      <c r="BB198" s="2" t="s">
        <v>19</v>
      </c>
      <c r="BD198" s="2" t="s">
        <v>2616</v>
      </c>
      <c r="BE198" s="2" t="s">
        <v>2617</v>
      </c>
      <c r="BF198" s="2" t="s">
        <v>2618</v>
      </c>
    </row>
    <row r="199" spans="1:58" ht="50.25" customHeight="1" x14ac:dyDescent="0.25">
      <c r="A199" s="8" t="s">
        <v>5</v>
      </c>
      <c r="B199" s="1" t="s">
        <v>0</v>
      </c>
      <c r="C199" s="1" t="s">
        <v>1</v>
      </c>
      <c r="D199" s="1" t="s">
        <v>2619</v>
      </c>
      <c r="E199" s="1" t="s">
        <v>2620</v>
      </c>
      <c r="F199" s="1" t="s">
        <v>2621</v>
      </c>
      <c r="H199" s="2" t="s">
        <v>5</v>
      </c>
      <c r="I199" s="2" t="s">
        <v>6</v>
      </c>
      <c r="J199" s="2" t="s">
        <v>5</v>
      </c>
      <c r="K199" s="2" t="s">
        <v>5</v>
      </c>
      <c r="L199" s="2" t="s">
        <v>7</v>
      </c>
      <c r="N199" s="1" t="s">
        <v>2622</v>
      </c>
      <c r="O199" s="2" t="s">
        <v>109</v>
      </c>
      <c r="P199" s="1" t="s">
        <v>320</v>
      </c>
      <c r="Q199" s="2" t="s">
        <v>10</v>
      </c>
      <c r="R199" s="2" t="s">
        <v>405</v>
      </c>
      <c r="T199" s="2" t="s">
        <v>12</v>
      </c>
      <c r="U199" s="3">
        <v>4</v>
      </c>
      <c r="V199" s="3">
        <v>4</v>
      </c>
      <c r="W199" s="4" t="s">
        <v>1729</v>
      </c>
      <c r="X199" s="4" t="s">
        <v>1729</v>
      </c>
      <c r="Y199" s="4" t="s">
        <v>2524</v>
      </c>
      <c r="Z199" s="4" t="s">
        <v>2524</v>
      </c>
      <c r="AA199" s="3">
        <v>274</v>
      </c>
      <c r="AB199" s="3">
        <v>268</v>
      </c>
      <c r="AC199" s="3">
        <v>275</v>
      </c>
      <c r="AD199" s="3">
        <v>2</v>
      </c>
      <c r="AE199" s="3">
        <v>2</v>
      </c>
      <c r="AF199" s="3">
        <v>10</v>
      </c>
      <c r="AG199" s="3">
        <v>10</v>
      </c>
      <c r="AH199" s="3">
        <v>3</v>
      </c>
      <c r="AI199" s="3">
        <v>3</v>
      </c>
      <c r="AJ199" s="3">
        <v>3</v>
      </c>
      <c r="AK199" s="3">
        <v>3</v>
      </c>
      <c r="AL199" s="3">
        <v>7</v>
      </c>
      <c r="AM199" s="3">
        <v>7</v>
      </c>
      <c r="AN199" s="3">
        <v>1</v>
      </c>
      <c r="AO199" s="3">
        <v>1</v>
      </c>
      <c r="AP199" s="3">
        <v>0</v>
      </c>
      <c r="AQ199" s="3">
        <v>0</v>
      </c>
      <c r="AR199" s="2" t="s">
        <v>5</v>
      </c>
      <c r="AS199" s="2" t="s">
        <v>90</v>
      </c>
      <c r="AT199" s="5" t="str">
        <f>HYPERLINK("http://catalog.hathitrust.org/Record/004344284","HathiTrust Record")</f>
        <v>HathiTrust Record</v>
      </c>
      <c r="AU199" s="5" t="str">
        <f>HYPERLINK("https://creighton-primo.hosted.exlibrisgroup.com/primo-explore/search?tab=default_tab&amp;search_scope=EVERYTHING&amp;vid=01CRU&amp;lang=en_US&amp;offset=0&amp;query=any,contains,991000371519702656","Catalog Record")</f>
        <v>Catalog Record</v>
      </c>
      <c r="AV199" s="5" t="str">
        <f>HYPERLINK("http://www.worldcat.org/oclc/51892922","WorldCat Record")</f>
        <v>WorldCat Record</v>
      </c>
      <c r="AW199" s="2" t="s">
        <v>2623</v>
      </c>
      <c r="AX199" s="2" t="s">
        <v>2624</v>
      </c>
      <c r="AY199" s="2" t="s">
        <v>2625</v>
      </c>
      <c r="AZ199" s="2" t="s">
        <v>2625</v>
      </c>
      <c r="BA199" s="2" t="s">
        <v>2626</v>
      </c>
      <c r="BB199" s="2" t="s">
        <v>19</v>
      </c>
      <c r="BD199" s="2" t="s">
        <v>2627</v>
      </c>
      <c r="BE199" s="2" t="s">
        <v>2628</v>
      </c>
      <c r="BF199" s="2" t="s">
        <v>2629</v>
      </c>
    </row>
    <row r="200" spans="1:58" ht="50.25" customHeight="1" x14ac:dyDescent="0.25">
      <c r="A200" s="8" t="s">
        <v>5</v>
      </c>
      <c r="B200" s="1" t="s">
        <v>0</v>
      </c>
      <c r="C200" s="1" t="s">
        <v>1</v>
      </c>
      <c r="D200" s="1" t="s">
        <v>2630</v>
      </c>
      <c r="E200" s="1" t="s">
        <v>2631</v>
      </c>
      <c r="F200" s="1" t="s">
        <v>2632</v>
      </c>
      <c r="H200" s="2" t="s">
        <v>5</v>
      </c>
      <c r="I200" s="2" t="s">
        <v>6</v>
      </c>
      <c r="J200" s="2" t="s">
        <v>5</v>
      </c>
      <c r="K200" s="2" t="s">
        <v>5</v>
      </c>
      <c r="L200" s="2" t="s">
        <v>7</v>
      </c>
      <c r="N200" s="1" t="s">
        <v>2633</v>
      </c>
      <c r="O200" s="2" t="s">
        <v>389</v>
      </c>
      <c r="Q200" s="2" t="s">
        <v>10</v>
      </c>
      <c r="R200" s="2" t="s">
        <v>77</v>
      </c>
      <c r="S200" s="1" t="s">
        <v>2634</v>
      </c>
      <c r="T200" s="2" t="s">
        <v>12</v>
      </c>
      <c r="U200" s="3">
        <v>3</v>
      </c>
      <c r="V200" s="3">
        <v>3</v>
      </c>
      <c r="W200" s="4" t="s">
        <v>2635</v>
      </c>
      <c r="X200" s="4" t="s">
        <v>2635</v>
      </c>
      <c r="Y200" s="4" t="s">
        <v>2636</v>
      </c>
      <c r="Z200" s="4" t="s">
        <v>2636</v>
      </c>
      <c r="AA200" s="3">
        <v>240</v>
      </c>
      <c r="AB200" s="3">
        <v>157</v>
      </c>
      <c r="AC200" s="3">
        <v>264</v>
      </c>
      <c r="AD200" s="3">
        <v>1</v>
      </c>
      <c r="AE200" s="3">
        <v>1</v>
      </c>
      <c r="AF200" s="3">
        <v>4</v>
      </c>
      <c r="AG200" s="3">
        <v>8</v>
      </c>
      <c r="AH200" s="3">
        <v>1</v>
      </c>
      <c r="AI200" s="3">
        <v>1</v>
      </c>
      <c r="AJ200" s="3">
        <v>2</v>
      </c>
      <c r="AK200" s="3">
        <v>6</v>
      </c>
      <c r="AL200" s="3">
        <v>2</v>
      </c>
      <c r="AM200" s="3">
        <v>3</v>
      </c>
      <c r="AN200" s="3">
        <v>0</v>
      </c>
      <c r="AO200" s="3">
        <v>0</v>
      </c>
      <c r="AP200" s="3">
        <v>0</v>
      </c>
      <c r="AQ200" s="3">
        <v>0</v>
      </c>
      <c r="AR200" s="2" t="s">
        <v>5</v>
      </c>
      <c r="AS200" s="2" t="s">
        <v>5</v>
      </c>
      <c r="AU200" s="5" t="str">
        <f>HYPERLINK("https://creighton-primo.hosted.exlibrisgroup.com/primo-explore/search?tab=default_tab&amp;search_scope=EVERYTHING&amp;vid=01CRU&amp;lang=en_US&amp;offset=0&amp;query=any,contains,991000382859702656","Catalog Record")</f>
        <v>Catalog Record</v>
      </c>
      <c r="AV200" s="5" t="str">
        <f>HYPERLINK("http://www.worldcat.org/oclc/49977172","WorldCat Record")</f>
        <v>WorldCat Record</v>
      </c>
      <c r="AW200" s="2" t="s">
        <v>2637</v>
      </c>
      <c r="AX200" s="2" t="s">
        <v>2638</v>
      </c>
      <c r="AY200" s="2" t="s">
        <v>2639</v>
      </c>
      <c r="AZ200" s="2" t="s">
        <v>2639</v>
      </c>
      <c r="BA200" s="2" t="s">
        <v>2640</v>
      </c>
      <c r="BB200" s="2" t="s">
        <v>19</v>
      </c>
      <c r="BD200" s="2" t="s">
        <v>2641</v>
      </c>
      <c r="BE200" s="2" t="s">
        <v>2642</v>
      </c>
      <c r="BF200" s="2" t="s">
        <v>2643</v>
      </c>
    </row>
    <row r="201" spans="1:58" ht="50.25" customHeight="1" x14ac:dyDescent="0.25">
      <c r="A201" s="8" t="s">
        <v>5</v>
      </c>
      <c r="B201" s="1" t="s">
        <v>0</v>
      </c>
      <c r="C201" s="1" t="s">
        <v>1</v>
      </c>
      <c r="D201" s="1" t="s">
        <v>2644</v>
      </c>
      <c r="E201" s="1" t="s">
        <v>2645</v>
      </c>
      <c r="F201" s="1" t="s">
        <v>2646</v>
      </c>
      <c r="H201" s="2" t="s">
        <v>5</v>
      </c>
      <c r="I201" s="2" t="s">
        <v>6</v>
      </c>
      <c r="J201" s="2" t="s">
        <v>5</v>
      </c>
      <c r="K201" s="2" t="s">
        <v>5</v>
      </c>
      <c r="L201" s="2" t="s">
        <v>7</v>
      </c>
      <c r="N201" s="1" t="s">
        <v>2647</v>
      </c>
      <c r="O201" s="2" t="s">
        <v>109</v>
      </c>
      <c r="Q201" s="2" t="s">
        <v>10</v>
      </c>
      <c r="R201" s="2" t="s">
        <v>11</v>
      </c>
      <c r="T201" s="2" t="s">
        <v>12</v>
      </c>
      <c r="U201" s="3">
        <v>1</v>
      </c>
      <c r="V201" s="3">
        <v>1</v>
      </c>
      <c r="W201" s="4" t="s">
        <v>1702</v>
      </c>
      <c r="X201" s="4" t="s">
        <v>1702</v>
      </c>
      <c r="Y201" s="4" t="s">
        <v>2524</v>
      </c>
      <c r="Z201" s="4" t="s">
        <v>2524</v>
      </c>
      <c r="AA201" s="3">
        <v>106</v>
      </c>
      <c r="AB201" s="3">
        <v>90</v>
      </c>
      <c r="AC201" s="3">
        <v>122</v>
      </c>
      <c r="AD201" s="3">
        <v>2</v>
      </c>
      <c r="AE201" s="3">
        <v>2</v>
      </c>
      <c r="AF201" s="3">
        <v>3</v>
      </c>
      <c r="AG201" s="3">
        <v>3</v>
      </c>
      <c r="AH201" s="3">
        <v>1</v>
      </c>
      <c r="AI201" s="3">
        <v>1</v>
      </c>
      <c r="AJ201" s="3">
        <v>1</v>
      </c>
      <c r="AK201" s="3">
        <v>1</v>
      </c>
      <c r="AL201" s="3">
        <v>2</v>
      </c>
      <c r="AM201" s="3">
        <v>2</v>
      </c>
      <c r="AN201" s="3">
        <v>1</v>
      </c>
      <c r="AO201" s="3">
        <v>1</v>
      </c>
      <c r="AP201" s="3">
        <v>0</v>
      </c>
      <c r="AQ201" s="3">
        <v>0</v>
      </c>
      <c r="AR201" s="2" t="s">
        <v>5</v>
      </c>
      <c r="AS201" s="2" t="s">
        <v>90</v>
      </c>
      <c r="AT201" s="5" t="str">
        <f>HYPERLINK("http://catalog.hathitrust.org/Record/004319868","HathiTrust Record")</f>
        <v>HathiTrust Record</v>
      </c>
      <c r="AU201" s="5" t="str">
        <f>HYPERLINK("https://creighton-primo.hosted.exlibrisgroup.com/primo-explore/search?tab=default_tab&amp;search_scope=EVERYTHING&amp;vid=01CRU&amp;lang=en_US&amp;offset=0&amp;query=any,contains,991000371279702656","Catalog Record")</f>
        <v>Catalog Record</v>
      </c>
      <c r="AV201" s="5" t="str">
        <f>HYPERLINK("http://www.worldcat.org/oclc/50960707","WorldCat Record")</f>
        <v>WorldCat Record</v>
      </c>
      <c r="AW201" s="2" t="s">
        <v>2648</v>
      </c>
      <c r="AX201" s="2" t="s">
        <v>2649</v>
      </c>
      <c r="AY201" s="2" t="s">
        <v>2650</v>
      </c>
      <c r="AZ201" s="2" t="s">
        <v>2650</v>
      </c>
      <c r="BA201" s="2" t="s">
        <v>2651</v>
      </c>
      <c r="BB201" s="2" t="s">
        <v>19</v>
      </c>
      <c r="BD201" s="2" t="s">
        <v>2652</v>
      </c>
      <c r="BE201" s="2" t="s">
        <v>2653</v>
      </c>
      <c r="BF201" s="2" t="s">
        <v>2654</v>
      </c>
    </row>
    <row r="202" spans="1:58" ht="50.25" customHeight="1" x14ac:dyDescent="0.25">
      <c r="A202" s="8" t="s">
        <v>5</v>
      </c>
      <c r="B202" s="1" t="s">
        <v>0</v>
      </c>
      <c r="C202" s="1" t="s">
        <v>1</v>
      </c>
      <c r="D202" s="1" t="s">
        <v>2655</v>
      </c>
      <c r="E202" s="1" t="s">
        <v>2656</v>
      </c>
      <c r="F202" s="1" t="s">
        <v>2657</v>
      </c>
      <c r="H202" s="2" t="s">
        <v>5</v>
      </c>
      <c r="I202" s="2" t="s">
        <v>6</v>
      </c>
      <c r="J202" s="2" t="s">
        <v>5</v>
      </c>
      <c r="K202" s="2" t="s">
        <v>5</v>
      </c>
      <c r="L202" s="2" t="s">
        <v>6</v>
      </c>
      <c r="M202" s="1" t="s">
        <v>2658</v>
      </c>
      <c r="N202" s="1" t="s">
        <v>2659</v>
      </c>
      <c r="O202" s="2" t="s">
        <v>109</v>
      </c>
      <c r="Q202" s="2" t="s">
        <v>10</v>
      </c>
      <c r="R202" s="2" t="s">
        <v>11</v>
      </c>
      <c r="T202" s="2" t="s">
        <v>12</v>
      </c>
      <c r="U202" s="3">
        <v>0</v>
      </c>
      <c r="V202" s="3">
        <v>0</v>
      </c>
      <c r="W202" s="4" t="s">
        <v>1702</v>
      </c>
      <c r="X202" s="4" t="s">
        <v>1702</v>
      </c>
      <c r="Y202" s="4" t="s">
        <v>1702</v>
      </c>
      <c r="Z202" s="4" t="s">
        <v>1702</v>
      </c>
      <c r="AA202" s="3">
        <v>451</v>
      </c>
      <c r="AB202" s="3">
        <v>387</v>
      </c>
      <c r="AC202" s="3">
        <v>1533</v>
      </c>
      <c r="AD202" s="3">
        <v>2</v>
      </c>
      <c r="AE202" s="3">
        <v>24</v>
      </c>
      <c r="AF202" s="3">
        <v>17</v>
      </c>
      <c r="AG202" s="3">
        <v>56</v>
      </c>
      <c r="AH202" s="3">
        <v>3</v>
      </c>
      <c r="AI202" s="3">
        <v>16</v>
      </c>
      <c r="AJ202" s="3">
        <v>5</v>
      </c>
      <c r="AK202" s="3">
        <v>11</v>
      </c>
      <c r="AL202" s="3">
        <v>7</v>
      </c>
      <c r="AM202" s="3">
        <v>16</v>
      </c>
      <c r="AN202" s="3">
        <v>1</v>
      </c>
      <c r="AO202" s="3">
        <v>15</v>
      </c>
      <c r="AP202" s="3">
        <v>4</v>
      </c>
      <c r="AQ202" s="3">
        <v>6</v>
      </c>
      <c r="AR202" s="2" t="s">
        <v>5</v>
      </c>
      <c r="AS202" s="2" t="s">
        <v>5</v>
      </c>
      <c r="AU202" s="5" t="str">
        <f>HYPERLINK("https://creighton-primo.hosted.exlibrisgroup.com/primo-explore/search?tab=default_tab&amp;search_scope=EVERYTHING&amp;vid=01CRU&amp;lang=en_US&amp;offset=0&amp;query=any,contains,991000373089702656","Catalog Record")</f>
        <v>Catalog Record</v>
      </c>
      <c r="AV202" s="5" t="str">
        <f>HYPERLINK("http://www.worldcat.org/oclc/52203414","WorldCat Record")</f>
        <v>WorldCat Record</v>
      </c>
      <c r="AW202" s="2" t="s">
        <v>2660</v>
      </c>
      <c r="AX202" s="2" t="s">
        <v>2661</v>
      </c>
      <c r="AY202" s="2" t="s">
        <v>2662</v>
      </c>
      <c r="AZ202" s="2" t="s">
        <v>2662</v>
      </c>
      <c r="BA202" s="2" t="s">
        <v>2663</v>
      </c>
      <c r="BB202" s="2" t="s">
        <v>19</v>
      </c>
      <c r="BD202" s="2" t="s">
        <v>2664</v>
      </c>
      <c r="BE202" s="2" t="s">
        <v>2665</v>
      </c>
      <c r="BF202" s="2" t="s">
        <v>2666</v>
      </c>
    </row>
    <row r="203" spans="1:58" ht="50.25" customHeight="1" x14ac:dyDescent="0.25">
      <c r="A203" s="8" t="s">
        <v>5</v>
      </c>
      <c r="B203" s="1" t="s">
        <v>0</v>
      </c>
      <c r="C203" s="1" t="s">
        <v>1</v>
      </c>
      <c r="D203" s="1" t="s">
        <v>2667</v>
      </c>
      <c r="E203" s="1" t="s">
        <v>2668</v>
      </c>
      <c r="F203" s="1" t="s">
        <v>2669</v>
      </c>
      <c r="H203" s="2" t="s">
        <v>5</v>
      </c>
      <c r="I203" s="2" t="s">
        <v>6</v>
      </c>
      <c r="J203" s="2" t="s">
        <v>5</v>
      </c>
      <c r="K203" s="2" t="s">
        <v>5</v>
      </c>
      <c r="L203" s="2" t="s">
        <v>7</v>
      </c>
      <c r="N203" s="1" t="s">
        <v>2670</v>
      </c>
      <c r="O203" s="2" t="s">
        <v>125</v>
      </c>
      <c r="Q203" s="2" t="s">
        <v>10</v>
      </c>
      <c r="R203" s="2" t="s">
        <v>1279</v>
      </c>
      <c r="T203" s="2" t="s">
        <v>12</v>
      </c>
      <c r="U203" s="3">
        <v>20</v>
      </c>
      <c r="V203" s="3">
        <v>20</v>
      </c>
      <c r="W203" s="4" t="s">
        <v>2671</v>
      </c>
      <c r="X203" s="4" t="s">
        <v>2671</v>
      </c>
      <c r="Y203" s="4" t="s">
        <v>2672</v>
      </c>
      <c r="Z203" s="4" t="s">
        <v>2672</v>
      </c>
      <c r="AA203" s="3">
        <v>395</v>
      </c>
      <c r="AB203" s="3">
        <v>350</v>
      </c>
      <c r="AC203" s="3">
        <v>352</v>
      </c>
      <c r="AD203" s="3">
        <v>2</v>
      </c>
      <c r="AE203" s="3">
        <v>2</v>
      </c>
      <c r="AF203" s="3">
        <v>11</v>
      </c>
      <c r="AG203" s="3">
        <v>11</v>
      </c>
      <c r="AH203" s="3">
        <v>3</v>
      </c>
      <c r="AI203" s="3">
        <v>3</v>
      </c>
      <c r="AJ203" s="3">
        <v>3</v>
      </c>
      <c r="AK203" s="3">
        <v>3</v>
      </c>
      <c r="AL203" s="3">
        <v>5</v>
      </c>
      <c r="AM203" s="3">
        <v>5</v>
      </c>
      <c r="AN203" s="3">
        <v>1</v>
      </c>
      <c r="AO203" s="3">
        <v>1</v>
      </c>
      <c r="AP203" s="3">
        <v>0</v>
      </c>
      <c r="AQ203" s="3">
        <v>0</v>
      </c>
      <c r="AR203" s="2" t="s">
        <v>5</v>
      </c>
      <c r="AS203" s="2" t="s">
        <v>90</v>
      </c>
      <c r="AT203" s="5" t="str">
        <f>HYPERLINK("http://catalog.hathitrust.org/Record/003022856","HathiTrust Record")</f>
        <v>HathiTrust Record</v>
      </c>
      <c r="AU203" s="5" t="str">
        <f>HYPERLINK("https://creighton-primo.hosted.exlibrisgroup.com/primo-explore/search?tab=default_tab&amp;search_scope=EVERYTHING&amp;vid=01CRU&amp;lang=en_US&amp;offset=0&amp;query=any,contains,991001504909702656","Catalog Record")</f>
        <v>Catalog Record</v>
      </c>
      <c r="AV203" s="5" t="str">
        <f>HYPERLINK("http://www.worldcat.org/oclc/32822170","WorldCat Record")</f>
        <v>WorldCat Record</v>
      </c>
      <c r="AW203" s="2" t="s">
        <v>2673</v>
      </c>
      <c r="AX203" s="2" t="s">
        <v>2674</v>
      </c>
      <c r="AY203" s="2" t="s">
        <v>2675</v>
      </c>
      <c r="AZ203" s="2" t="s">
        <v>2675</v>
      </c>
      <c r="BA203" s="2" t="s">
        <v>2676</v>
      </c>
      <c r="BB203" s="2" t="s">
        <v>19</v>
      </c>
      <c r="BD203" s="2" t="s">
        <v>2677</v>
      </c>
      <c r="BE203" s="2" t="s">
        <v>2678</v>
      </c>
      <c r="BF203" s="2" t="s">
        <v>2679</v>
      </c>
    </row>
    <row r="204" spans="1:58" ht="50.25" customHeight="1" x14ac:dyDescent="0.25">
      <c r="A204" s="8" t="s">
        <v>5</v>
      </c>
      <c r="B204" s="1" t="s">
        <v>0</v>
      </c>
      <c r="C204" s="1" t="s">
        <v>1</v>
      </c>
      <c r="D204" s="1" t="s">
        <v>2680</v>
      </c>
      <c r="E204" s="1" t="s">
        <v>2681</v>
      </c>
      <c r="F204" s="1" t="s">
        <v>2682</v>
      </c>
      <c r="H204" s="2" t="s">
        <v>5</v>
      </c>
      <c r="I204" s="2" t="s">
        <v>6</v>
      </c>
      <c r="J204" s="2" t="s">
        <v>5</v>
      </c>
      <c r="K204" s="2" t="s">
        <v>5</v>
      </c>
      <c r="L204" s="2" t="s">
        <v>7</v>
      </c>
      <c r="N204" s="1" t="s">
        <v>2683</v>
      </c>
      <c r="O204" s="2" t="s">
        <v>60</v>
      </c>
      <c r="P204" s="1" t="s">
        <v>568</v>
      </c>
      <c r="Q204" s="2" t="s">
        <v>10</v>
      </c>
      <c r="R204" s="2" t="s">
        <v>581</v>
      </c>
      <c r="S204" s="1" t="s">
        <v>2684</v>
      </c>
      <c r="T204" s="2" t="s">
        <v>12</v>
      </c>
      <c r="U204" s="3">
        <v>1</v>
      </c>
      <c r="V204" s="3">
        <v>1</v>
      </c>
      <c r="W204" s="4" t="s">
        <v>2685</v>
      </c>
      <c r="X204" s="4" t="s">
        <v>2685</v>
      </c>
      <c r="Y204" s="4" t="s">
        <v>2686</v>
      </c>
      <c r="Z204" s="4" t="s">
        <v>2686</v>
      </c>
      <c r="AA204" s="3">
        <v>264</v>
      </c>
      <c r="AB204" s="3">
        <v>190</v>
      </c>
      <c r="AC204" s="3">
        <v>599</v>
      </c>
      <c r="AD204" s="3">
        <v>1</v>
      </c>
      <c r="AE204" s="3">
        <v>3</v>
      </c>
      <c r="AF204" s="3">
        <v>4</v>
      </c>
      <c r="AG204" s="3">
        <v>25</v>
      </c>
      <c r="AH204" s="3">
        <v>1</v>
      </c>
      <c r="AI204" s="3">
        <v>11</v>
      </c>
      <c r="AJ204" s="3">
        <v>2</v>
      </c>
      <c r="AK204" s="3">
        <v>7</v>
      </c>
      <c r="AL204" s="3">
        <v>2</v>
      </c>
      <c r="AM204" s="3">
        <v>9</v>
      </c>
      <c r="AN204" s="3">
        <v>0</v>
      </c>
      <c r="AO204" s="3">
        <v>2</v>
      </c>
      <c r="AP204" s="3">
        <v>0</v>
      </c>
      <c r="AQ204" s="3">
        <v>0</v>
      </c>
      <c r="AR204" s="2" t="s">
        <v>5</v>
      </c>
      <c r="AS204" s="2" t="s">
        <v>5</v>
      </c>
      <c r="AU204" s="5" t="str">
        <f>HYPERLINK("https://creighton-primo.hosted.exlibrisgroup.com/primo-explore/search?tab=default_tab&amp;search_scope=EVERYTHING&amp;vid=01CRU&amp;lang=en_US&amp;offset=0&amp;query=any,contains,991000445909702656","Catalog Record")</f>
        <v>Catalog Record</v>
      </c>
      <c r="AV204" s="5" t="str">
        <f>HYPERLINK("http://www.worldcat.org/oclc/52127760","WorldCat Record")</f>
        <v>WorldCat Record</v>
      </c>
      <c r="AW204" s="2" t="s">
        <v>2687</v>
      </c>
      <c r="AX204" s="2" t="s">
        <v>2688</v>
      </c>
      <c r="AY204" s="2" t="s">
        <v>2689</v>
      </c>
      <c r="AZ204" s="2" t="s">
        <v>2689</v>
      </c>
      <c r="BA204" s="2" t="s">
        <v>2690</v>
      </c>
      <c r="BB204" s="2" t="s">
        <v>19</v>
      </c>
      <c r="BD204" s="2" t="s">
        <v>2691</v>
      </c>
      <c r="BE204" s="2" t="s">
        <v>2692</v>
      </c>
      <c r="BF204" s="2" t="s">
        <v>2693</v>
      </c>
    </row>
    <row r="205" spans="1:58" ht="50.25" customHeight="1" x14ac:dyDescent="0.25">
      <c r="A205" s="8" t="s">
        <v>5</v>
      </c>
      <c r="B205" s="1" t="s">
        <v>0</v>
      </c>
      <c r="C205" s="1" t="s">
        <v>1</v>
      </c>
      <c r="D205" s="1" t="s">
        <v>2694</v>
      </c>
      <c r="E205" s="1" t="s">
        <v>2695</v>
      </c>
      <c r="F205" s="1" t="s">
        <v>2696</v>
      </c>
      <c r="H205" s="2" t="s">
        <v>5</v>
      </c>
      <c r="I205" s="2" t="s">
        <v>6</v>
      </c>
      <c r="J205" s="2" t="s">
        <v>5</v>
      </c>
      <c r="K205" s="2" t="s">
        <v>5</v>
      </c>
      <c r="L205" s="2" t="s">
        <v>7</v>
      </c>
      <c r="N205" s="1" t="s">
        <v>2697</v>
      </c>
      <c r="O205" s="2" t="s">
        <v>389</v>
      </c>
      <c r="P205" s="1" t="s">
        <v>568</v>
      </c>
      <c r="Q205" s="2" t="s">
        <v>10</v>
      </c>
      <c r="R205" s="2" t="s">
        <v>1385</v>
      </c>
      <c r="T205" s="2" t="s">
        <v>12</v>
      </c>
      <c r="U205" s="3">
        <v>0</v>
      </c>
      <c r="V205" s="3">
        <v>0</v>
      </c>
      <c r="W205" s="4" t="s">
        <v>2698</v>
      </c>
      <c r="X205" s="4" t="s">
        <v>2698</v>
      </c>
      <c r="Y205" s="4" t="s">
        <v>2699</v>
      </c>
      <c r="Z205" s="4" t="s">
        <v>2699</v>
      </c>
      <c r="AA205" s="3">
        <v>226</v>
      </c>
      <c r="AB205" s="3">
        <v>183</v>
      </c>
      <c r="AC205" s="3">
        <v>308</v>
      </c>
      <c r="AD205" s="3">
        <v>2</v>
      </c>
      <c r="AE205" s="3">
        <v>4</v>
      </c>
      <c r="AF205" s="3">
        <v>5</v>
      </c>
      <c r="AG205" s="3">
        <v>14</v>
      </c>
      <c r="AH205" s="3">
        <v>1</v>
      </c>
      <c r="AI205" s="3">
        <v>6</v>
      </c>
      <c r="AJ205" s="3">
        <v>1</v>
      </c>
      <c r="AK205" s="3">
        <v>2</v>
      </c>
      <c r="AL205" s="3">
        <v>2</v>
      </c>
      <c r="AM205" s="3">
        <v>6</v>
      </c>
      <c r="AN205" s="3">
        <v>1</v>
      </c>
      <c r="AO205" s="3">
        <v>2</v>
      </c>
      <c r="AP205" s="3">
        <v>0</v>
      </c>
      <c r="AQ205" s="3">
        <v>0</v>
      </c>
      <c r="AR205" s="2" t="s">
        <v>5</v>
      </c>
      <c r="AS205" s="2" t="s">
        <v>90</v>
      </c>
      <c r="AT205" s="5" t="str">
        <f>HYPERLINK("http://catalog.hathitrust.org/Record/004247990","HathiTrust Record")</f>
        <v>HathiTrust Record</v>
      </c>
      <c r="AU205" s="5" t="str">
        <f>HYPERLINK("https://creighton-primo.hosted.exlibrisgroup.com/primo-explore/search?tab=default_tab&amp;search_scope=EVERYTHING&amp;vid=01CRU&amp;lang=en_US&amp;offset=0&amp;query=any,contains,991000455459702656","Catalog Record")</f>
        <v>Catalog Record</v>
      </c>
      <c r="AV205" s="5" t="str">
        <f>HYPERLINK("http://www.worldcat.org/oclc/48093223","WorldCat Record")</f>
        <v>WorldCat Record</v>
      </c>
      <c r="AW205" s="2" t="s">
        <v>2700</v>
      </c>
      <c r="AX205" s="2" t="s">
        <v>2701</v>
      </c>
      <c r="AY205" s="2" t="s">
        <v>2702</v>
      </c>
      <c r="AZ205" s="2" t="s">
        <v>2702</v>
      </c>
      <c r="BA205" s="2" t="s">
        <v>2703</v>
      </c>
      <c r="BB205" s="2" t="s">
        <v>19</v>
      </c>
      <c r="BD205" s="2" t="s">
        <v>2704</v>
      </c>
      <c r="BE205" s="2" t="s">
        <v>2705</v>
      </c>
      <c r="BF205" s="2" t="s">
        <v>2706</v>
      </c>
    </row>
    <row r="206" spans="1:58" ht="50.25" customHeight="1" x14ac:dyDescent="0.25">
      <c r="A206" s="8" t="s">
        <v>5</v>
      </c>
      <c r="B206" s="1" t="s">
        <v>0</v>
      </c>
      <c r="C206" s="1" t="s">
        <v>1</v>
      </c>
      <c r="D206" s="1" t="s">
        <v>2707</v>
      </c>
      <c r="E206" s="1" t="s">
        <v>2708</v>
      </c>
      <c r="F206" s="1" t="s">
        <v>2709</v>
      </c>
      <c r="H206" s="2" t="s">
        <v>5</v>
      </c>
      <c r="I206" s="2" t="s">
        <v>6</v>
      </c>
      <c r="J206" s="2" t="s">
        <v>5</v>
      </c>
      <c r="K206" s="2" t="s">
        <v>5</v>
      </c>
      <c r="L206" s="2" t="s">
        <v>7</v>
      </c>
      <c r="M206" s="1" t="s">
        <v>2710</v>
      </c>
      <c r="N206" s="1" t="s">
        <v>2137</v>
      </c>
      <c r="O206" s="2" t="s">
        <v>169</v>
      </c>
      <c r="Q206" s="2" t="s">
        <v>10</v>
      </c>
      <c r="R206" s="2" t="s">
        <v>405</v>
      </c>
      <c r="S206" s="1" t="s">
        <v>2711</v>
      </c>
      <c r="T206" s="2" t="s">
        <v>12</v>
      </c>
      <c r="U206" s="3">
        <v>0</v>
      </c>
      <c r="V206" s="3">
        <v>0</v>
      </c>
      <c r="W206" s="4" t="s">
        <v>1702</v>
      </c>
      <c r="X206" s="4" t="s">
        <v>1702</v>
      </c>
      <c r="Y206" s="4" t="s">
        <v>336</v>
      </c>
      <c r="Z206" s="4" t="s">
        <v>336</v>
      </c>
      <c r="AA206" s="3">
        <v>396</v>
      </c>
      <c r="AB206" s="3">
        <v>332</v>
      </c>
      <c r="AC206" s="3">
        <v>338</v>
      </c>
      <c r="AD206" s="3">
        <v>5</v>
      </c>
      <c r="AE206" s="3">
        <v>5</v>
      </c>
      <c r="AF206" s="3">
        <v>17</v>
      </c>
      <c r="AG206" s="3">
        <v>17</v>
      </c>
      <c r="AH206" s="3">
        <v>4</v>
      </c>
      <c r="AI206" s="3">
        <v>4</v>
      </c>
      <c r="AJ206" s="3">
        <v>3</v>
      </c>
      <c r="AK206" s="3">
        <v>3</v>
      </c>
      <c r="AL206" s="3">
        <v>9</v>
      </c>
      <c r="AM206" s="3">
        <v>9</v>
      </c>
      <c r="AN206" s="3">
        <v>4</v>
      </c>
      <c r="AO206" s="3">
        <v>4</v>
      </c>
      <c r="AP206" s="3">
        <v>1</v>
      </c>
      <c r="AQ206" s="3">
        <v>1</v>
      </c>
      <c r="AR206" s="2" t="s">
        <v>5</v>
      </c>
      <c r="AS206" s="2" t="s">
        <v>5</v>
      </c>
      <c r="AU206" s="5" t="str">
        <f>HYPERLINK("https://creighton-primo.hosted.exlibrisgroup.com/primo-explore/search?tab=default_tab&amp;search_scope=EVERYTHING&amp;vid=01CRU&amp;lang=en_US&amp;offset=0&amp;query=any,contains,991000370799702656","Catalog Record")</f>
        <v>Catalog Record</v>
      </c>
      <c r="AV206" s="5" t="str">
        <f>HYPERLINK("http://www.worldcat.org/oclc/37725461","WorldCat Record")</f>
        <v>WorldCat Record</v>
      </c>
      <c r="AW206" s="2" t="s">
        <v>2712</v>
      </c>
      <c r="AX206" s="2" t="s">
        <v>2713</v>
      </c>
      <c r="AY206" s="2" t="s">
        <v>2714</v>
      </c>
      <c r="AZ206" s="2" t="s">
        <v>2714</v>
      </c>
      <c r="BA206" s="2" t="s">
        <v>2715</v>
      </c>
      <c r="BB206" s="2" t="s">
        <v>19</v>
      </c>
      <c r="BD206" s="2" t="s">
        <v>2716</v>
      </c>
      <c r="BE206" s="2" t="s">
        <v>2717</v>
      </c>
      <c r="BF206" s="2" t="s">
        <v>2718</v>
      </c>
    </row>
    <row r="207" spans="1:58" ht="50.25" customHeight="1" x14ac:dyDescent="0.25">
      <c r="A207" s="8" t="s">
        <v>5</v>
      </c>
      <c r="B207" s="1" t="s">
        <v>0</v>
      </c>
      <c r="C207" s="1" t="s">
        <v>1</v>
      </c>
      <c r="D207" s="1" t="s">
        <v>2719</v>
      </c>
      <c r="E207" s="1" t="s">
        <v>2720</v>
      </c>
      <c r="F207" s="1" t="s">
        <v>2721</v>
      </c>
      <c r="H207" s="2" t="s">
        <v>5</v>
      </c>
      <c r="I207" s="2" t="s">
        <v>6</v>
      </c>
      <c r="J207" s="2" t="s">
        <v>5</v>
      </c>
      <c r="K207" s="2" t="s">
        <v>5</v>
      </c>
      <c r="L207" s="2" t="s">
        <v>7</v>
      </c>
      <c r="N207" s="1" t="s">
        <v>2722</v>
      </c>
      <c r="O207" s="2" t="s">
        <v>60</v>
      </c>
      <c r="P207" s="1" t="s">
        <v>568</v>
      </c>
      <c r="Q207" s="2" t="s">
        <v>10</v>
      </c>
      <c r="R207" s="2" t="s">
        <v>110</v>
      </c>
      <c r="T207" s="2" t="s">
        <v>12</v>
      </c>
      <c r="U207" s="3">
        <v>0</v>
      </c>
      <c r="V207" s="3">
        <v>0</v>
      </c>
      <c r="W207" s="4" t="s">
        <v>2723</v>
      </c>
      <c r="X207" s="4" t="s">
        <v>2723</v>
      </c>
      <c r="Y207" s="4" t="s">
        <v>2723</v>
      </c>
      <c r="Z207" s="4" t="s">
        <v>2723</v>
      </c>
      <c r="AA207" s="3">
        <v>129</v>
      </c>
      <c r="AB207" s="3">
        <v>97</v>
      </c>
      <c r="AC207" s="3">
        <v>98</v>
      </c>
      <c r="AD207" s="3">
        <v>1</v>
      </c>
      <c r="AE207" s="3">
        <v>1</v>
      </c>
      <c r="AF207" s="3">
        <v>5</v>
      </c>
      <c r="AG207" s="3">
        <v>5</v>
      </c>
      <c r="AH207" s="3">
        <v>1</v>
      </c>
      <c r="AI207" s="3">
        <v>1</v>
      </c>
      <c r="AJ207" s="3">
        <v>1</v>
      </c>
      <c r="AK207" s="3">
        <v>1</v>
      </c>
      <c r="AL207" s="3">
        <v>3</v>
      </c>
      <c r="AM207" s="3">
        <v>3</v>
      </c>
      <c r="AN207" s="3">
        <v>0</v>
      </c>
      <c r="AO207" s="3">
        <v>0</v>
      </c>
      <c r="AP207" s="3">
        <v>0</v>
      </c>
      <c r="AQ207" s="3">
        <v>0</v>
      </c>
      <c r="AR207" s="2" t="s">
        <v>5</v>
      </c>
      <c r="AS207" s="2" t="s">
        <v>5</v>
      </c>
      <c r="AU207" s="5" t="str">
        <f>HYPERLINK("https://creighton-primo.hosted.exlibrisgroup.com/primo-explore/search?tab=default_tab&amp;search_scope=EVERYTHING&amp;vid=01CRU&amp;lang=en_US&amp;offset=0&amp;query=any,contains,991000537139702656","Catalog Record")</f>
        <v>Catalog Record</v>
      </c>
      <c r="AV207" s="5" t="str">
        <f>HYPERLINK("http://www.worldcat.org/oclc/52208421","WorldCat Record")</f>
        <v>WorldCat Record</v>
      </c>
      <c r="AW207" s="2" t="s">
        <v>2724</v>
      </c>
      <c r="AX207" s="2" t="s">
        <v>2725</v>
      </c>
      <c r="AY207" s="2" t="s">
        <v>2726</v>
      </c>
      <c r="AZ207" s="2" t="s">
        <v>2726</v>
      </c>
      <c r="BA207" s="2" t="s">
        <v>2727</v>
      </c>
      <c r="BB207" s="2" t="s">
        <v>19</v>
      </c>
      <c r="BD207" s="2" t="s">
        <v>2728</v>
      </c>
      <c r="BE207" s="2" t="s">
        <v>2729</v>
      </c>
      <c r="BF207" s="2" t="s">
        <v>2730</v>
      </c>
    </row>
    <row r="208" spans="1:58" ht="50.25" customHeight="1" x14ac:dyDescent="0.25">
      <c r="A208" s="8" t="s">
        <v>5</v>
      </c>
      <c r="B208" s="1" t="s">
        <v>0</v>
      </c>
      <c r="C208" s="1" t="s">
        <v>1</v>
      </c>
      <c r="D208" s="1" t="s">
        <v>2731</v>
      </c>
      <c r="E208" s="1" t="s">
        <v>2732</v>
      </c>
      <c r="F208" s="1" t="s">
        <v>2733</v>
      </c>
      <c r="H208" s="2" t="s">
        <v>5</v>
      </c>
      <c r="I208" s="2" t="s">
        <v>6</v>
      </c>
      <c r="J208" s="2" t="s">
        <v>5</v>
      </c>
      <c r="K208" s="2" t="s">
        <v>5</v>
      </c>
      <c r="L208" s="2" t="s">
        <v>6</v>
      </c>
      <c r="M208" s="1" t="s">
        <v>2734</v>
      </c>
      <c r="N208" s="1" t="s">
        <v>2735</v>
      </c>
      <c r="O208" s="2" t="s">
        <v>289</v>
      </c>
      <c r="Q208" s="2" t="s">
        <v>10</v>
      </c>
      <c r="R208" s="2" t="s">
        <v>11</v>
      </c>
      <c r="S208" s="1" t="s">
        <v>2736</v>
      </c>
      <c r="T208" s="2" t="s">
        <v>12</v>
      </c>
      <c r="U208" s="3">
        <v>2</v>
      </c>
      <c r="V208" s="3">
        <v>2</v>
      </c>
      <c r="W208" s="4" t="s">
        <v>2737</v>
      </c>
      <c r="X208" s="4" t="s">
        <v>2737</v>
      </c>
      <c r="Y208" s="4" t="s">
        <v>1944</v>
      </c>
      <c r="Z208" s="4" t="s">
        <v>1944</v>
      </c>
      <c r="AA208" s="3">
        <v>409</v>
      </c>
      <c r="AB208" s="3">
        <v>371</v>
      </c>
      <c r="AC208" s="3">
        <v>1315</v>
      </c>
      <c r="AD208" s="3">
        <v>3</v>
      </c>
      <c r="AE208" s="3">
        <v>15</v>
      </c>
      <c r="AF208" s="3">
        <v>14</v>
      </c>
      <c r="AG208" s="3">
        <v>48</v>
      </c>
      <c r="AH208" s="3">
        <v>5</v>
      </c>
      <c r="AI208" s="3">
        <v>15</v>
      </c>
      <c r="AJ208" s="3">
        <v>2</v>
      </c>
      <c r="AK208" s="3">
        <v>10</v>
      </c>
      <c r="AL208" s="3">
        <v>8</v>
      </c>
      <c r="AM208" s="3">
        <v>16</v>
      </c>
      <c r="AN208" s="3">
        <v>2</v>
      </c>
      <c r="AO208" s="3">
        <v>13</v>
      </c>
      <c r="AP208" s="3">
        <v>0</v>
      </c>
      <c r="AQ208" s="3">
        <v>2</v>
      </c>
      <c r="AR208" s="2" t="s">
        <v>5</v>
      </c>
      <c r="AS208" s="2" t="s">
        <v>5</v>
      </c>
      <c r="AU208" s="5" t="str">
        <f>HYPERLINK("https://creighton-primo.hosted.exlibrisgroup.com/primo-explore/search?tab=default_tab&amp;search_scope=EVERYTHING&amp;vid=01CRU&amp;lang=en_US&amp;offset=0&amp;query=any,contains,991000372529702656","Catalog Record")</f>
        <v>Catalog Record</v>
      </c>
      <c r="AV208" s="5" t="str">
        <f>HYPERLINK("http://www.worldcat.org/oclc/41231396","WorldCat Record")</f>
        <v>WorldCat Record</v>
      </c>
      <c r="AW208" s="2" t="s">
        <v>2738</v>
      </c>
      <c r="AX208" s="2" t="s">
        <v>2739</v>
      </c>
      <c r="AY208" s="2" t="s">
        <v>2740</v>
      </c>
      <c r="AZ208" s="2" t="s">
        <v>2740</v>
      </c>
      <c r="BA208" s="2" t="s">
        <v>2741</v>
      </c>
      <c r="BB208" s="2" t="s">
        <v>19</v>
      </c>
      <c r="BD208" s="2" t="s">
        <v>2742</v>
      </c>
      <c r="BE208" s="2" t="s">
        <v>2743</v>
      </c>
      <c r="BF208" s="2" t="s">
        <v>2744</v>
      </c>
    </row>
    <row r="209" spans="1:58" ht="50.25" customHeight="1" x14ac:dyDescent="0.25">
      <c r="A209" s="8" t="s">
        <v>5</v>
      </c>
      <c r="B209" s="1" t="s">
        <v>0</v>
      </c>
      <c r="C209" s="1" t="s">
        <v>1</v>
      </c>
      <c r="D209" s="1" t="s">
        <v>2745</v>
      </c>
      <c r="E209" s="1" t="s">
        <v>2746</v>
      </c>
      <c r="F209" s="1" t="s">
        <v>2747</v>
      </c>
      <c r="H209" s="2" t="s">
        <v>5</v>
      </c>
      <c r="I209" s="2" t="s">
        <v>6</v>
      </c>
      <c r="J209" s="2" t="s">
        <v>5</v>
      </c>
      <c r="K209" s="2" t="s">
        <v>5</v>
      </c>
      <c r="L209" s="2" t="s">
        <v>7</v>
      </c>
      <c r="N209" s="1" t="s">
        <v>2748</v>
      </c>
      <c r="O209" s="2" t="s">
        <v>169</v>
      </c>
      <c r="Q209" s="2" t="s">
        <v>10</v>
      </c>
      <c r="R209" s="2" t="s">
        <v>110</v>
      </c>
      <c r="T209" s="2" t="s">
        <v>12</v>
      </c>
      <c r="U209" s="3">
        <v>7</v>
      </c>
      <c r="V209" s="3">
        <v>7</v>
      </c>
      <c r="W209" s="4" t="s">
        <v>2749</v>
      </c>
      <c r="X209" s="4" t="s">
        <v>2749</v>
      </c>
      <c r="Y209" s="4" t="s">
        <v>2749</v>
      </c>
      <c r="Z209" s="4" t="s">
        <v>2749</v>
      </c>
      <c r="AA209" s="3">
        <v>197</v>
      </c>
      <c r="AB209" s="3">
        <v>167</v>
      </c>
      <c r="AC209" s="3">
        <v>168</v>
      </c>
      <c r="AD209" s="3">
        <v>1</v>
      </c>
      <c r="AE209" s="3">
        <v>1</v>
      </c>
      <c r="AF209" s="3">
        <v>7</v>
      </c>
      <c r="AG209" s="3">
        <v>7</v>
      </c>
      <c r="AH209" s="3">
        <v>3</v>
      </c>
      <c r="AI209" s="3">
        <v>3</v>
      </c>
      <c r="AJ209" s="3">
        <v>2</v>
      </c>
      <c r="AK209" s="3">
        <v>2</v>
      </c>
      <c r="AL209" s="3">
        <v>3</v>
      </c>
      <c r="AM209" s="3">
        <v>3</v>
      </c>
      <c r="AN209" s="3">
        <v>0</v>
      </c>
      <c r="AO209" s="3">
        <v>0</v>
      </c>
      <c r="AP209" s="3">
        <v>0</v>
      </c>
      <c r="AQ209" s="3">
        <v>0</v>
      </c>
      <c r="AR209" s="2" t="s">
        <v>5</v>
      </c>
      <c r="AS209" s="2" t="s">
        <v>5</v>
      </c>
      <c r="AU209" s="5" t="str">
        <f>HYPERLINK("https://creighton-primo.hosted.exlibrisgroup.com/primo-explore/search?tab=default_tab&amp;search_scope=EVERYTHING&amp;vid=01CRU&amp;lang=en_US&amp;offset=0&amp;query=any,contains,991001306089702656","Catalog Record")</f>
        <v>Catalog Record</v>
      </c>
      <c r="AV209" s="5" t="str">
        <f>HYPERLINK("http://www.worldcat.org/oclc/37553679","WorldCat Record")</f>
        <v>WorldCat Record</v>
      </c>
      <c r="AW209" s="2" t="s">
        <v>2750</v>
      </c>
      <c r="AX209" s="2" t="s">
        <v>2751</v>
      </c>
      <c r="AY209" s="2" t="s">
        <v>2752</v>
      </c>
      <c r="AZ209" s="2" t="s">
        <v>2752</v>
      </c>
      <c r="BA209" s="2" t="s">
        <v>2753</v>
      </c>
      <c r="BB209" s="2" t="s">
        <v>19</v>
      </c>
      <c r="BD209" s="2" t="s">
        <v>2754</v>
      </c>
      <c r="BE209" s="2" t="s">
        <v>2755</v>
      </c>
      <c r="BF209" s="2" t="s">
        <v>2756</v>
      </c>
    </row>
    <row r="210" spans="1:58" ht="50.25" customHeight="1" x14ac:dyDescent="0.25">
      <c r="A210" s="8" t="s">
        <v>5</v>
      </c>
      <c r="B210" s="1" t="s">
        <v>0</v>
      </c>
      <c r="C210" s="1" t="s">
        <v>1</v>
      </c>
      <c r="D210" s="1" t="s">
        <v>2757</v>
      </c>
      <c r="E210" s="1" t="s">
        <v>2758</v>
      </c>
      <c r="F210" s="1" t="s">
        <v>2759</v>
      </c>
      <c r="H210" s="2" t="s">
        <v>5</v>
      </c>
      <c r="I210" s="2" t="s">
        <v>6</v>
      </c>
      <c r="J210" s="2" t="s">
        <v>5</v>
      </c>
      <c r="K210" s="2" t="s">
        <v>5</v>
      </c>
      <c r="L210" s="2" t="s">
        <v>770</v>
      </c>
      <c r="N210" s="1" t="s">
        <v>967</v>
      </c>
      <c r="O210" s="2" t="s">
        <v>169</v>
      </c>
      <c r="P210" s="1" t="s">
        <v>568</v>
      </c>
      <c r="Q210" s="2" t="s">
        <v>10</v>
      </c>
      <c r="R210" s="2" t="s">
        <v>529</v>
      </c>
      <c r="T210" s="2" t="s">
        <v>12</v>
      </c>
      <c r="U210" s="3">
        <v>14</v>
      </c>
      <c r="V210" s="3">
        <v>14</v>
      </c>
      <c r="W210" s="4" t="s">
        <v>2671</v>
      </c>
      <c r="X210" s="4" t="s">
        <v>2671</v>
      </c>
      <c r="Y210" s="4" t="s">
        <v>2749</v>
      </c>
      <c r="Z210" s="4" t="s">
        <v>2749</v>
      </c>
      <c r="AA210" s="3">
        <v>361</v>
      </c>
      <c r="AB210" s="3">
        <v>315</v>
      </c>
      <c r="AC210" s="3">
        <v>801</v>
      </c>
      <c r="AD210" s="3">
        <v>4</v>
      </c>
      <c r="AE210" s="3">
        <v>7</v>
      </c>
      <c r="AF210" s="3">
        <v>12</v>
      </c>
      <c r="AG210" s="3">
        <v>31</v>
      </c>
      <c r="AH210" s="3">
        <v>4</v>
      </c>
      <c r="AI210" s="3">
        <v>12</v>
      </c>
      <c r="AJ210" s="3">
        <v>4</v>
      </c>
      <c r="AK210" s="3">
        <v>6</v>
      </c>
      <c r="AL210" s="3">
        <v>5</v>
      </c>
      <c r="AM210" s="3">
        <v>14</v>
      </c>
      <c r="AN210" s="3">
        <v>2</v>
      </c>
      <c r="AO210" s="3">
        <v>5</v>
      </c>
      <c r="AP210" s="3">
        <v>0</v>
      </c>
      <c r="AQ210" s="3">
        <v>0</v>
      </c>
      <c r="AR210" s="2" t="s">
        <v>5</v>
      </c>
      <c r="AS210" s="2" t="s">
        <v>90</v>
      </c>
      <c r="AT210" s="5" t="str">
        <f>HYPERLINK("http://catalog.hathitrust.org/Record/003243503","HathiTrust Record")</f>
        <v>HathiTrust Record</v>
      </c>
      <c r="AU210" s="5" t="str">
        <f>HYPERLINK("https://creighton-primo.hosted.exlibrisgroup.com/primo-explore/search?tab=default_tab&amp;search_scope=EVERYTHING&amp;vid=01CRU&amp;lang=en_US&amp;offset=0&amp;query=any,contains,991001306269702656","Catalog Record")</f>
        <v>Catalog Record</v>
      </c>
      <c r="AV210" s="5" t="str">
        <f>HYPERLINK("http://www.worldcat.org/oclc/37844439","WorldCat Record")</f>
        <v>WorldCat Record</v>
      </c>
      <c r="AW210" s="2" t="s">
        <v>2760</v>
      </c>
      <c r="AX210" s="2" t="s">
        <v>2761</v>
      </c>
      <c r="AY210" s="2" t="s">
        <v>2762</v>
      </c>
      <c r="AZ210" s="2" t="s">
        <v>2762</v>
      </c>
      <c r="BA210" s="2" t="s">
        <v>2763</v>
      </c>
      <c r="BB210" s="2" t="s">
        <v>19</v>
      </c>
      <c r="BD210" s="2" t="s">
        <v>2764</v>
      </c>
      <c r="BE210" s="2" t="s">
        <v>2765</v>
      </c>
      <c r="BF210" s="2" t="s">
        <v>2766</v>
      </c>
    </row>
    <row r="211" spans="1:58" ht="50.25" customHeight="1" x14ac:dyDescent="0.25">
      <c r="A211" s="8" t="s">
        <v>5</v>
      </c>
      <c r="B211" s="1" t="s">
        <v>0</v>
      </c>
      <c r="C211" s="1" t="s">
        <v>1</v>
      </c>
      <c r="D211" s="1" t="s">
        <v>2767</v>
      </c>
      <c r="E211" s="1" t="s">
        <v>2768</v>
      </c>
      <c r="F211" s="1" t="s">
        <v>2769</v>
      </c>
      <c r="H211" s="2" t="s">
        <v>5</v>
      </c>
      <c r="I211" s="2" t="s">
        <v>6</v>
      </c>
      <c r="J211" s="2" t="s">
        <v>5</v>
      </c>
      <c r="K211" s="2" t="s">
        <v>5</v>
      </c>
      <c r="L211" s="2" t="s">
        <v>7</v>
      </c>
      <c r="M211" s="1" t="s">
        <v>2770</v>
      </c>
      <c r="N211" s="1" t="s">
        <v>2771</v>
      </c>
      <c r="O211" s="2" t="s">
        <v>155</v>
      </c>
      <c r="Q211" s="2" t="s">
        <v>10</v>
      </c>
      <c r="R211" s="2" t="s">
        <v>110</v>
      </c>
      <c r="T211" s="2" t="s">
        <v>12</v>
      </c>
      <c r="U211" s="3">
        <v>13</v>
      </c>
      <c r="V211" s="3">
        <v>13</v>
      </c>
      <c r="W211" s="4" t="s">
        <v>2772</v>
      </c>
      <c r="X211" s="4" t="s">
        <v>2772</v>
      </c>
      <c r="Y211" s="4" t="s">
        <v>2773</v>
      </c>
      <c r="Z211" s="4" t="s">
        <v>2773</v>
      </c>
      <c r="AA211" s="3">
        <v>441</v>
      </c>
      <c r="AB211" s="3">
        <v>352</v>
      </c>
      <c r="AC211" s="3">
        <v>359</v>
      </c>
      <c r="AD211" s="3">
        <v>3</v>
      </c>
      <c r="AE211" s="3">
        <v>3</v>
      </c>
      <c r="AF211" s="3">
        <v>13</v>
      </c>
      <c r="AG211" s="3">
        <v>13</v>
      </c>
      <c r="AH211" s="3">
        <v>6</v>
      </c>
      <c r="AI211" s="3">
        <v>6</v>
      </c>
      <c r="AJ211" s="3">
        <v>3</v>
      </c>
      <c r="AK211" s="3">
        <v>3</v>
      </c>
      <c r="AL211" s="3">
        <v>8</v>
      </c>
      <c r="AM211" s="3">
        <v>8</v>
      </c>
      <c r="AN211" s="3">
        <v>1</v>
      </c>
      <c r="AO211" s="3">
        <v>1</v>
      </c>
      <c r="AP211" s="3">
        <v>0</v>
      </c>
      <c r="AQ211" s="3">
        <v>0</v>
      </c>
      <c r="AR211" s="2" t="s">
        <v>5</v>
      </c>
      <c r="AS211" s="2" t="s">
        <v>90</v>
      </c>
      <c r="AT211" s="5" t="str">
        <f>HYPERLINK("http://catalog.hathitrust.org/Record/003135454","HathiTrust Record")</f>
        <v>HathiTrust Record</v>
      </c>
      <c r="AU211" s="5" t="str">
        <f>HYPERLINK("https://creighton-primo.hosted.exlibrisgroup.com/primo-explore/search?tab=default_tab&amp;search_scope=EVERYTHING&amp;vid=01CRU&amp;lang=en_US&amp;offset=0&amp;query=any,contains,991001556269702656","Catalog Record")</f>
        <v>Catalog Record</v>
      </c>
      <c r="AV211" s="5" t="str">
        <f>HYPERLINK("http://www.worldcat.org/oclc/34767506","WorldCat Record")</f>
        <v>WorldCat Record</v>
      </c>
      <c r="AW211" s="2" t="s">
        <v>2774</v>
      </c>
      <c r="AX211" s="2" t="s">
        <v>2775</v>
      </c>
      <c r="AY211" s="2" t="s">
        <v>2776</v>
      </c>
      <c r="AZ211" s="2" t="s">
        <v>2776</v>
      </c>
      <c r="BA211" s="2" t="s">
        <v>2777</v>
      </c>
      <c r="BB211" s="2" t="s">
        <v>19</v>
      </c>
      <c r="BD211" s="2" t="s">
        <v>2778</v>
      </c>
      <c r="BE211" s="2" t="s">
        <v>2779</v>
      </c>
      <c r="BF211" s="2" t="s">
        <v>2780</v>
      </c>
    </row>
    <row r="212" spans="1:58" ht="50.25" customHeight="1" x14ac:dyDescent="0.25">
      <c r="A212" s="8" t="s">
        <v>5</v>
      </c>
      <c r="B212" s="1" t="s">
        <v>0</v>
      </c>
      <c r="C212" s="1" t="s">
        <v>1</v>
      </c>
      <c r="D212" s="1" t="s">
        <v>2781</v>
      </c>
      <c r="E212" s="1" t="s">
        <v>2782</v>
      </c>
      <c r="F212" s="1" t="s">
        <v>2783</v>
      </c>
      <c r="H212" s="2" t="s">
        <v>5</v>
      </c>
      <c r="I212" s="2" t="s">
        <v>6</v>
      </c>
      <c r="J212" s="2" t="s">
        <v>5</v>
      </c>
      <c r="K212" s="2" t="s">
        <v>5</v>
      </c>
      <c r="L212" s="2" t="s">
        <v>7</v>
      </c>
      <c r="N212" s="1" t="s">
        <v>2784</v>
      </c>
      <c r="O212" s="2" t="s">
        <v>60</v>
      </c>
      <c r="Q212" s="2" t="s">
        <v>10</v>
      </c>
      <c r="R212" s="2" t="s">
        <v>77</v>
      </c>
      <c r="T212" s="2" t="s">
        <v>12</v>
      </c>
      <c r="U212" s="3">
        <v>1</v>
      </c>
      <c r="V212" s="3">
        <v>1</v>
      </c>
      <c r="W212" s="4" t="s">
        <v>2785</v>
      </c>
      <c r="X212" s="4" t="s">
        <v>2785</v>
      </c>
      <c r="Y212" s="4" t="s">
        <v>2786</v>
      </c>
      <c r="Z212" s="4" t="s">
        <v>2786</v>
      </c>
      <c r="AA212" s="3">
        <v>242</v>
      </c>
      <c r="AB212" s="3">
        <v>159</v>
      </c>
      <c r="AC212" s="3">
        <v>756</v>
      </c>
      <c r="AD212" s="3">
        <v>1</v>
      </c>
      <c r="AE212" s="3">
        <v>18</v>
      </c>
      <c r="AF212" s="3">
        <v>6</v>
      </c>
      <c r="AG212" s="3">
        <v>35</v>
      </c>
      <c r="AH212" s="3">
        <v>1</v>
      </c>
      <c r="AI212" s="3">
        <v>11</v>
      </c>
      <c r="AJ212" s="3">
        <v>3</v>
      </c>
      <c r="AK212" s="3">
        <v>7</v>
      </c>
      <c r="AL212" s="3">
        <v>3</v>
      </c>
      <c r="AM212" s="3">
        <v>10</v>
      </c>
      <c r="AN212" s="3">
        <v>0</v>
      </c>
      <c r="AO212" s="3">
        <v>10</v>
      </c>
      <c r="AP212" s="3">
        <v>0</v>
      </c>
      <c r="AQ212" s="3">
        <v>1</v>
      </c>
      <c r="AR212" s="2" t="s">
        <v>5</v>
      </c>
      <c r="AS212" s="2" t="s">
        <v>5</v>
      </c>
      <c r="AU212" s="5" t="str">
        <f>HYPERLINK("https://creighton-primo.hosted.exlibrisgroup.com/primo-explore/search?tab=default_tab&amp;search_scope=EVERYTHING&amp;vid=01CRU&amp;lang=en_US&amp;offset=0&amp;query=any,contains,991000405319702656","Catalog Record")</f>
        <v>Catalog Record</v>
      </c>
      <c r="AV212" s="5" t="str">
        <f>HYPERLINK("http://www.worldcat.org/oclc/52819760","WorldCat Record")</f>
        <v>WorldCat Record</v>
      </c>
      <c r="AW212" s="2" t="s">
        <v>2787</v>
      </c>
      <c r="AX212" s="2" t="s">
        <v>2788</v>
      </c>
      <c r="AY212" s="2" t="s">
        <v>2789</v>
      </c>
      <c r="AZ212" s="2" t="s">
        <v>2789</v>
      </c>
      <c r="BA212" s="2" t="s">
        <v>2790</v>
      </c>
      <c r="BB212" s="2" t="s">
        <v>19</v>
      </c>
      <c r="BD212" s="2" t="s">
        <v>2791</v>
      </c>
      <c r="BE212" s="2" t="s">
        <v>2792</v>
      </c>
      <c r="BF212" s="2" t="s">
        <v>2793</v>
      </c>
    </row>
    <row r="213" spans="1:58" ht="50.25" customHeight="1" x14ac:dyDescent="0.25">
      <c r="A213" s="8" t="s">
        <v>5</v>
      </c>
      <c r="B213" s="1" t="s">
        <v>0</v>
      </c>
      <c r="C213" s="1" t="s">
        <v>1</v>
      </c>
      <c r="D213" s="1" t="s">
        <v>2794</v>
      </c>
      <c r="E213" s="1" t="s">
        <v>2795</v>
      </c>
      <c r="F213" s="1" t="s">
        <v>2796</v>
      </c>
      <c r="H213" s="2" t="s">
        <v>5</v>
      </c>
      <c r="I213" s="2" t="s">
        <v>6</v>
      </c>
      <c r="J213" s="2" t="s">
        <v>5</v>
      </c>
      <c r="K213" s="2" t="s">
        <v>5</v>
      </c>
      <c r="L213" s="2" t="s">
        <v>7</v>
      </c>
      <c r="N213" s="1" t="s">
        <v>2797</v>
      </c>
      <c r="O213" s="2" t="s">
        <v>109</v>
      </c>
      <c r="Q213" s="2" t="s">
        <v>10</v>
      </c>
      <c r="R213" s="2" t="s">
        <v>1385</v>
      </c>
      <c r="T213" s="2" t="s">
        <v>12</v>
      </c>
      <c r="U213" s="3">
        <v>0</v>
      </c>
      <c r="V213" s="3">
        <v>0</v>
      </c>
      <c r="W213" s="4" t="s">
        <v>2798</v>
      </c>
      <c r="X213" s="4" t="s">
        <v>2798</v>
      </c>
      <c r="Y213" s="4" t="s">
        <v>2798</v>
      </c>
      <c r="Z213" s="4" t="s">
        <v>2798</v>
      </c>
      <c r="AA213" s="3">
        <v>280</v>
      </c>
      <c r="AB213" s="3">
        <v>201</v>
      </c>
      <c r="AC213" s="3">
        <v>208</v>
      </c>
      <c r="AD213" s="3">
        <v>0</v>
      </c>
      <c r="AE213" s="3">
        <v>0</v>
      </c>
      <c r="AF213" s="3">
        <v>9</v>
      </c>
      <c r="AG213" s="3">
        <v>9</v>
      </c>
      <c r="AH213" s="3">
        <v>4</v>
      </c>
      <c r="AI213" s="3">
        <v>4</v>
      </c>
      <c r="AJ213" s="3">
        <v>2</v>
      </c>
      <c r="AK213" s="3">
        <v>2</v>
      </c>
      <c r="AL213" s="3">
        <v>3</v>
      </c>
      <c r="AM213" s="3">
        <v>3</v>
      </c>
      <c r="AN213" s="3">
        <v>0</v>
      </c>
      <c r="AO213" s="3">
        <v>0</v>
      </c>
      <c r="AP213" s="3">
        <v>0</v>
      </c>
      <c r="AQ213" s="3">
        <v>0</v>
      </c>
      <c r="AR213" s="2" t="s">
        <v>5</v>
      </c>
      <c r="AS213" s="2" t="s">
        <v>90</v>
      </c>
      <c r="AT213" s="5" t="str">
        <f>HYPERLINK("http://catalog.hathitrust.org/Record/004329739","HathiTrust Record")</f>
        <v>HathiTrust Record</v>
      </c>
      <c r="AU213" s="5" t="str">
        <f>HYPERLINK("https://creighton-primo.hosted.exlibrisgroup.com/primo-explore/search?tab=default_tab&amp;search_scope=EVERYTHING&amp;vid=01CRU&amp;lang=en_US&amp;offset=0&amp;query=any,contains,991001723499702656","Catalog Record")</f>
        <v>Catalog Record</v>
      </c>
      <c r="AV213" s="5" t="str">
        <f>HYPERLINK("http://www.worldcat.org/oclc/52511006","WorldCat Record")</f>
        <v>WorldCat Record</v>
      </c>
      <c r="AW213" s="2" t="s">
        <v>2799</v>
      </c>
      <c r="AX213" s="2" t="s">
        <v>2800</v>
      </c>
      <c r="AY213" s="2" t="s">
        <v>2801</v>
      </c>
      <c r="AZ213" s="2" t="s">
        <v>2801</v>
      </c>
      <c r="BA213" s="2" t="s">
        <v>2802</v>
      </c>
      <c r="BB213" s="2" t="s">
        <v>19</v>
      </c>
      <c r="BD213" s="2" t="s">
        <v>2803</v>
      </c>
      <c r="BE213" s="2" t="s">
        <v>2804</v>
      </c>
      <c r="BF213" s="2" t="s">
        <v>2805</v>
      </c>
    </row>
    <row r="214" spans="1:58" ht="50.25" customHeight="1" x14ac:dyDescent="0.25">
      <c r="A214" s="8" t="s">
        <v>5</v>
      </c>
      <c r="B214" s="1" t="s">
        <v>0</v>
      </c>
      <c r="C214" s="1" t="s">
        <v>1</v>
      </c>
      <c r="D214" s="1" t="s">
        <v>2806</v>
      </c>
      <c r="E214" s="1" t="s">
        <v>2807</v>
      </c>
      <c r="F214" s="1" t="s">
        <v>2808</v>
      </c>
      <c r="H214" s="2" t="s">
        <v>5</v>
      </c>
      <c r="I214" s="2" t="s">
        <v>6</v>
      </c>
      <c r="J214" s="2" t="s">
        <v>5</v>
      </c>
      <c r="K214" s="2" t="s">
        <v>5</v>
      </c>
      <c r="L214" s="2" t="s">
        <v>7</v>
      </c>
      <c r="N214" s="1" t="s">
        <v>2809</v>
      </c>
      <c r="O214" s="2" t="s">
        <v>155</v>
      </c>
      <c r="P214" s="1" t="s">
        <v>320</v>
      </c>
      <c r="Q214" s="2" t="s">
        <v>10</v>
      </c>
      <c r="R214" s="2" t="s">
        <v>184</v>
      </c>
      <c r="T214" s="2" t="s">
        <v>12</v>
      </c>
      <c r="U214" s="3">
        <v>5</v>
      </c>
      <c r="V214" s="3">
        <v>5</v>
      </c>
      <c r="W214" s="4" t="s">
        <v>2810</v>
      </c>
      <c r="X214" s="4" t="s">
        <v>2810</v>
      </c>
      <c r="Y214" s="4" t="s">
        <v>2811</v>
      </c>
      <c r="Z214" s="4" t="s">
        <v>2811</v>
      </c>
      <c r="AA214" s="3">
        <v>379</v>
      </c>
      <c r="AB214" s="3">
        <v>339</v>
      </c>
      <c r="AC214" s="3">
        <v>346</v>
      </c>
      <c r="AD214" s="3">
        <v>4</v>
      </c>
      <c r="AE214" s="3">
        <v>4</v>
      </c>
      <c r="AF214" s="3">
        <v>19</v>
      </c>
      <c r="AG214" s="3">
        <v>19</v>
      </c>
      <c r="AH214" s="3">
        <v>7</v>
      </c>
      <c r="AI214" s="3">
        <v>7</v>
      </c>
      <c r="AJ214" s="3">
        <v>3</v>
      </c>
      <c r="AK214" s="3">
        <v>3</v>
      </c>
      <c r="AL214" s="3">
        <v>9</v>
      </c>
      <c r="AM214" s="3">
        <v>9</v>
      </c>
      <c r="AN214" s="3">
        <v>3</v>
      </c>
      <c r="AO214" s="3">
        <v>3</v>
      </c>
      <c r="AP214" s="3">
        <v>0</v>
      </c>
      <c r="AQ214" s="3">
        <v>0</v>
      </c>
      <c r="AR214" s="2" t="s">
        <v>5</v>
      </c>
      <c r="AS214" s="2" t="s">
        <v>90</v>
      </c>
      <c r="AT214" s="5" t="str">
        <f>HYPERLINK("http://catalog.hathitrust.org/Record/003957702","HathiTrust Record")</f>
        <v>HathiTrust Record</v>
      </c>
      <c r="AU214" s="5" t="str">
        <f>HYPERLINK("https://creighton-primo.hosted.exlibrisgroup.com/primo-explore/search?tab=default_tab&amp;search_scope=EVERYTHING&amp;vid=01CRU&amp;lang=en_US&amp;offset=0&amp;query=any,contains,991001563199702656","Catalog Record")</f>
        <v>Catalog Record</v>
      </c>
      <c r="AV214" s="5" t="str">
        <f>HYPERLINK("http://www.worldcat.org/oclc/35657907","WorldCat Record")</f>
        <v>WorldCat Record</v>
      </c>
      <c r="AW214" s="2" t="s">
        <v>2812</v>
      </c>
      <c r="AX214" s="2" t="s">
        <v>2813</v>
      </c>
      <c r="AY214" s="2" t="s">
        <v>2814</v>
      </c>
      <c r="AZ214" s="2" t="s">
        <v>2814</v>
      </c>
      <c r="BA214" s="2" t="s">
        <v>2815</v>
      </c>
      <c r="BB214" s="2" t="s">
        <v>19</v>
      </c>
      <c r="BD214" s="2" t="s">
        <v>2816</v>
      </c>
      <c r="BE214" s="2" t="s">
        <v>2817</v>
      </c>
      <c r="BF214" s="2" t="s">
        <v>2818</v>
      </c>
    </row>
    <row r="215" spans="1:58" ht="50.25" customHeight="1" x14ac:dyDescent="0.25">
      <c r="A215" s="8" t="s">
        <v>5</v>
      </c>
      <c r="B215" s="1" t="s">
        <v>0</v>
      </c>
      <c r="C215" s="1" t="s">
        <v>1</v>
      </c>
      <c r="D215" s="1" t="s">
        <v>2819</v>
      </c>
      <c r="E215" s="1" t="s">
        <v>2820</v>
      </c>
      <c r="F215" s="1" t="s">
        <v>2821</v>
      </c>
      <c r="H215" s="2" t="s">
        <v>5</v>
      </c>
      <c r="I215" s="2" t="s">
        <v>6</v>
      </c>
      <c r="J215" s="2" t="s">
        <v>5</v>
      </c>
      <c r="K215" s="2" t="s">
        <v>5</v>
      </c>
      <c r="L215" s="2" t="s">
        <v>7</v>
      </c>
      <c r="M215" s="1" t="s">
        <v>2822</v>
      </c>
      <c r="N215" s="1" t="s">
        <v>2823</v>
      </c>
      <c r="O215" s="2" t="s">
        <v>289</v>
      </c>
      <c r="Q215" s="2" t="s">
        <v>10</v>
      </c>
      <c r="R215" s="2" t="s">
        <v>110</v>
      </c>
      <c r="T215" s="2" t="s">
        <v>12</v>
      </c>
      <c r="U215" s="3">
        <v>5</v>
      </c>
      <c r="V215" s="3">
        <v>5</v>
      </c>
      <c r="W215" s="4" t="s">
        <v>2824</v>
      </c>
      <c r="X215" s="4" t="s">
        <v>2824</v>
      </c>
      <c r="Y215" s="4" t="s">
        <v>2825</v>
      </c>
      <c r="Z215" s="4" t="s">
        <v>2825</v>
      </c>
      <c r="AA215" s="3">
        <v>212</v>
      </c>
      <c r="AB215" s="3">
        <v>164</v>
      </c>
      <c r="AC215" s="3">
        <v>166</v>
      </c>
      <c r="AD215" s="3">
        <v>1</v>
      </c>
      <c r="AE215" s="3">
        <v>1</v>
      </c>
      <c r="AF215" s="3">
        <v>7</v>
      </c>
      <c r="AG215" s="3">
        <v>7</v>
      </c>
      <c r="AH215" s="3">
        <v>2</v>
      </c>
      <c r="AI215" s="3">
        <v>2</v>
      </c>
      <c r="AJ215" s="3">
        <v>2</v>
      </c>
      <c r="AK215" s="3">
        <v>2</v>
      </c>
      <c r="AL215" s="3">
        <v>6</v>
      </c>
      <c r="AM215" s="3">
        <v>6</v>
      </c>
      <c r="AN215" s="3">
        <v>0</v>
      </c>
      <c r="AO215" s="3">
        <v>0</v>
      </c>
      <c r="AP215" s="3">
        <v>0</v>
      </c>
      <c r="AQ215" s="3">
        <v>0</v>
      </c>
      <c r="AR215" s="2" t="s">
        <v>5</v>
      </c>
      <c r="AS215" s="2" t="s">
        <v>90</v>
      </c>
      <c r="AT215" s="5" t="str">
        <f>HYPERLINK("http://catalog.hathitrust.org/Record/004015910","HathiTrust Record")</f>
        <v>HathiTrust Record</v>
      </c>
      <c r="AU215" s="5" t="str">
        <f>HYPERLINK("https://creighton-primo.hosted.exlibrisgroup.com/primo-explore/search?tab=default_tab&amp;search_scope=EVERYTHING&amp;vid=01CRU&amp;lang=en_US&amp;offset=0&amp;query=any,contains,991000595529702656","Catalog Record")</f>
        <v>Catalog Record</v>
      </c>
      <c r="AV215" s="5" t="str">
        <f>HYPERLINK("http://www.worldcat.org/oclc/39131260","WorldCat Record")</f>
        <v>WorldCat Record</v>
      </c>
      <c r="AW215" s="2" t="s">
        <v>2826</v>
      </c>
      <c r="AX215" s="2" t="s">
        <v>2827</v>
      </c>
      <c r="AY215" s="2" t="s">
        <v>2828</v>
      </c>
      <c r="AZ215" s="2" t="s">
        <v>2828</v>
      </c>
      <c r="BA215" s="2" t="s">
        <v>2829</v>
      </c>
      <c r="BB215" s="2" t="s">
        <v>19</v>
      </c>
      <c r="BD215" s="2" t="s">
        <v>2830</v>
      </c>
      <c r="BE215" s="2" t="s">
        <v>2831</v>
      </c>
      <c r="BF215" s="2" t="s">
        <v>2832</v>
      </c>
    </row>
    <row r="216" spans="1:58" ht="50.25" customHeight="1" x14ac:dyDescent="0.25">
      <c r="A216" s="8" t="s">
        <v>5</v>
      </c>
      <c r="B216" s="1" t="s">
        <v>0</v>
      </c>
      <c r="C216" s="1" t="s">
        <v>1</v>
      </c>
      <c r="D216" s="1" t="s">
        <v>2833</v>
      </c>
      <c r="E216" s="1" t="s">
        <v>2834</v>
      </c>
      <c r="F216" s="1" t="s">
        <v>2835</v>
      </c>
      <c r="H216" s="2" t="s">
        <v>5</v>
      </c>
      <c r="I216" s="2" t="s">
        <v>6</v>
      </c>
      <c r="J216" s="2" t="s">
        <v>5</v>
      </c>
      <c r="K216" s="2" t="s">
        <v>5</v>
      </c>
      <c r="L216" s="2" t="s">
        <v>7</v>
      </c>
      <c r="N216" s="1" t="s">
        <v>2836</v>
      </c>
      <c r="O216" s="2" t="s">
        <v>489</v>
      </c>
      <c r="Q216" s="2" t="s">
        <v>10</v>
      </c>
      <c r="R216" s="2" t="s">
        <v>11</v>
      </c>
      <c r="S216" s="1" t="s">
        <v>2837</v>
      </c>
      <c r="T216" s="2" t="s">
        <v>12</v>
      </c>
      <c r="U216" s="3">
        <v>0</v>
      </c>
      <c r="V216" s="3">
        <v>0</v>
      </c>
      <c r="W216" s="4" t="s">
        <v>2723</v>
      </c>
      <c r="X216" s="4" t="s">
        <v>2723</v>
      </c>
      <c r="Y216" s="4" t="s">
        <v>2723</v>
      </c>
      <c r="Z216" s="4" t="s">
        <v>2723</v>
      </c>
      <c r="AA216" s="3">
        <v>193</v>
      </c>
      <c r="AB216" s="3">
        <v>133</v>
      </c>
      <c r="AC216" s="3">
        <v>140</v>
      </c>
      <c r="AD216" s="3">
        <v>1</v>
      </c>
      <c r="AE216" s="3">
        <v>1</v>
      </c>
      <c r="AF216" s="3">
        <v>4</v>
      </c>
      <c r="AG216" s="3">
        <v>4</v>
      </c>
      <c r="AH216" s="3">
        <v>3</v>
      </c>
      <c r="AI216" s="3">
        <v>3</v>
      </c>
      <c r="AJ216" s="3">
        <v>1</v>
      </c>
      <c r="AK216" s="3">
        <v>1</v>
      </c>
      <c r="AL216" s="3">
        <v>1</v>
      </c>
      <c r="AM216" s="3">
        <v>1</v>
      </c>
      <c r="AN216" s="3">
        <v>0</v>
      </c>
      <c r="AO216" s="3">
        <v>0</v>
      </c>
      <c r="AP216" s="3">
        <v>0</v>
      </c>
      <c r="AQ216" s="3">
        <v>0</v>
      </c>
      <c r="AR216" s="2" t="s">
        <v>5</v>
      </c>
      <c r="AS216" s="2" t="s">
        <v>90</v>
      </c>
      <c r="AT216" s="5" t="str">
        <f>HYPERLINK("http://catalog.hathitrust.org/Record/003483118","HathiTrust Record")</f>
        <v>HathiTrust Record</v>
      </c>
      <c r="AU216" s="5" t="str">
        <f>HYPERLINK("https://creighton-primo.hosted.exlibrisgroup.com/primo-explore/search?tab=default_tab&amp;search_scope=EVERYTHING&amp;vid=01CRU&amp;lang=en_US&amp;offset=0&amp;query=any,contains,991000537089702656","Catalog Record")</f>
        <v>Catalog Record</v>
      </c>
      <c r="AV216" s="5" t="str">
        <f>HYPERLINK("http://www.worldcat.org/oclc/41926137","WorldCat Record")</f>
        <v>WorldCat Record</v>
      </c>
      <c r="AW216" s="2" t="s">
        <v>2838</v>
      </c>
      <c r="AX216" s="2" t="s">
        <v>2839</v>
      </c>
      <c r="AY216" s="2" t="s">
        <v>2840</v>
      </c>
      <c r="AZ216" s="2" t="s">
        <v>2840</v>
      </c>
      <c r="BA216" s="2" t="s">
        <v>2841</v>
      </c>
      <c r="BB216" s="2" t="s">
        <v>19</v>
      </c>
      <c r="BD216" s="2" t="s">
        <v>2842</v>
      </c>
      <c r="BE216" s="2" t="s">
        <v>2843</v>
      </c>
      <c r="BF216" s="2" t="s">
        <v>2844</v>
      </c>
    </row>
    <row r="217" spans="1:58" ht="50.25" customHeight="1" x14ac:dyDescent="0.25">
      <c r="A217" s="8" t="s">
        <v>5</v>
      </c>
      <c r="B217" s="1" t="s">
        <v>0</v>
      </c>
      <c r="C217" s="1" t="s">
        <v>1</v>
      </c>
      <c r="D217" s="1" t="s">
        <v>2845</v>
      </c>
      <c r="E217" s="1" t="s">
        <v>2846</v>
      </c>
      <c r="F217" s="1" t="s">
        <v>2847</v>
      </c>
      <c r="H217" s="2" t="s">
        <v>5</v>
      </c>
      <c r="I217" s="2" t="s">
        <v>6</v>
      </c>
      <c r="J217" s="2" t="s">
        <v>5</v>
      </c>
      <c r="K217" s="2" t="s">
        <v>5</v>
      </c>
      <c r="L217" s="2" t="s">
        <v>7</v>
      </c>
      <c r="M217" s="1" t="s">
        <v>2848</v>
      </c>
      <c r="N217" s="1" t="s">
        <v>2849</v>
      </c>
      <c r="O217" s="2" t="s">
        <v>596</v>
      </c>
      <c r="Q217" s="2" t="s">
        <v>10</v>
      </c>
      <c r="R217" s="2" t="s">
        <v>2850</v>
      </c>
      <c r="T217" s="2" t="s">
        <v>12</v>
      </c>
      <c r="U217" s="3">
        <v>6</v>
      </c>
      <c r="V217" s="3">
        <v>6</v>
      </c>
      <c r="W217" s="4" t="s">
        <v>261</v>
      </c>
      <c r="X217" s="4" t="s">
        <v>261</v>
      </c>
      <c r="Y217" s="4" t="s">
        <v>2851</v>
      </c>
      <c r="Z217" s="4" t="s">
        <v>2851</v>
      </c>
      <c r="AA217" s="3">
        <v>3</v>
      </c>
      <c r="AB217" s="3">
        <v>3</v>
      </c>
      <c r="AC217" s="3">
        <v>3</v>
      </c>
      <c r="AD217" s="3">
        <v>1</v>
      </c>
      <c r="AE217" s="3">
        <v>1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2" t="s">
        <v>5</v>
      </c>
      <c r="AS217" s="2" t="s">
        <v>5</v>
      </c>
      <c r="AU217" s="5" t="str">
        <f>HYPERLINK("https://creighton-primo.hosted.exlibrisgroup.com/primo-explore/search?tab=default_tab&amp;search_scope=EVERYTHING&amp;vid=01CRU&amp;lang=en_US&amp;offset=0&amp;query=any,contains,991001453409702656","Catalog Record")</f>
        <v>Catalog Record</v>
      </c>
      <c r="AV217" s="5" t="str">
        <f>HYPERLINK("http://www.worldcat.org/oclc/21135734","WorldCat Record")</f>
        <v>WorldCat Record</v>
      </c>
      <c r="AW217" s="2" t="s">
        <v>2852</v>
      </c>
      <c r="AX217" s="2" t="s">
        <v>2853</v>
      </c>
      <c r="AY217" s="2" t="s">
        <v>2854</v>
      </c>
      <c r="AZ217" s="2" t="s">
        <v>2854</v>
      </c>
      <c r="BA217" s="2" t="s">
        <v>2855</v>
      </c>
      <c r="BB217" s="2" t="s">
        <v>19</v>
      </c>
      <c r="BE217" s="2" t="s">
        <v>2856</v>
      </c>
      <c r="BF217" s="2" t="s">
        <v>2857</v>
      </c>
    </row>
    <row r="218" spans="1:58" ht="50.25" customHeight="1" x14ac:dyDescent="0.25">
      <c r="A218" s="8" t="s">
        <v>5</v>
      </c>
      <c r="B218" s="1" t="s">
        <v>0</v>
      </c>
      <c r="C218" s="1" t="s">
        <v>1</v>
      </c>
      <c r="D218" s="1" t="s">
        <v>2858</v>
      </c>
      <c r="E218" s="1" t="s">
        <v>2859</v>
      </c>
      <c r="F218" s="1" t="s">
        <v>2860</v>
      </c>
      <c r="H218" s="2" t="s">
        <v>5</v>
      </c>
      <c r="I218" s="2" t="s">
        <v>6</v>
      </c>
      <c r="J218" s="2" t="s">
        <v>5</v>
      </c>
      <c r="K218" s="2" t="s">
        <v>5</v>
      </c>
      <c r="L218" s="2" t="s">
        <v>7</v>
      </c>
      <c r="N218" s="1" t="s">
        <v>2861</v>
      </c>
      <c r="O218" s="2" t="s">
        <v>319</v>
      </c>
      <c r="Q218" s="2" t="s">
        <v>10</v>
      </c>
      <c r="R218" s="2" t="s">
        <v>1268</v>
      </c>
      <c r="T218" s="2" t="s">
        <v>12</v>
      </c>
      <c r="U218" s="3">
        <v>2</v>
      </c>
      <c r="V218" s="3">
        <v>2</v>
      </c>
      <c r="W218" s="4" t="s">
        <v>2862</v>
      </c>
      <c r="X218" s="4" t="s">
        <v>2862</v>
      </c>
      <c r="Y218" s="4" t="s">
        <v>2863</v>
      </c>
      <c r="Z218" s="4" t="s">
        <v>2863</v>
      </c>
      <c r="AA218" s="3">
        <v>11</v>
      </c>
      <c r="AB218" s="3">
        <v>11</v>
      </c>
      <c r="AC218" s="3">
        <v>16</v>
      </c>
      <c r="AD218" s="3">
        <v>1</v>
      </c>
      <c r="AE218" s="3">
        <v>1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2" t="s">
        <v>5</v>
      </c>
      <c r="AS218" s="2" t="s">
        <v>5</v>
      </c>
      <c r="AU218" s="5" t="str">
        <f>HYPERLINK("https://creighton-primo.hosted.exlibrisgroup.com/primo-explore/search?tab=default_tab&amp;search_scope=EVERYTHING&amp;vid=01CRU&amp;lang=en_US&amp;offset=0&amp;query=any,contains,991000686679702656","Catalog Record")</f>
        <v>Catalog Record</v>
      </c>
      <c r="AV218" s="5" t="str">
        <f>HYPERLINK("http://www.worldcat.org/oclc/30116083","WorldCat Record")</f>
        <v>WorldCat Record</v>
      </c>
      <c r="AW218" s="2" t="s">
        <v>2864</v>
      </c>
      <c r="AX218" s="2" t="s">
        <v>2865</v>
      </c>
      <c r="AY218" s="2" t="s">
        <v>2866</v>
      </c>
      <c r="AZ218" s="2" t="s">
        <v>2866</v>
      </c>
      <c r="BA218" s="2" t="s">
        <v>2867</v>
      </c>
      <c r="BB218" s="2" t="s">
        <v>19</v>
      </c>
      <c r="BE218" s="2" t="s">
        <v>2868</v>
      </c>
      <c r="BF218" s="2" t="s">
        <v>2869</v>
      </c>
    </row>
    <row r="219" spans="1:58" ht="50.25" customHeight="1" x14ac:dyDescent="0.25">
      <c r="A219" s="8" t="s">
        <v>5</v>
      </c>
      <c r="B219" s="1" t="s">
        <v>0</v>
      </c>
      <c r="C219" s="1" t="s">
        <v>1</v>
      </c>
      <c r="D219" s="1" t="s">
        <v>2870</v>
      </c>
      <c r="E219" s="1" t="s">
        <v>2871</v>
      </c>
      <c r="F219" s="1" t="s">
        <v>2872</v>
      </c>
      <c r="H219" s="2" t="s">
        <v>5</v>
      </c>
      <c r="I219" s="2" t="s">
        <v>6</v>
      </c>
      <c r="J219" s="2" t="s">
        <v>5</v>
      </c>
      <c r="K219" s="2" t="s">
        <v>5</v>
      </c>
      <c r="L219" s="2" t="s">
        <v>7</v>
      </c>
      <c r="N219" s="1" t="s">
        <v>1201</v>
      </c>
      <c r="O219" s="2" t="s">
        <v>474</v>
      </c>
      <c r="Q219" s="2" t="s">
        <v>10</v>
      </c>
      <c r="R219" s="2" t="s">
        <v>29</v>
      </c>
      <c r="T219" s="2" t="s">
        <v>12</v>
      </c>
      <c r="U219" s="3">
        <v>6</v>
      </c>
      <c r="V219" s="3">
        <v>6</v>
      </c>
      <c r="W219" s="4" t="s">
        <v>2873</v>
      </c>
      <c r="X219" s="4" t="s">
        <v>2873</v>
      </c>
      <c r="Y219" s="4" t="s">
        <v>2874</v>
      </c>
      <c r="Z219" s="4" t="s">
        <v>2874</v>
      </c>
      <c r="AA219" s="3">
        <v>291</v>
      </c>
      <c r="AB219" s="3">
        <v>253</v>
      </c>
      <c r="AC219" s="3">
        <v>255</v>
      </c>
      <c r="AD219" s="3">
        <v>1</v>
      </c>
      <c r="AE219" s="3">
        <v>1</v>
      </c>
      <c r="AF219" s="3">
        <v>10</v>
      </c>
      <c r="AG219" s="3">
        <v>10</v>
      </c>
      <c r="AH219" s="3">
        <v>5</v>
      </c>
      <c r="AI219" s="3">
        <v>5</v>
      </c>
      <c r="AJ219" s="3">
        <v>1</v>
      </c>
      <c r="AK219" s="3">
        <v>1</v>
      </c>
      <c r="AL219" s="3">
        <v>5</v>
      </c>
      <c r="AM219" s="3">
        <v>5</v>
      </c>
      <c r="AN219" s="3">
        <v>0</v>
      </c>
      <c r="AO219" s="3">
        <v>0</v>
      </c>
      <c r="AP219" s="3">
        <v>0</v>
      </c>
      <c r="AQ219" s="3">
        <v>0</v>
      </c>
      <c r="AR219" s="2" t="s">
        <v>5</v>
      </c>
      <c r="AS219" s="2" t="s">
        <v>90</v>
      </c>
      <c r="AT219" s="5" t="str">
        <f>HYPERLINK("http://catalog.hathitrust.org/Record/002435294","HathiTrust Record")</f>
        <v>HathiTrust Record</v>
      </c>
      <c r="AU219" s="5" t="str">
        <f>HYPERLINK("https://creighton-primo.hosted.exlibrisgroup.com/primo-explore/search?tab=default_tab&amp;search_scope=EVERYTHING&amp;vid=01CRU&amp;lang=en_US&amp;offset=0&amp;query=any,contains,991001449299702656","Catalog Record")</f>
        <v>Catalog Record</v>
      </c>
      <c r="AV219" s="5" t="str">
        <f>HYPERLINK("http://www.worldcat.org/oclc/21038130","WorldCat Record")</f>
        <v>WorldCat Record</v>
      </c>
      <c r="AW219" s="2" t="s">
        <v>2875</v>
      </c>
      <c r="AX219" s="2" t="s">
        <v>2876</v>
      </c>
      <c r="AY219" s="2" t="s">
        <v>2877</v>
      </c>
      <c r="AZ219" s="2" t="s">
        <v>2877</v>
      </c>
      <c r="BA219" s="2" t="s">
        <v>2878</v>
      </c>
      <c r="BB219" s="2" t="s">
        <v>19</v>
      </c>
      <c r="BD219" s="2" t="s">
        <v>2879</v>
      </c>
      <c r="BE219" s="2" t="s">
        <v>2880</v>
      </c>
      <c r="BF219" s="2" t="s">
        <v>2881</v>
      </c>
    </row>
    <row r="220" spans="1:58" ht="50.25" customHeight="1" x14ac:dyDescent="0.25">
      <c r="A220" s="8" t="s">
        <v>5</v>
      </c>
      <c r="B220" s="1" t="s">
        <v>0</v>
      </c>
      <c r="C220" s="1" t="s">
        <v>1</v>
      </c>
      <c r="D220" s="1" t="s">
        <v>2882</v>
      </c>
      <c r="E220" s="1" t="s">
        <v>2883</v>
      </c>
      <c r="F220" s="1" t="s">
        <v>2884</v>
      </c>
      <c r="H220" s="2" t="s">
        <v>5</v>
      </c>
      <c r="I220" s="2" t="s">
        <v>6</v>
      </c>
      <c r="J220" s="2" t="s">
        <v>5</v>
      </c>
      <c r="K220" s="2" t="s">
        <v>5</v>
      </c>
      <c r="L220" s="2" t="s">
        <v>7</v>
      </c>
      <c r="N220" s="1" t="s">
        <v>2885</v>
      </c>
      <c r="O220" s="2" t="s">
        <v>213</v>
      </c>
      <c r="Q220" s="2" t="s">
        <v>10</v>
      </c>
      <c r="R220" s="2" t="s">
        <v>184</v>
      </c>
      <c r="T220" s="2" t="s">
        <v>12</v>
      </c>
      <c r="U220" s="3">
        <v>12</v>
      </c>
      <c r="V220" s="3">
        <v>12</v>
      </c>
      <c r="W220" s="4" t="s">
        <v>2886</v>
      </c>
      <c r="X220" s="4" t="s">
        <v>2886</v>
      </c>
      <c r="Y220" s="4" t="s">
        <v>2887</v>
      </c>
      <c r="Z220" s="4" t="s">
        <v>2887</v>
      </c>
      <c r="AA220" s="3">
        <v>145</v>
      </c>
      <c r="AB220" s="3">
        <v>138</v>
      </c>
      <c r="AC220" s="3">
        <v>140</v>
      </c>
      <c r="AD220" s="3">
        <v>1</v>
      </c>
      <c r="AE220" s="3">
        <v>1</v>
      </c>
      <c r="AF220" s="3">
        <v>6</v>
      </c>
      <c r="AG220" s="3">
        <v>6</v>
      </c>
      <c r="AH220" s="3">
        <v>0</v>
      </c>
      <c r="AI220" s="3">
        <v>0</v>
      </c>
      <c r="AJ220" s="3">
        <v>3</v>
      </c>
      <c r="AK220" s="3">
        <v>3</v>
      </c>
      <c r="AL220" s="3">
        <v>4</v>
      </c>
      <c r="AM220" s="3">
        <v>4</v>
      </c>
      <c r="AN220" s="3">
        <v>0</v>
      </c>
      <c r="AO220" s="3">
        <v>0</v>
      </c>
      <c r="AP220" s="3">
        <v>0</v>
      </c>
      <c r="AQ220" s="3">
        <v>0</v>
      </c>
      <c r="AR220" s="2" t="s">
        <v>5</v>
      </c>
      <c r="AS220" s="2" t="s">
        <v>90</v>
      </c>
      <c r="AT220" s="5" t="str">
        <f>HYPERLINK("http://catalog.hathitrust.org/Record/004521554","HathiTrust Record")</f>
        <v>HathiTrust Record</v>
      </c>
      <c r="AU220" s="5" t="str">
        <f>HYPERLINK("https://creighton-primo.hosted.exlibrisgroup.com/primo-explore/search?tab=default_tab&amp;search_scope=EVERYTHING&amp;vid=01CRU&amp;lang=en_US&amp;offset=0&amp;query=any,contains,991001033529702656","Catalog Record")</f>
        <v>Catalog Record</v>
      </c>
      <c r="AV220" s="5" t="str">
        <f>HYPERLINK("http://www.worldcat.org/oclc/29029388","WorldCat Record")</f>
        <v>WorldCat Record</v>
      </c>
      <c r="AW220" s="2" t="s">
        <v>2888</v>
      </c>
      <c r="AX220" s="2" t="s">
        <v>2889</v>
      </c>
      <c r="AY220" s="2" t="s">
        <v>2890</v>
      </c>
      <c r="AZ220" s="2" t="s">
        <v>2890</v>
      </c>
      <c r="BA220" s="2" t="s">
        <v>2891</v>
      </c>
      <c r="BB220" s="2" t="s">
        <v>19</v>
      </c>
      <c r="BD220" s="2" t="s">
        <v>2892</v>
      </c>
      <c r="BE220" s="2" t="s">
        <v>2893</v>
      </c>
      <c r="BF220" s="2" t="s">
        <v>2894</v>
      </c>
    </row>
    <row r="221" spans="1:58" ht="50.25" customHeight="1" x14ac:dyDescent="0.25">
      <c r="A221" s="8" t="s">
        <v>5</v>
      </c>
      <c r="B221" s="1" t="s">
        <v>0</v>
      </c>
      <c r="C221" s="1" t="s">
        <v>1</v>
      </c>
      <c r="D221" s="1" t="s">
        <v>2895</v>
      </c>
      <c r="E221" s="1" t="s">
        <v>2896</v>
      </c>
      <c r="F221" s="1" t="s">
        <v>2897</v>
      </c>
      <c r="H221" s="2" t="s">
        <v>5</v>
      </c>
      <c r="I221" s="2" t="s">
        <v>6</v>
      </c>
      <c r="J221" s="2" t="s">
        <v>5</v>
      </c>
      <c r="K221" s="2" t="s">
        <v>5</v>
      </c>
      <c r="L221" s="2" t="s">
        <v>7</v>
      </c>
      <c r="M221" s="1" t="s">
        <v>2898</v>
      </c>
      <c r="N221" s="1" t="s">
        <v>2899</v>
      </c>
      <c r="O221" s="2" t="s">
        <v>596</v>
      </c>
      <c r="Q221" s="2" t="s">
        <v>10</v>
      </c>
      <c r="R221" s="2" t="s">
        <v>1150</v>
      </c>
      <c r="T221" s="2" t="s">
        <v>12</v>
      </c>
      <c r="U221" s="3">
        <v>6</v>
      </c>
      <c r="V221" s="3">
        <v>6</v>
      </c>
      <c r="W221" s="4" t="s">
        <v>1943</v>
      </c>
      <c r="X221" s="4" t="s">
        <v>1943</v>
      </c>
      <c r="Y221" s="4" t="s">
        <v>2900</v>
      </c>
      <c r="Z221" s="4" t="s">
        <v>2900</v>
      </c>
      <c r="AA221" s="3">
        <v>149</v>
      </c>
      <c r="AB221" s="3">
        <v>135</v>
      </c>
      <c r="AC221" s="3">
        <v>140</v>
      </c>
      <c r="AD221" s="3">
        <v>1</v>
      </c>
      <c r="AE221" s="3">
        <v>1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2" t="s">
        <v>5</v>
      </c>
      <c r="AS221" s="2" t="s">
        <v>90</v>
      </c>
      <c r="AT221" s="5" t="str">
        <f>HYPERLINK("http://catalog.hathitrust.org/Record/004406815","HathiTrust Record")</f>
        <v>HathiTrust Record</v>
      </c>
      <c r="AU221" s="5" t="str">
        <f>HYPERLINK("https://creighton-primo.hosted.exlibrisgroup.com/primo-explore/search?tab=default_tab&amp;search_scope=EVERYTHING&amp;vid=01CRU&amp;lang=en_US&amp;offset=0&amp;query=any,contains,991001537279702656","Catalog Record")</f>
        <v>Catalog Record</v>
      </c>
      <c r="AV221" s="5" t="str">
        <f>HYPERLINK("http://www.worldcat.org/oclc/18053518","WorldCat Record")</f>
        <v>WorldCat Record</v>
      </c>
      <c r="AW221" s="2" t="s">
        <v>2901</v>
      </c>
      <c r="AX221" s="2" t="s">
        <v>2902</v>
      </c>
      <c r="AY221" s="2" t="s">
        <v>2903</v>
      </c>
      <c r="AZ221" s="2" t="s">
        <v>2903</v>
      </c>
      <c r="BA221" s="2" t="s">
        <v>2904</v>
      </c>
      <c r="BB221" s="2" t="s">
        <v>19</v>
      </c>
      <c r="BE221" s="2" t="s">
        <v>2905</v>
      </c>
      <c r="BF221" s="2" t="s">
        <v>2906</v>
      </c>
    </row>
    <row r="222" spans="1:58" ht="50.25" customHeight="1" x14ac:dyDescent="0.25">
      <c r="A222" s="8" t="s">
        <v>5</v>
      </c>
      <c r="B222" s="1" t="s">
        <v>0</v>
      </c>
      <c r="C222" s="1" t="s">
        <v>1</v>
      </c>
      <c r="D222" s="1" t="s">
        <v>2907</v>
      </c>
      <c r="E222" s="1" t="s">
        <v>2908</v>
      </c>
      <c r="F222" s="1" t="s">
        <v>2909</v>
      </c>
      <c r="H222" s="2" t="s">
        <v>5</v>
      </c>
      <c r="I222" s="2" t="s">
        <v>6</v>
      </c>
      <c r="J222" s="2" t="s">
        <v>90</v>
      </c>
      <c r="K222" s="2" t="s">
        <v>5</v>
      </c>
      <c r="L222" s="2" t="s">
        <v>7</v>
      </c>
      <c r="N222" s="1" t="s">
        <v>2546</v>
      </c>
      <c r="O222" s="2" t="s">
        <v>125</v>
      </c>
      <c r="Q222" s="2" t="s">
        <v>10</v>
      </c>
      <c r="R222" s="2" t="s">
        <v>405</v>
      </c>
      <c r="T222" s="2" t="s">
        <v>12</v>
      </c>
      <c r="U222" s="3">
        <v>10</v>
      </c>
      <c r="V222" s="3">
        <v>16</v>
      </c>
      <c r="W222" s="4" t="s">
        <v>2910</v>
      </c>
      <c r="X222" s="4" t="s">
        <v>2910</v>
      </c>
      <c r="Y222" s="4" t="s">
        <v>2911</v>
      </c>
      <c r="Z222" s="4" t="s">
        <v>2911</v>
      </c>
      <c r="AA222" s="3">
        <v>445</v>
      </c>
      <c r="AB222" s="3">
        <v>354</v>
      </c>
      <c r="AC222" s="3">
        <v>356</v>
      </c>
      <c r="AD222" s="3">
        <v>5</v>
      </c>
      <c r="AE222" s="3">
        <v>5</v>
      </c>
      <c r="AF222" s="3">
        <v>21</v>
      </c>
      <c r="AG222" s="3">
        <v>21</v>
      </c>
      <c r="AH222" s="3">
        <v>5</v>
      </c>
      <c r="AI222" s="3">
        <v>5</v>
      </c>
      <c r="AJ222" s="3">
        <v>5</v>
      </c>
      <c r="AK222" s="3">
        <v>5</v>
      </c>
      <c r="AL222" s="3">
        <v>12</v>
      </c>
      <c r="AM222" s="3">
        <v>12</v>
      </c>
      <c r="AN222" s="3">
        <v>3</v>
      </c>
      <c r="AO222" s="3">
        <v>3</v>
      </c>
      <c r="AP222" s="3">
        <v>2</v>
      </c>
      <c r="AQ222" s="3">
        <v>2</v>
      </c>
      <c r="AR222" s="2" t="s">
        <v>5</v>
      </c>
      <c r="AS222" s="2" t="s">
        <v>90</v>
      </c>
      <c r="AT222" s="5" t="str">
        <f>HYPERLINK("http://catalog.hathitrust.org/Record/003043522","HathiTrust Record")</f>
        <v>HathiTrust Record</v>
      </c>
      <c r="AU222" s="5" t="str">
        <f>HYPERLINK("https://creighton-primo.hosted.exlibrisgroup.com/primo-explore/search?tab=default_tab&amp;search_scope=EVERYTHING&amp;vid=01CRU&amp;lang=en_US&amp;offset=0&amp;query=any,contains,991001668799702656","Catalog Record")</f>
        <v>Catalog Record</v>
      </c>
      <c r="AV222" s="5" t="str">
        <f>HYPERLINK("http://www.worldcat.org/oclc/33245139","WorldCat Record")</f>
        <v>WorldCat Record</v>
      </c>
      <c r="AW222" s="2" t="s">
        <v>2912</v>
      </c>
      <c r="AX222" s="2" t="s">
        <v>2913</v>
      </c>
      <c r="AY222" s="2" t="s">
        <v>2914</v>
      </c>
      <c r="AZ222" s="2" t="s">
        <v>2914</v>
      </c>
      <c r="BA222" s="2" t="s">
        <v>2915</v>
      </c>
      <c r="BB222" s="2" t="s">
        <v>19</v>
      </c>
      <c r="BD222" s="2" t="s">
        <v>2916</v>
      </c>
      <c r="BE222" s="2" t="s">
        <v>2917</v>
      </c>
      <c r="BF222" s="2" t="s">
        <v>2918</v>
      </c>
    </row>
    <row r="223" spans="1:58" ht="50.25" customHeight="1" x14ac:dyDescent="0.25">
      <c r="A223" s="8" t="s">
        <v>5</v>
      </c>
      <c r="B223" s="1" t="s">
        <v>0</v>
      </c>
      <c r="C223" s="1" t="s">
        <v>1</v>
      </c>
      <c r="D223" s="1" t="s">
        <v>2919</v>
      </c>
      <c r="E223" s="1" t="s">
        <v>2920</v>
      </c>
      <c r="F223" s="1" t="s">
        <v>2921</v>
      </c>
      <c r="H223" s="2" t="s">
        <v>5</v>
      </c>
      <c r="I223" s="2" t="s">
        <v>6</v>
      </c>
      <c r="J223" s="2" t="s">
        <v>5</v>
      </c>
      <c r="K223" s="2" t="s">
        <v>5</v>
      </c>
      <c r="L223" s="2" t="s">
        <v>7</v>
      </c>
      <c r="M223" s="1" t="s">
        <v>2922</v>
      </c>
      <c r="N223" s="1" t="s">
        <v>2923</v>
      </c>
      <c r="O223" s="2" t="s">
        <v>28</v>
      </c>
      <c r="Q223" s="2" t="s">
        <v>10</v>
      </c>
      <c r="R223" s="2" t="s">
        <v>405</v>
      </c>
      <c r="T223" s="2" t="s">
        <v>12</v>
      </c>
      <c r="U223" s="3">
        <v>10</v>
      </c>
      <c r="V223" s="3">
        <v>10</v>
      </c>
      <c r="W223" s="4" t="s">
        <v>2924</v>
      </c>
      <c r="X223" s="4" t="s">
        <v>2924</v>
      </c>
      <c r="Y223" s="4" t="s">
        <v>2925</v>
      </c>
      <c r="Z223" s="4" t="s">
        <v>2925</v>
      </c>
      <c r="AA223" s="3">
        <v>635</v>
      </c>
      <c r="AB223" s="3">
        <v>489</v>
      </c>
      <c r="AC223" s="3">
        <v>494</v>
      </c>
      <c r="AD223" s="3">
        <v>5</v>
      </c>
      <c r="AE223" s="3">
        <v>5</v>
      </c>
      <c r="AF223" s="3">
        <v>25</v>
      </c>
      <c r="AG223" s="3">
        <v>25</v>
      </c>
      <c r="AH223" s="3">
        <v>9</v>
      </c>
      <c r="AI223" s="3">
        <v>9</v>
      </c>
      <c r="AJ223" s="3">
        <v>5</v>
      </c>
      <c r="AK223" s="3">
        <v>5</v>
      </c>
      <c r="AL223" s="3">
        <v>10</v>
      </c>
      <c r="AM223" s="3">
        <v>10</v>
      </c>
      <c r="AN223" s="3">
        <v>4</v>
      </c>
      <c r="AO223" s="3">
        <v>4</v>
      </c>
      <c r="AP223" s="3">
        <v>1</v>
      </c>
      <c r="AQ223" s="3">
        <v>1</v>
      </c>
      <c r="AR223" s="2" t="s">
        <v>5</v>
      </c>
      <c r="AS223" s="2" t="s">
        <v>5</v>
      </c>
      <c r="AU223" s="5" t="str">
        <f>HYPERLINK("https://creighton-primo.hosted.exlibrisgroup.com/primo-explore/search?tab=default_tab&amp;search_scope=EVERYTHING&amp;vid=01CRU&amp;lang=en_US&amp;offset=0&amp;query=any,contains,991001249309702656","Catalog Record")</f>
        <v>Catalog Record</v>
      </c>
      <c r="AV223" s="5" t="str">
        <f>HYPERLINK("http://www.worldcat.org/oclc/19814634","WorldCat Record")</f>
        <v>WorldCat Record</v>
      </c>
      <c r="AW223" s="2" t="s">
        <v>2926</v>
      </c>
      <c r="AX223" s="2" t="s">
        <v>2927</v>
      </c>
      <c r="AY223" s="2" t="s">
        <v>2928</v>
      </c>
      <c r="AZ223" s="2" t="s">
        <v>2928</v>
      </c>
      <c r="BA223" s="2" t="s">
        <v>2929</v>
      </c>
      <c r="BB223" s="2" t="s">
        <v>19</v>
      </c>
      <c r="BD223" s="2" t="s">
        <v>2930</v>
      </c>
      <c r="BE223" s="2" t="s">
        <v>2931</v>
      </c>
      <c r="BF223" s="2" t="s">
        <v>2932</v>
      </c>
    </row>
    <row r="224" spans="1:58" ht="50.25" customHeight="1" x14ac:dyDescent="0.25">
      <c r="A224" s="8" t="s">
        <v>5</v>
      </c>
      <c r="B224" s="1" t="s">
        <v>0</v>
      </c>
      <c r="C224" s="1" t="s">
        <v>1</v>
      </c>
      <c r="D224" s="1" t="s">
        <v>2933</v>
      </c>
      <c r="E224" s="1" t="s">
        <v>2934</v>
      </c>
      <c r="F224" s="1" t="s">
        <v>2935</v>
      </c>
      <c r="H224" s="2" t="s">
        <v>5</v>
      </c>
      <c r="I224" s="2" t="s">
        <v>6</v>
      </c>
      <c r="J224" s="2" t="s">
        <v>5</v>
      </c>
      <c r="K224" s="2" t="s">
        <v>5</v>
      </c>
      <c r="L224" s="2" t="s">
        <v>7</v>
      </c>
      <c r="N224" s="1" t="s">
        <v>2936</v>
      </c>
      <c r="O224" s="2" t="s">
        <v>504</v>
      </c>
      <c r="Q224" s="2" t="s">
        <v>10</v>
      </c>
      <c r="R224" s="2" t="s">
        <v>2850</v>
      </c>
      <c r="T224" s="2" t="s">
        <v>12</v>
      </c>
      <c r="U224" s="3">
        <v>2</v>
      </c>
      <c r="V224" s="3">
        <v>2</v>
      </c>
      <c r="W224" s="4" t="s">
        <v>2937</v>
      </c>
      <c r="X224" s="4" t="s">
        <v>2937</v>
      </c>
      <c r="Y224" s="4" t="s">
        <v>2938</v>
      </c>
      <c r="Z224" s="4" t="s">
        <v>2938</v>
      </c>
      <c r="AA224" s="3">
        <v>580</v>
      </c>
      <c r="AB224" s="3">
        <v>479</v>
      </c>
      <c r="AC224" s="3">
        <v>487</v>
      </c>
      <c r="AD224" s="3">
        <v>6</v>
      </c>
      <c r="AE224" s="3">
        <v>6</v>
      </c>
      <c r="AF224" s="3">
        <v>19</v>
      </c>
      <c r="AG224" s="3">
        <v>19</v>
      </c>
      <c r="AH224" s="3">
        <v>4</v>
      </c>
      <c r="AI224" s="3">
        <v>4</v>
      </c>
      <c r="AJ224" s="3">
        <v>4</v>
      </c>
      <c r="AK224" s="3">
        <v>4</v>
      </c>
      <c r="AL224" s="3">
        <v>7</v>
      </c>
      <c r="AM224" s="3">
        <v>7</v>
      </c>
      <c r="AN224" s="3">
        <v>4</v>
      </c>
      <c r="AO224" s="3">
        <v>4</v>
      </c>
      <c r="AP224" s="3">
        <v>3</v>
      </c>
      <c r="AQ224" s="3">
        <v>3</v>
      </c>
      <c r="AR224" s="2" t="s">
        <v>5</v>
      </c>
      <c r="AS224" s="2" t="s">
        <v>90</v>
      </c>
      <c r="AT224" s="5" t="str">
        <f>HYPERLINK("http://catalog.hathitrust.org/Record/000257613","HathiTrust Record")</f>
        <v>HathiTrust Record</v>
      </c>
      <c r="AU224" s="5" t="str">
        <f>HYPERLINK("https://creighton-primo.hosted.exlibrisgroup.com/primo-explore/search?tab=default_tab&amp;search_scope=EVERYTHING&amp;vid=01CRU&amp;lang=en_US&amp;offset=0&amp;query=any,contains,991000725609702656","Catalog Record")</f>
        <v>Catalog Record</v>
      </c>
      <c r="AV224" s="5" t="str">
        <f>HYPERLINK("http://www.worldcat.org/oclc/4516045","WorldCat Record")</f>
        <v>WorldCat Record</v>
      </c>
      <c r="AW224" s="2" t="s">
        <v>2939</v>
      </c>
      <c r="AX224" s="2" t="s">
        <v>2940</v>
      </c>
      <c r="AY224" s="2" t="s">
        <v>2941</v>
      </c>
      <c r="AZ224" s="2" t="s">
        <v>2941</v>
      </c>
      <c r="BA224" s="2" t="s">
        <v>2942</v>
      </c>
      <c r="BB224" s="2" t="s">
        <v>19</v>
      </c>
      <c r="BD224" s="2" t="s">
        <v>2943</v>
      </c>
      <c r="BE224" s="2" t="s">
        <v>2944</v>
      </c>
      <c r="BF224" s="2" t="s">
        <v>2945</v>
      </c>
    </row>
    <row r="225" spans="1:58" ht="50.25" customHeight="1" x14ac:dyDescent="0.25">
      <c r="A225" s="8" t="s">
        <v>5</v>
      </c>
      <c r="B225" s="1" t="s">
        <v>0</v>
      </c>
      <c r="C225" s="1" t="s">
        <v>1</v>
      </c>
      <c r="D225" s="1" t="s">
        <v>2946</v>
      </c>
      <c r="E225" s="1" t="s">
        <v>2947</v>
      </c>
      <c r="F225" s="1" t="s">
        <v>2948</v>
      </c>
      <c r="H225" s="2" t="s">
        <v>5</v>
      </c>
      <c r="I225" s="2" t="s">
        <v>6</v>
      </c>
      <c r="J225" s="2" t="s">
        <v>5</v>
      </c>
      <c r="K225" s="2" t="s">
        <v>5</v>
      </c>
      <c r="L225" s="2" t="s">
        <v>7</v>
      </c>
      <c r="N225" s="1" t="s">
        <v>2949</v>
      </c>
      <c r="O225" s="2" t="s">
        <v>2950</v>
      </c>
      <c r="Q225" s="2" t="s">
        <v>10</v>
      </c>
      <c r="R225" s="2" t="s">
        <v>29</v>
      </c>
      <c r="S225" s="1" t="s">
        <v>887</v>
      </c>
      <c r="T225" s="2" t="s">
        <v>12</v>
      </c>
      <c r="U225" s="3">
        <v>15</v>
      </c>
      <c r="V225" s="3">
        <v>15</v>
      </c>
      <c r="W225" s="4" t="s">
        <v>2951</v>
      </c>
      <c r="X225" s="4" t="s">
        <v>2951</v>
      </c>
      <c r="Y225" s="4" t="s">
        <v>2938</v>
      </c>
      <c r="Z225" s="4" t="s">
        <v>2938</v>
      </c>
      <c r="AA225" s="3">
        <v>375</v>
      </c>
      <c r="AB225" s="3">
        <v>320</v>
      </c>
      <c r="AC225" s="3">
        <v>336</v>
      </c>
      <c r="AD225" s="3">
        <v>2</v>
      </c>
      <c r="AE225" s="3">
        <v>2</v>
      </c>
      <c r="AF225" s="3">
        <v>16</v>
      </c>
      <c r="AG225" s="3">
        <v>17</v>
      </c>
      <c r="AH225" s="3">
        <v>6</v>
      </c>
      <c r="AI225" s="3">
        <v>6</v>
      </c>
      <c r="AJ225" s="3">
        <v>2</v>
      </c>
      <c r="AK225" s="3">
        <v>3</v>
      </c>
      <c r="AL225" s="3">
        <v>9</v>
      </c>
      <c r="AM225" s="3">
        <v>9</v>
      </c>
      <c r="AN225" s="3">
        <v>1</v>
      </c>
      <c r="AO225" s="3">
        <v>1</v>
      </c>
      <c r="AP225" s="3">
        <v>2</v>
      </c>
      <c r="AQ225" s="3">
        <v>2</v>
      </c>
      <c r="AR225" s="2" t="s">
        <v>5</v>
      </c>
      <c r="AS225" s="2" t="s">
        <v>90</v>
      </c>
      <c r="AT225" s="5" t="str">
        <f>HYPERLINK("http://catalog.hathitrust.org/Record/000764369","HathiTrust Record")</f>
        <v>HathiTrust Record</v>
      </c>
      <c r="AU225" s="5" t="str">
        <f>HYPERLINK("https://creighton-primo.hosted.exlibrisgroup.com/primo-explore/search?tab=default_tab&amp;search_scope=EVERYTHING&amp;vid=01CRU&amp;lang=en_US&amp;offset=0&amp;query=any,contains,991000725889702656","Catalog Record")</f>
        <v>Catalog Record</v>
      </c>
      <c r="AV225" s="5" t="str">
        <f>HYPERLINK("http://www.worldcat.org/oclc/7462857","WorldCat Record")</f>
        <v>WorldCat Record</v>
      </c>
      <c r="AW225" s="2" t="s">
        <v>2952</v>
      </c>
      <c r="AX225" s="2" t="s">
        <v>2953</v>
      </c>
      <c r="AY225" s="2" t="s">
        <v>2954</v>
      </c>
      <c r="AZ225" s="2" t="s">
        <v>2954</v>
      </c>
      <c r="BA225" s="2" t="s">
        <v>2955</v>
      </c>
      <c r="BB225" s="2" t="s">
        <v>19</v>
      </c>
      <c r="BD225" s="2" t="s">
        <v>2956</v>
      </c>
      <c r="BE225" s="2" t="s">
        <v>2957</v>
      </c>
      <c r="BF225" s="2" t="s">
        <v>2958</v>
      </c>
    </row>
    <row r="226" spans="1:58" ht="50.25" customHeight="1" x14ac:dyDescent="0.25">
      <c r="A226" s="8" t="s">
        <v>5</v>
      </c>
      <c r="B226" s="1" t="s">
        <v>0</v>
      </c>
      <c r="C226" s="1" t="s">
        <v>1</v>
      </c>
      <c r="D226" s="1" t="s">
        <v>2959</v>
      </c>
      <c r="E226" s="1" t="s">
        <v>2960</v>
      </c>
      <c r="F226" s="1" t="s">
        <v>2961</v>
      </c>
      <c r="H226" s="2" t="s">
        <v>5</v>
      </c>
      <c r="I226" s="2" t="s">
        <v>6</v>
      </c>
      <c r="J226" s="2" t="s">
        <v>90</v>
      </c>
      <c r="K226" s="2" t="s">
        <v>5</v>
      </c>
      <c r="L226" s="2" t="s">
        <v>7</v>
      </c>
      <c r="N226" s="1" t="s">
        <v>2962</v>
      </c>
      <c r="O226" s="2" t="s">
        <v>2963</v>
      </c>
      <c r="Q226" s="2" t="s">
        <v>10</v>
      </c>
      <c r="R226" s="2" t="s">
        <v>29</v>
      </c>
      <c r="T226" s="2" t="s">
        <v>12</v>
      </c>
      <c r="U226" s="3">
        <v>7</v>
      </c>
      <c r="V226" s="3">
        <v>7</v>
      </c>
      <c r="W226" s="4" t="s">
        <v>2964</v>
      </c>
      <c r="X226" s="4" t="s">
        <v>2964</v>
      </c>
      <c r="Y226" s="4" t="s">
        <v>2938</v>
      </c>
      <c r="Z226" s="4" t="s">
        <v>2938</v>
      </c>
      <c r="AA226" s="3">
        <v>440</v>
      </c>
      <c r="AB226" s="3">
        <v>375</v>
      </c>
      <c r="AC226" s="3">
        <v>382</v>
      </c>
      <c r="AD226" s="3">
        <v>6</v>
      </c>
      <c r="AE226" s="3">
        <v>6</v>
      </c>
      <c r="AF226" s="3">
        <v>17</v>
      </c>
      <c r="AG226" s="3">
        <v>18</v>
      </c>
      <c r="AH226" s="3">
        <v>7</v>
      </c>
      <c r="AI226" s="3">
        <v>7</v>
      </c>
      <c r="AJ226" s="3">
        <v>4</v>
      </c>
      <c r="AK226" s="3">
        <v>5</v>
      </c>
      <c r="AL226" s="3">
        <v>6</v>
      </c>
      <c r="AM226" s="3">
        <v>6</v>
      </c>
      <c r="AN226" s="3">
        <v>4</v>
      </c>
      <c r="AO226" s="3">
        <v>4</v>
      </c>
      <c r="AP226" s="3">
        <v>0</v>
      </c>
      <c r="AQ226" s="3">
        <v>0</v>
      </c>
      <c r="AR226" s="2" t="s">
        <v>5</v>
      </c>
      <c r="AS226" s="2" t="s">
        <v>90</v>
      </c>
      <c r="AT226" s="5" t="str">
        <f>HYPERLINK("http://catalog.hathitrust.org/Record/000113329","HathiTrust Record")</f>
        <v>HathiTrust Record</v>
      </c>
      <c r="AU226" s="5" t="str">
        <f>HYPERLINK("https://creighton-primo.hosted.exlibrisgroup.com/primo-explore/search?tab=default_tab&amp;search_scope=EVERYTHING&amp;vid=01CRU&amp;lang=en_US&amp;offset=0&amp;query=any,contains,991000725929702656","Catalog Record")</f>
        <v>Catalog Record</v>
      </c>
      <c r="AV226" s="5" t="str">
        <f>HYPERLINK("http://www.worldcat.org/oclc/8532291","WorldCat Record")</f>
        <v>WorldCat Record</v>
      </c>
      <c r="AW226" s="2" t="s">
        <v>2965</v>
      </c>
      <c r="AX226" s="2" t="s">
        <v>2966</v>
      </c>
      <c r="AY226" s="2" t="s">
        <v>2967</v>
      </c>
      <c r="AZ226" s="2" t="s">
        <v>2967</v>
      </c>
      <c r="BA226" s="2" t="s">
        <v>2968</v>
      </c>
      <c r="BB226" s="2" t="s">
        <v>19</v>
      </c>
      <c r="BD226" s="2" t="s">
        <v>2969</v>
      </c>
      <c r="BE226" s="2" t="s">
        <v>2970</v>
      </c>
      <c r="BF226" s="2" t="s">
        <v>2971</v>
      </c>
    </row>
    <row r="227" spans="1:58" ht="50.25" customHeight="1" x14ac:dyDescent="0.25">
      <c r="A227" s="8" t="s">
        <v>5</v>
      </c>
      <c r="B227" s="1" t="s">
        <v>0</v>
      </c>
      <c r="C227" s="1" t="s">
        <v>1</v>
      </c>
      <c r="D227" s="1" t="s">
        <v>2972</v>
      </c>
      <c r="E227" s="1" t="s">
        <v>2973</v>
      </c>
      <c r="F227" s="1" t="s">
        <v>2974</v>
      </c>
      <c r="G227" s="2" t="s">
        <v>822</v>
      </c>
      <c r="H227" s="2" t="s">
        <v>90</v>
      </c>
      <c r="I227" s="2" t="s">
        <v>6</v>
      </c>
      <c r="J227" s="2" t="s">
        <v>5</v>
      </c>
      <c r="K227" s="2" t="s">
        <v>5</v>
      </c>
      <c r="L227" s="2" t="s">
        <v>7</v>
      </c>
      <c r="N227" s="1" t="s">
        <v>2975</v>
      </c>
      <c r="O227" s="2" t="s">
        <v>169</v>
      </c>
      <c r="P227" s="1" t="s">
        <v>568</v>
      </c>
      <c r="Q227" s="2" t="s">
        <v>10</v>
      </c>
      <c r="R227" s="2" t="s">
        <v>1385</v>
      </c>
      <c r="T227" s="2" t="s">
        <v>12</v>
      </c>
      <c r="U227" s="3">
        <v>1</v>
      </c>
      <c r="V227" s="3">
        <v>3</v>
      </c>
      <c r="W227" s="4" t="s">
        <v>2976</v>
      </c>
      <c r="X227" s="4" t="s">
        <v>2976</v>
      </c>
      <c r="Y227" s="4" t="s">
        <v>2976</v>
      </c>
      <c r="Z227" s="4" t="s">
        <v>2976</v>
      </c>
      <c r="AA227" s="3">
        <v>243</v>
      </c>
      <c r="AB227" s="3">
        <v>212</v>
      </c>
      <c r="AC227" s="3">
        <v>481</v>
      </c>
      <c r="AD227" s="3">
        <v>2</v>
      </c>
      <c r="AE227" s="3">
        <v>4</v>
      </c>
      <c r="AF227" s="3">
        <v>5</v>
      </c>
      <c r="AG227" s="3">
        <v>14</v>
      </c>
      <c r="AH227" s="3">
        <v>1</v>
      </c>
      <c r="AI227" s="3">
        <v>4</v>
      </c>
      <c r="AJ227" s="3">
        <v>1</v>
      </c>
      <c r="AK227" s="3">
        <v>2</v>
      </c>
      <c r="AL227" s="3">
        <v>2</v>
      </c>
      <c r="AM227" s="3">
        <v>5</v>
      </c>
      <c r="AN227" s="3">
        <v>1</v>
      </c>
      <c r="AO227" s="3">
        <v>3</v>
      </c>
      <c r="AP227" s="3">
        <v>0</v>
      </c>
      <c r="AQ227" s="3">
        <v>2</v>
      </c>
      <c r="AR227" s="2" t="s">
        <v>5</v>
      </c>
      <c r="AS227" s="2" t="s">
        <v>90</v>
      </c>
      <c r="AT227" s="5" t="str">
        <f>HYPERLINK("http://catalog.hathitrust.org/Record/003247699","HathiTrust Record")</f>
        <v>HathiTrust Record</v>
      </c>
      <c r="AU227" s="5" t="str">
        <f>HYPERLINK("https://creighton-primo.hosted.exlibrisgroup.com/primo-explore/search?tab=default_tab&amp;search_scope=EVERYTHING&amp;vid=01CRU&amp;lang=en_US&amp;offset=0&amp;query=any,contains,991001427389702656","Catalog Record")</f>
        <v>Catalog Record</v>
      </c>
      <c r="AV227" s="5" t="str">
        <f>HYPERLINK("http://www.worldcat.org/oclc/37663546","WorldCat Record")</f>
        <v>WorldCat Record</v>
      </c>
      <c r="AW227" s="2" t="s">
        <v>2977</v>
      </c>
      <c r="AX227" s="2" t="s">
        <v>2978</v>
      </c>
      <c r="AY227" s="2" t="s">
        <v>2979</v>
      </c>
      <c r="AZ227" s="2" t="s">
        <v>2979</v>
      </c>
      <c r="BA227" s="2" t="s">
        <v>2980</v>
      </c>
      <c r="BB227" s="2" t="s">
        <v>19</v>
      </c>
      <c r="BD227" s="2" t="s">
        <v>2981</v>
      </c>
      <c r="BE227" s="2" t="s">
        <v>2982</v>
      </c>
      <c r="BF227" s="2" t="s">
        <v>2983</v>
      </c>
    </row>
    <row r="228" spans="1:58" ht="50.25" customHeight="1" x14ac:dyDescent="0.25">
      <c r="A228" s="8" t="s">
        <v>5</v>
      </c>
      <c r="B228" s="1" t="s">
        <v>0</v>
      </c>
      <c r="C228" s="1" t="s">
        <v>1</v>
      </c>
      <c r="D228" s="1" t="s">
        <v>2972</v>
      </c>
      <c r="E228" s="1" t="s">
        <v>2973</v>
      </c>
      <c r="F228" s="1" t="s">
        <v>2974</v>
      </c>
      <c r="G228" s="2" t="s">
        <v>839</v>
      </c>
      <c r="H228" s="2" t="s">
        <v>90</v>
      </c>
      <c r="I228" s="2" t="s">
        <v>6</v>
      </c>
      <c r="J228" s="2" t="s">
        <v>5</v>
      </c>
      <c r="K228" s="2" t="s">
        <v>5</v>
      </c>
      <c r="L228" s="2" t="s">
        <v>7</v>
      </c>
      <c r="N228" s="1" t="s">
        <v>2975</v>
      </c>
      <c r="O228" s="2" t="s">
        <v>169</v>
      </c>
      <c r="P228" s="1" t="s">
        <v>568</v>
      </c>
      <c r="Q228" s="2" t="s">
        <v>10</v>
      </c>
      <c r="R228" s="2" t="s">
        <v>1385</v>
      </c>
      <c r="T228" s="2" t="s">
        <v>12</v>
      </c>
      <c r="U228" s="3">
        <v>2</v>
      </c>
      <c r="V228" s="3">
        <v>3</v>
      </c>
      <c r="W228" s="4" t="s">
        <v>2976</v>
      </c>
      <c r="X228" s="4" t="s">
        <v>2976</v>
      </c>
      <c r="Y228" s="4" t="s">
        <v>2984</v>
      </c>
      <c r="Z228" s="4" t="s">
        <v>2976</v>
      </c>
      <c r="AA228" s="3">
        <v>243</v>
      </c>
      <c r="AB228" s="3">
        <v>212</v>
      </c>
      <c r="AC228" s="3">
        <v>481</v>
      </c>
      <c r="AD228" s="3">
        <v>2</v>
      </c>
      <c r="AE228" s="3">
        <v>4</v>
      </c>
      <c r="AF228" s="3">
        <v>5</v>
      </c>
      <c r="AG228" s="3">
        <v>14</v>
      </c>
      <c r="AH228" s="3">
        <v>1</v>
      </c>
      <c r="AI228" s="3">
        <v>4</v>
      </c>
      <c r="AJ228" s="3">
        <v>1</v>
      </c>
      <c r="AK228" s="3">
        <v>2</v>
      </c>
      <c r="AL228" s="3">
        <v>2</v>
      </c>
      <c r="AM228" s="3">
        <v>5</v>
      </c>
      <c r="AN228" s="3">
        <v>1</v>
      </c>
      <c r="AO228" s="3">
        <v>3</v>
      </c>
      <c r="AP228" s="3">
        <v>0</v>
      </c>
      <c r="AQ228" s="3">
        <v>2</v>
      </c>
      <c r="AR228" s="2" t="s">
        <v>5</v>
      </c>
      <c r="AS228" s="2" t="s">
        <v>90</v>
      </c>
      <c r="AT228" s="5" t="str">
        <f>HYPERLINK("http://catalog.hathitrust.org/Record/003247699","HathiTrust Record")</f>
        <v>HathiTrust Record</v>
      </c>
      <c r="AU228" s="5" t="str">
        <f>HYPERLINK("https://creighton-primo.hosted.exlibrisgroup.com/primo-explore/search?tab=default_tab&amp;search_scope=EVERYTHING&amp;vid=01CRU&amp;lang=en_US&amp;offset=0&amp;query=any,contains,991001427389702656","Catalog Record")</f>
        <v>Catalog Record</v>
      </c>
      <c r="AV228" s="5" t="str">
        <f>HYPERLINK("http://www.worldcat.org/oclc/37663546","WorldCat Record")</f>
        <v>WorldCat Record</v>
      </c>
      <c r="AW228" s="2" t="s">
        <v>2977</v>
      </c>
      <c r="AX228" s="2" t="s">
        <v>2978</v>
      </c>
      <c r="AY228" s="2" t="s">
        <v>2979</v>
      </c>
      <c r="AZ228" s="2" t="s">
        <v>2979</v>
      </c>
      <c r="BA228" s="2" t="s">
        <v>2980</v>
      </c>
      <c r="BB228" s="2" t="s">
        <v>19</v>
      </c>
      <c r="BD228" s="2" t="s">
        <v>2981</v>
      </c>
      <c r="BE228" s="2" t="s">
        <v>2985</v>
      </c>
      <c r="BF228" s="2" t="s">
        <v>2986</v>
      </c>
    </row>
    <row r="229" spans="1:58" ht="50.25" customHeight="1" x14ac:dyDescent="0.25">
      <c r="A229" s="8" t="s">
        <v>5</v>
      </c>
      <c r="B229" s="1" t="s">
        <v>0</v>
      </c>
      <c r="C229" s="1" t="s">
        <v>1</v>
      </c>
      <c r="D229" s="1" t="s">
        <v>2987</v>
      </c>
      <c r="E229" s="1" t="s">
        <v>2988</v>
      </c>
      <c r="F229" s="1" t="s">
        <v>2989</v>
      </c>
      <c r="H229" s="2" t="s">
        <v>5</v>
      </c>
      <c r="I229" s="2" t="s">
        <v>6</v>
      </c>
      <c r="J229" s="2" t="s">
        <v>5</v>
      </c>
      <c r="K229" s="2" t="s">
        <v>5</v>
      </c>
      <c r="L229" s="2" t="s">
        <v>7</v>
      </c>
      <c r="N229" s="1" t="s">
        <v>2990</v>
      </c>
      <c r="O229" s="2" t="s">
        <v>228</v>
      </c>
      <c r="Q229" s="2" t="s">
        <v>10</v>
      </c>
      <c r="R229" s="2" t="s">
        <v>77</v>
      </c>
      <c r="T229" s="2" t="s">
        <v>12</v>
      </c>
      <c r="U229" s="3">
        <v>15</v>
      </c>
      <c r="V229" s="3">
        <v>15</v>
      </c>
      <c r="W229" s="4" t="s">
        <v>2951</v>
      </c>
      <c r="X229" s="4" t="s">
        <v>2951</v>
      </c>
      <c r="Y229" s="4" t="s">
        <v>2991</v>
      </c>
      <c r="Z229" s="4" t="s">
        <v>2991</v>
      </c>
      <c r="AA229" s="3">
        <v>251</v>
      </c>
      <c r="AB229" s="3">
        <v>119</v>
      </c>
      <c r="AC229" s="3">
        <v>122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0</v>
      </c>
      <c r="AL229" s="3">
        <v>1</v>
      </c>
      <c r="AM229" s="3">
        <v>1</v>
      </c>
      <c r="AN229" s="3">
        <v>0</v>
      </c>
      <c r="AO229" s="3">
        <v>0</v>
      </c>
      <c r="AP229" s="3">
        <v>0</v>
      </c>
      <c r="AQ229" s="3">
        <v>0</v>
      </c>
      <c r="AR229" s="2" t="s">
        <v>5</v>
      </c>
      <c r="AS229" s="2" t="s">
        <v>90</v>
      </c>
      <c r="AT229" s="5" t="str">
        <f>HYPERLINK("http://catalog.hathitrust.org/Record/001077771","HathiTrust Record")</f>
        <v>HathiTrust Record</v>
      </c>
      <c r="AU229" s="5" t="str">
        <f>HYPERLINK("https://creighton-primo.hosted.exlibrisgroup.com/primo-explore/search?tab=default_tab&amp;search_scope=EVERYTHING&amp;vid=01CRU&amp;lang=en_US&amp;offset=0&amp;query=any,contains,991001108739702656","Catalog Record")</f>
        <v>Catalog Record</v>
      </c>
      <c r="AV229" s="5" t="str">
        <f>HYPERLINK("http://www.worldcat.org/oclc/20017322","WorldCat Record")</f>
        <v>WorldCat Record</v>
      </c>
      <c r="AW229" s="2" t="s">
        <v>2992</v>
      </c>
      <c r="AX229" s="2" t="s">
        <v>2993</v>
      </c>
      <c r="AY229" s="2" t="s">
        <v>2994</v>
      </c>
      <c r="AZ229" s="2" t="s">
        <v>2994</v>
      </c>
      <c r="BA229" s="2" t="s">
        <v>2995</v>
      </c>
      <c r="BB229" s="2" t="s">
        <v>19</v>
      </c>
      <c r="BD229" s="2" t="s">
        <v>2996</v>
      </c>
      <c r="BE229" s="2" t="s">
        <v>2997</v>
      </c>
      <c r="BF229" s="2" t="s">
        <v>2998</v>
      </c>
    </row>
    <row r="230" spans="1:58" ht="50.25" customHeight="1" x14ac:dyDescent="0.25">
      <c r="A230" s="8" t="s">
        <v>5</v>
      </c>
      <c r="B230" s="1" t="s">
        <v>0</v>
      </c>
      <c r="C230" s="1" t="s">
        <v>1</v>
      </c>
      <c r="D230" s="1" t="s">
        <v>2999</v>
      </c>
      <c r="E230" s="1" t="s">
        <v>3000</v>
      </c>
      <c r="F230" s="1" t="s">
        <v>3001</v>
      </c>
      <c r="H230" s="2" t="s">
        <v>5</v>
      </c>
      <c r="I230" s="2" t="s">
        <v>6</v>
      </c>
      <c r="J230" s="2" t="s">
        <v>5</v>
      </c>
      <c r="K230" s="2" t="s">
        <v>5</v>
      </c>
      <c r="L230" s="2" t="s">
        <v>7</v>
      </c>
      <c r="N230" s="1" t="s">
        <v>3002</v>
      </c>
      <c r="O230" s="2" t="s">
        <v>3003</v>
      </c>
      <c r="Q230" s="2" t="s">
        <v>10</v>
      </c>
      <c r="R230" s="2" t="s">
        <v>3004</v>
      </c>
      <c r="S230" s="1" t="s">
        <v>3005</v>
      </c>
      <c r="T230" s="2" t="s">
        <v>12</v>
      </c>
      <c r="U230" s="3">
        <v>12</v>
      </c>
      <c r="V230" s="3">
        <v>12</v>
      </c>
      <c r="W230" s="4" t="s">
        <v>3006</v>
      </c>
      <c r="X230" s="4" t="s">
        <v>3006</v>
      </c>
      <c r="Y230" s="4" t="s">
        <v>2938</v>
      </c>
      <c r="Z230" s="4" t="s">
        <v>2938</v>
      </c>
      <c r="AA230" s="3">
        <v>260</v>
      </c>
      <c r="AB230" s="3">
        <v>191</v>
      </c>
      <c r="AC230" s="3">
        <v>212</v>
      </c>
      <c r="AD230" s="3">
        <v>2</v>
      </c>
      <c r="AE230" s="3">
        <v>2</v>
      </c>
      <c r="AF230" s="3">
        <v>8</v>
      </c>
      <c r="AG230" s="3">
        <v>8</v>
      </c>
      <c r="AH230" s="3">
        <v>1</v>
      </c>
      <c r="AI230" s="3">
        <v>1</v>
      </c>
      <c r="AJ230" s="3">
        <v>0</v>
      </c>
      <c r="AK230" s="3">
        <v>0</v>
      </c>
      <c r="AL230" s="3">
        <v>2</v>
      </c>
      <c r="AM230" s="3">
        <v>2</v>
      </c>
      <c r="AN230" s="3">
        <v>1</v>
      </c>
      <c r="AO230" s="3">
        <v>1</v>
      </c>
      <c r="AP230" s="3">
        <v>5</v>
      </c>
      <c r="AQ230" s="3">
        <v>5</v>
      </c>
      <c r="AR230" s="2" t="s">
        <v>5</v>
      </c>
      <c r="AS230" s="2" t="s">
        <v>90</v>
      </c>
      <c r="AT230" s="5" t="str">
        <f>HYPERLINK("http://catalog.hathitrust.org/Record/000561345","HathiTrust Record")</f>
        <v>HathiTrust Record</v>
      </c>
      <c r="AU230" s="5" t="str">
        <f>HYPERLINK("https://creighton-primo.hosted.exlibrisgroup.com/primo-explore/search?tab=default_tab&amp;search_scope=EVERYTHING&amp;vid=01CRU&amp;lang=en_US&amp;offset=0&amp;query=any,contains,991000725569702656","Catalog Record")</f>
        <v>Catalog Record</v>
      </c>
      <c r="AV230" s="5" t="str">
        <f>HYPERLINK("http://www.worldcat.org/oclc/10403496","WorldCat Record")</f>
        <v>WorldCat Record</v>
      </c>
      <c r="AW230" s="2" t="s">
        <v>3007</v>
      </c>
      <c r="AX230" s="2" t="s">
        <v>3008</v>
      </c>
      <c r="AY230" s="2" t="s">
        <v>3009</v>
      </c>
      <c r="AZ230" s="2" t="s">
        <v>3009</v>
      </c>
      <c r="BA230" s="2" t="s">
        <v>3010</v>
      </c>
      <c r="BB230" s="2" t="s">
        <v>19</v>
      </c>
      <c r="BD230" s="2" t="s">
        <v>3011</v>
      </c>
      <c r="BE230" s="2" t="s">
        <v>3012</v>
      </c>
      <c r="BF230" s="2" t="s">
        <v>3013</v>
      </c>
    </row>
    <row r="231" spans="1:58" ht="50.25" customHeight="1" x14ac:dyDescent="0.25">
      <c r="A231" s="8" t="s">
        <v>5</v>
      </c>
      <c r="B231" s="1" t="s">
        <v>0</v>
      </c>
      <c r="C231" s="1" t="s">
        <v>1</v>
      </c>
      <c r="D231" s="1" t="s">
        <v>3014</v>
      </c>
      <c r="E231" s="1" t="s">
        <v>3015</v>
      </c>
      <c r="F231" s="1" t="s">
        <v>3016</v>
      </c>
      <c r="H231" s="2" t="s">
        <v>5</v>
      </c>
      <c r="I231" s="2" t="s">
        <v>6</v>
      </c>
      <c r="J231" s="2" t="s">
        <v>5</v>
      </c>
      <c r="K231" s="2" t="s">
        <v>5</v>
      </c>
      <c r="L231" s="2" t="s">
        <v>7</v>
      </c>
      <c r="N231" s="1" t="s">
        <v>3017</v>
      </c>
      <c r="O231" s="2" t="s">
        <v>28</v>
      </c>
      <c r="Q231" s="2" t="s">
        <v>10</v>
      </c>
      <c r="R231" s="2" t="s">
        <v>290</v>
      </c>
      <c r="S231" s="1" t="s">
        <v>3018</v>
      </c>
      <c r="T231" s="2" t="s">
        <v>12</v>
      </c>
      <c r="U231" s="3">
        <v>5</v>
      </c>
      <c r="V231" s="3">
        <v>5</v>
      </c>
      <c r="W231" s="4" t="s">
        <v>3019</v>
      </c>
      <c r="X231" s="4" t="s">
        <v>3019</v>
      </c>
      <c r="Y231" s="4" t="s">
        <v>3020</v>
      </c>
      <c r="Z231" s="4" t="s">
        <v>3020</v>
      </c>
      <c r="AA231" s="3">
        <v>281</v>
      </c>
      <c r="AB231" s="3">
        <v>217</v>
      </c>
      <c r="AC231" s="3">
        <v>603</v>
      </c>
      <c r="AD231" s="3">
        <v>2</v>
      </c>
      <c r="AE231" s="3">
        <v>3</v>
      </c>
      <c r="AF231" s="3">
        <v>17</v>
      </c>
      <c r="AG231" s="3">
        <v>25</v>
      </c>
      <c r="AH231" s="3">
        <v>6</v>
      </c>
      <c r="AI231" s="3">
        <v>13</v>
      </c>
      <c r="AJ231" s="3">
        <v>4</v>
      </c>
      <c r="AK231" s="3">
        <v>5</v>
      </c>
      <c r="AL231" s="3">
        <v>11</v>
      </c>
      <c r="AM231" s="3">
        <v>13</v>
      </c>
      <c r="AN231" s="3">
        <v>1</v>
      </c>
      <c r="AO231" s="3">
        <v>2</v>
      </c>
      <c r="AP231" s="3">
        <v>1</v>
      </c>
      <c r="AQ231" s="3">
        <v>1</v>
      </c>
      <c r="AR231" s="2" t="s">
        <v>5</v>
      </c>
      <c r="AS231" s="2" t="s">
        <v>5</v>
      </c>
      <c r="AU231" s="5" t="str">
        <f>HYPERLINK("https://creighton-primo.hosted.exlibrisgroup.com/primo-explore/search?tab=default_tab&amp;search_scope=EVERYTHING&amp;vid=01CRU&amp;lang=en_US&amp;offset=0&amp;query=any,contains,991001109449702656","Catalog Record")</f>
        <v>Catalog Record</v>
      </c>
      <c r="AV231" s="5" t="str">
        <f>HYPERLINK("http://www.worldcat.org/oclc/18136905","WorldCat Record")</f>
        <v>WorldCat Record</v>
      </c>
      <c r="AW231" s="2" t="s">
        <v>3021</v>
      </c>
      <c r="AX231" s="2" t="s">
        <v>3022</v>
      </c>
      <c r="AY231" s="2" t="s">
        <v>3023</v>
      </c>
      <c r="AZ231" s="2" t="s">
        <v>3023</v>
      </c>
      <c r="BA231" s="2" t="s">
        <v>3024</v>
      </c>
      <c r="BB231" s="2" t="s">
        <v>19</v>
      </c>
      <c r="BD231" s="2" t="s">
        <v>3025</v>
      </c>
      <c r="BE231" s="2" t="s">
        <v>3026</v>
      </c>
      <c r="BF231" s="2" t="s">
        <v>3027</v>
      </c>
    </row>
    <row r="232" spans="1:58" ht="50.25" customHeight="1" x14ac:dyDescent="0.25">
      <c r="A232" s="8" t="s">
        <v>5</v>
      </c>
      <c r="B232" s="1" t="s">
        <v>0</v>
      </c>
      <c r="C232" s="1" t="s">
        <v>1</v>
      </c>
      <c r="D232" s="1" t="s">
        <v>3028</v>
      </c>
      <c r="E232" s="1" t="s">
        <v>3029</v>
      </c>
      <c r="F232" s="1" t="s">
        <v>3030</v>
      </c>
      <c r="H232" s="2" t="s">
        <v>5</v>
      </c>
      <c r="I232" s="2" t="s">
        <v>6</v>
      </c>
      <c r="J232" s="2" t="s">
        <v>5</v>
      </c>
      <c r="K232" s="2" t="s">
        <v>5</v>
      </c>
      <c r="L232" s="2" t="s">
        <v>7</v>
      </c>
      <c r="N232" s="1" t="s">
        <v>3031</v>
      </c>
      <c r="O232" s="2" t="s">
        <v>474</v>
      </c>
      <c r="Q232" s="2" t="s">
        <v>10</v>
      </c>
      <c r="R232" s="2" t="s">
        <v>1279</v>
      </c>
      <c r="S232" s="1" t="s">
        <v>3032</v>
      </c>
      <c r="T232" s="2" t="s">
        <v>12</v>
      </c>
      <c r="U232" s="3">
        <v>5</v>
      </c>
      <c r="V232" s="3">
        <v>5</v>
      </c>
      <c r="W232" s="4" t="s">
        <v>3033</v>
      </c>
      <c r="X232" s="4" t="s">
        <v>3033</v>
      </c>
      <c r="Y232" s="4" t="s">
        <v>3034</v>
      </c>
      <c r="Z232" s="4" t="s">
        <v>3034</v>
      </c>
      <c r="AA232" s="3">
        <v>246</v>
      </c>
      <c r="AB232" s="3">
        <v>226</v>
      </c>
      <c r="AC232" s="3">
        <v>232</v>
      </c>
      <c r="AD232" s="3">
        <v>2</v>
      </c>
      <c r="AE232" s="3">
        <v>2</v>
      </c>
      <c r="AF232" s="3">
        <v>9</v>
      </c>
      <c r="AG232" s="3">
        <v>9</v>
      </c>
      <c r="AH232" s="3">
        <v>4</v>
      </c>
      <c r="AI232" s="3">
        <v>4</v>
      </c>
      <c r="AJ232" s="3">
        <v>3</v>
      </c>
      <c r="AK232" s="3">
        <v>3</v>
      </c>
      <c r="AL232" s="3">
        <v>5</v>
      </c>
      <c r="AM232" s="3">
        <v>5</v>
      </c>
      <c r="AN232" s="3">
        <v>1</v>
      </c>
      <c r="AO232" s="3">
        <v>1</v>
      </c>
      <c r="AP232" s="3">
        <v>0</v>
      </c>
      <c r="AQ232" s="3">
        <v>0</v>
      </c>
      <c r="AR232" s="2" t="s">
        <v>5</v>
      </c>
      <c r="AS232" s="2" t="s">
        <v>90</v>
      </c>
      <c r="AT232" s="5" t="str">
        <f>HYPERLINK("http://catalog.hathitrust.org/Record/002451560","HathiTrust Record")</f>
        <v>HathiTrust Record</v>
      </c>
      <c r="AU232" s="5" t="str">
        <f>HYPERLINK("https://creighton-primo.hosted.exlibrisgroup.com/primo-explore/search?tab=default_tab&amp;search_scope=EVERYTHING&amp;vid=01CRU&amp;lang=en_US&amp;offset=0&amp;query=any,contains,991001347139702656","Catalog Record")</f>
        <v>Catalog Record</v>
      </c>
      <c r="AV232" s="5" t="str">
        <f>HYPERLINK("http://www.worldcat.org/oclc/20358394","WorldCat Record")</f>
        <v>WorldCat Record</v>
      </c>
      <c r="AW232" s="2" t="s">
        <v>3035</v>
      </c>
      <c r="AX232" s="2" t="s">
        <v>3036</v>
      </c>
      <c r="AY232" s="2" t="s">
        <v>3037</v>
      </c>
      <c r="AZ232" s="2" t="s">
        <v>3037</v>
      </c>
      <c r="BA232" s="2" t="s">
        <v>3038</v>
      </c>
      <c r="BB232" s="2" t="s">
        <v>19</v>
      </c>
      <c r="BD232" s="2" t="s">
        <v>3039</v>
      </c>
      <c r="BE232" s="2" t="s">
        <v>3040</v>
      </c>
      <c r="BF232" s="2" t="s">
        <v>3041</v>
      </c>
    </row>
    <row r="233" spans="1:58" ht="50.25" customHeight="1" x14ac:dyDescent="0.25">
      <c r="A233" s="8" t="s">
        <v>5</v>
      </c>
      <c r="B233" s="1" t="s">
        <v>0</v>
      </c>
      <c r="C233" s="1" t="s">
        <v>1</v>
      </c>
      <c r="D233" s="1" t="s">
        <v>3042</v>
      </c>
      <c r="E233" s="1" t="s">
        <v>3043</v>
      </c>
      <c r="F233" s="1" t="s">
        <v>3044</v>
      </c>
      <c r="H233" s="2" t="s">
        <v>5</v>
      </c>
      <c r="I233" s="2" t="s">
        <v>6</v>
      </c>
      <c r="J233" s="2" t="s">
        <v>5</v>
      </c>
      <c r="K233" s="2" t="s">
        <v>5</v>
      </c>
      <c r="L233" s="2" t="s">
        <v>7</v>
      </c>
      <c r="M233" s="1" t="s">
        <v>3045</v>
      </c>
      <c r="N233" s="1" t="s">
        <v>3046</v>
      </c>
      <c r="O233" s="2" t="s">
        <v>504</v>
      </c>
      <c r="P233" s="1" t="s">
        <v>3047</v>
      </c>
      <c r="Q233" s="2" t="s">
        <v>10</v>
      </c>
      <c r="R233" s="2" t="s">
        <v>11</v>
      </c>
      <c r="T233" s="2" t="s">
        <v>12</v>
      </c>
      <c r="U233" s="3">
        <v>7</v>
      </c>
      <c r="V233" s="3">
        <v>7</v>
      </c>
      <c r="W233" s="4" t="s">
        <v>3048</v>
      </c>
      <c r="X233" s="4" t="s">
        <v>3048</v>
      </c>
      <c r="Y233" s="4" t="s">
        <v>2938</v>
      </c>
      <c r="Z233" s="4" t="s">
        <v>2938</v>
      </c>
      <c r="AA233" s="3">
        <v>280</v>
      </c>
      <c r="AB233" s="3">
        <v>227</v>
      </c>
      <c r="AC233" s="3">
        <v>618</v>
      </c>
      <c r="AD233" s="3">
        <v>4</v>
      </c>
      <c r="AE233" s="3">
        <v>7</v>
      </c>
      <c r="AF233" s="3">
        <v>13</v>
      </c>
      <c r="AG233" s="3">
        <v>31</v>
      </c>
      <c r="AH233" s="3">
        <v>7</v>
      </c>
      <c r="AI233" s="3">
        <v>14</v>
      </c>
      <c r="AJ233" s="3">
        <v>3</v>
      </c>
      <c r="AK233" s="3">
        <v>7</v>
      </c>
      <c r="AL233" s="3">
        <v>3</v>
      </c>
      <c r="AM233" s="3">
        <v>10</v>
      </c>
      <c r="AN233" s="3">
        <v>3</v>
      </c>
      <c r="AO233" s="3">
        <v>5</v>
      </c>
      <c r="AP233" s="3">
        <v>0</v>
      </c>
      <c r="AQ233" s="3">
        <v>1</v>
      </c>
      <c r="AR233" s="2" t="s">
        <v>5</v>
      </c>
      <c r="AS233" s="2" t="s">
        <v>90</v>
      </c>
      <c r="AT233" s="5" t="str">
        <f>HYPERLINK("http://catalog.hathitrust.org/Record/000024665","HathiTrust Record")</f>
        <v>HathiTrust Record</v>
      </c>
      <c r="AU233" s="5" t="str">
        <f>HYPERLINK("https://creighton-primo.hosted.exlibrisgroup.com/primo-explore/search?tab=default_tab&amp;search_scope=EVERYTHING&amp;vid=01CRU&amp;lang=en_US&amp;offset=0&amp;query=any,contains,991000725729702656","Catalog Record")</f>
        <v>Catalog Record</v>
      </c>
      <c r="AV233" s="5" t="str">
        <f>HYPERLINK("http://www.worldcat.org/oclc/4114574","WorldCat Record")</f>
        <v>WorldCat Record</v>
      </c>
      <c r="AW233" s="2" t="s">
        <v>3049</v>
      </c>
      <c r="AX233" s="2" t="s">
        <v>3050</v>
      </c>
      <c r="AY233" s="2" t="s">
        <v>3051</v>
      </c>
      <c r="AZ233" s="2" t="s">
        <v>3051</v>
      </c>
      <c r="BA233" s="2" t="s">
        <v>3052</v>
      </c>
      <c r="BB233" s="2" t="s">
        <v>19</v>
      </c>
      <c r="BD233" s="2" t="s">
        <v>3053</v>
      </c>
      <c r="BE233" s="2" t="s">
        <v>3054</v>
      </c>
      <c r="BF233" s="2" t="s">
        <v>3055</v>
      </c>
    </row>
    <row r="234" spans="1:58" ht="50.25" customHeight="1" x14ac:dyDescent="0.25">
      <c r="A234" s="8" t="s">
        <v>5</v>
      </c>
      <c r="B234" s="1" t="s">
        <v>0</v>
      </c>
      <c r="C234" s="1" t="s">
        <v>1</v>
      </c>
      <c r="D234" s="1" t="s">
        <v>3056</v>
      </c>
      <c r="E234" s="1" t="s">
        <v>3057</v>
      </c>
      <c r="F234" s="1" t="s">
        <v>3058</v>
      </c>
      <c r="H234" s="2" t="s">
        <v>5</v>
      </c>
      <c r="I234" s="2" t="s">
        <v>6</v>
      </c>
      <c r="J234" s="2" t="s">
        <v>5</v>
      </c>
      <c r="K234" s="2" t="s">
        <v>90</v>
      </c>
      <c r="L234" s="2" t="s">
        <v>6</v>
      </c>
      <c r="N234" s="1" t="s">
        <v>3059</v>
      </c>
      <c r="O234" s="2" t="s">
        <v>489</v>
      </c>
      <c r="P234" s="1" t="s">
        <v>568</v>
      </c>
      <c r="Q234" s="2" t="s">
        <v>10</v>
      </c>
      <c r="R234" s="2" t="s">
        <v>11</v>
      </c>
      <c r="T234" s="2" t="s">
        <v>12</v>
      </c>
      <c r="U234" s="3">
        <v>5</v>
      </c>
      <c r="V234" s="3">
        <v>5</v>
      </c>
      <c r="W234" s="4" t="s">
        <v>3060</v>
      </c>
      <c r="X234" s="4" t="s">
        <v>3060</v>
      </c>
      <c r="Y234" s="4" t="s">
        <v>3061</v>
      </c>
      <c r="Z234" s="4" t="s">
        <v>3061</v>
      </c>
      <c r="AA234" s="3">
        <v>140</v>
      </c>
      <c r="AB234" s="3">
        <v>122</v>
      </c>
      <c r="AC234" s="3">
        <v>926</v>
      </c>
      <c r="AD234" s="3">
        <v>1</v>
      </c>
      <c r="AE234" s="3">
        <v>16</v>
      </c>
      <c r="AF234" s="3">
        <v>2</v>
      </c>
      <c r="AG234" s="3">
        <v>36</v>
      </c>
      <c r="AH234" s="3">
        <v>0</v>
      </c>
      <c r="AI234" s="3">
        <v>8</v>
      </c>
      <c r="AJ234" s="3">
        <v>1</v>
      </c>
      <c r="AK234" s="3">
        <v>8</v>
      </c>
      <c r="AL234" s="3">
        <v>1</v>
      </c>
      <c r="AM234" s="3">
        <v>8</v>
      </c>
      <c r="AN234" s="3">
        <v>0</v>
      </c>
      <c r="AO234" s="3">
        <v>12</v>
      </c>
      <c r="AP234" s="3">
        <v>0</v>
      </c>
      <c r="AQ234" s="3">
        <v>4</v>
      </c>
      <c r="AR234" s="2" t="s">
        <v>5</v>
      </c>
      <c r="AS234" s="2" t="s">
        <v>5</v>
      </c>
      <c r="AU234" s="5" t="str">
        <f>HYPERLINK("https://creighton-primo.hosted.exlibrisgroup.com/primo-explore/search?tab=default_tab&amp;search_scope=EVERYTHING&amp;vid=01CRU&amp;lang=en_US&amp;offset=0&amp;query=any,contains,991000318799702656","Catalog Record")</f>
        <v>Catalog Record</v>
      </c>
      <c r="AV234" s="5" t="str">
        <f>HYPERLINK("http://www.worldcat.org/oclc/64389654","WorldCat Record")</f>
        <v>WorldCat Record</v>
      </c>
      <c r="AW234" s="2" t="s">
        <v>3062</v>
      </c>
      <c r="AX234" s="2" t="s">
        <v>3063</v>
      </c>
      <c r="AY234" s="2" t="s">
        <v>3064</v>
      </c>
      <c r="AZ234" s="2" t="s">
        <v>3064</v>
      </c>
      <c r="BA234" s="2" t="s">
        <v>3065</v>
      </c>
      <c r="BB234" s="2" t="s">
        <v>19</v>
      </c>
      <c r="BD234" s="2" t="s">
        <v>3066</v>
      </c>
      <c r="BE234" s="2" t="s">
        <v>3067</v>
      </c>
      <c r="BF234" s="2" t="s">
        <v>3068</v>
      </c>
    </row>
    <row r="235" spans="1:58" ht="50.25" customHeight="1" x14ac:dyDescent="0.25">
      <c r="A235" s="8" t="s">
        <v>5</v>
      </c>
      <c r="B235" s="1" t="s">
        <v>0</v>
      </c>
      <c r="C235" s="1" t="s">
        <v>1</v>
      </c>
      <c r="D235" s="1" t="s">
        <v>3069</v>
      </c>
      <c r="E235" s="1" t="s">
        <v>3070</v>
      </c>
      <c r="F235" s="1" t="s">
        <v>3071</v>
      </c>
      <c r="H235" s="2" t="s">
        <v>5</v>
      </c>
      <c r="I235" s="2" t="s">
        <v>6</v>
      </c>
      <c r="J235" s="2" t="s">
        <v>5</v>
      </c>
      <c r="K235" s="2" t="s">
        <v>5</v>
      </c>
      <c r="L235" s="2" t="s">
        <v>7</v>
      </c>
      <c r="M235" s="1" t="s">
        <v>3072</v>
      </c>
      <c r="N235" s="1" t="s">
        <v>3073</v>
      </c>
      <c r="O235" s="2" t="s">
        <v>28</v>
      </c>
      <c r="Q235" s="2" t="s">
        <v>10</v>
      </c>
      <c r="R235" s="2" t="s">
        <v>29</v>
      </c>
      <c r="T235" s="2" t="s">
        <v>12</v>
      </c>
      <c r="U235" s="3">
        <v>14</v>
      </c>
      <c r="V235" s="3">
        <v>14</v>
      </c>
      <c r="W235" s="4" t="s">
        <v>231</v>
      </c>
      <c r="X235" s="4" t="s">
        <v>231</v>
      </c>
      <c r="Y235" s="4" t="s">
        <v>3074</v>
      </c>
      <c r="Z235" s="4" t="s">
        <v>3074</v>
      </c>
      <c r="AA235" s="3">
        <v>644</v>
      </c>
      <c r="AB235" s="3">
        <v>550</v>
      </c>
      <c r="AC235" s="3">
        <v>570</v>
      </c>
      <c r="AD235" s="3">
        <v>4</v>
      </c>
      <c r="AE235" s="3">
        <v>4</v>
      </c>
      <c r="AF235" s="3">
        <v>21</v>
      </c>
      <c r="AG235" s="3">
        <v>21</v>
      </c>
      <c r="AH235" s="3">
        <v>8</v>
      </c>
      <c r="AI235" s="3">
        <v>8</v>
      </c>
      <c r="AJ235" s="3">
        <v>5</v>
      </c>
      <c r="AK235" s="3">
        <v>5</v>
      </c>
      <c r="AL235" s="3">
        <v>12</v>
      </c>
      <c r="AM235" s="3">
        <v>12</v>
      </c>
      <c r="AN235" s="3">
        <v>3</v>
      </c>
      <c r="AO235" s="3">
        <v>3</v>
      </c>
      <c r="AP235" s="3">
        <v>0</v>
      </c>
      <c r="AQ235" s="3">
        <v>0</v>
      </c>
      <c r="AR235" s="2" t="s">
        <v>5</v>
      </c>
      <c r="AS235" s="2" t="s">
        <v>5</v>
      </c>
      <c r="AU235" s="5" t="str">
        <f>HYPERLINK("https://creighton-primo.hosted.exlibrisgroup.com/primo-explore/search?tab=default_tab&amp;search_scope=EVERYTHING&amp;vid=01CRU&amp;lang=en_US&amp;offset=0&amp;query=any,contains,991001316539702656","Catalog Record")</f>
        <v>Catalog Record</v>
      </c>
      <c r="AV235" s="5" t="str">
        <f>HYPERLINK("http://www.worldcat.org/oclc/18414184","WorldCat Record")</f>
        <v>WorldCat Record</v>
      </c>
      <c r="AW235" s="2" t="s">
        <v>3075</v>
      </c>
      <c r="AX235" s="2" t="s">
        <v>3076</v>
      </c>
      <c r="AY235" s="2" t="s">
        <v>3077</v>
      </c>
      <c r="AZ235" s="2" t="s">
        <v>3077</v>
      </c>
      <c r="BA235" s="2" t="s">
        <v>3078</v>
      </c>
      <c r="BB235" s="2" t="s">
        <v>19</v>
      </c>
      <c r="BD235" s="2" t="s">
        <v>3079</v>
      </c>
      <c r="BE235" s="2" t="s">
        <v>3080</v>
      </c>
      <c r="BF235" s="2" t="s">
        <v>3081</v>
      </c>
    </row>
    <row r="236" spans="1:58" ht="50.25" customHeight="1" x14ac:dyDescent="0.25">
      <c r="A236" s="8" t="s">
        <v>5</v>
      </c>
      <c r="B236" s="1" t="s">
        <v>0</v>
      </c>
      <c r="C236" s="1" t="s">
        <v>1</v>
      </c>
      <c r="D236" s="1" t="s">
        <v>3082</v>
      </c>
      <c r="E236" s="1" t="s">
        <v>3083</v>
      </c>
      <c r="F236" s="1" t="s">
        <v>3084</v>
      </c>
      <c r="H236" s="2" t="s">
        <v>5</v>
      </c>
      <c r="I236" s="2" t="s">
        <v>6</v>
      </c>
      <c r="J236" s="2" t="s">
        <v>5</v>
      </c>
      <c r="K236" s="2" t="s">
        <v>5</v>
      </c>
      <c r="L236" s="2" t="s">
        <v>7</v>
      </c>
      <c r="M236" s="1" t="s">
        <v>3085</v>
      </c>
      <c r="N236" s="1" t="s">
        <v>3086</v>
      </c>
      <c r="O236" s="2" t="s">
        <v>596</v>
      </c>
      <c r="Q236" s="2" t="s">
        <v>10</v>
      </c>
      <c r="R236" s="2" t="s">
        <v>29</v>
      </c>
      <c r="T236" s="2" t="s">
        <v>12</v>
      </c>
      <c r="U236" s="3">
        <v>9</v>
      </c>
      <c r="V236" s="3">
        <v>9</v>
      </c>
      <c r="W236" s="4" t="s">
        <v>3087</v>
      </c>
      <c r="X236" s="4" t="s">
        <v>3087</v>
      </c>
      <c r="Y236" s="4" t="s">
        <v>3088</v>
      </c>
      <c r="Z236" s="4" t="s">
        <v>3088</v>
      </c>
      <c r="AA236" s="3">
        <v>135</v>
      </c>
      <c r="AB236" s="3">
        <v>114</v>
      </c>
      <c r="AC236" s="3">
        <v>119</v>
      </c>
      <c r="AD236" s="3">
        <v>3</v>
      </c>
      <c r="AE236" s="3">
        <v>3</v>
      </c>
      <c r="AF236" s="3">
        <v>5</v>
      </c>
      <c r="AG236" s="3">
        <v>5</v>
      </c>
      <c r="AH236" s="3">
        <v>0</v>
      </c>
      <c r="AI236" s="3">
        <v>0</v>
      </c>
      <c r="AJ236" s="3">
        <v>1</v>
      </c>
      <c r="AK236" s="3">
        <v>1</v>
      </c>
      <c r="AL236" s="3">
        <v>0</v>
      </c>
      <c r="AM236" s="3">
        <v>0</v>
      </c>
      <c r="AN236" s="3">
        <v>2</v>
      </c>
      <c r="AO236" s="3">
        <v>2</v>
      </c>
      <c r="AP236" s="3">
        <v>2</v>
      </c>
      <c r="AQ236" s="3">
        <v>2</v>
      </c>
      <c r="AR236" s="2" t="s">
        <v>5</v>
      </c>
      <c r="AS236" s="2" t="s">
        <v>5</v>
      </c>
      <c r="AU236" s="5" t="str">
        <f>HYPERLINK("https://creighton-primo.hosted.exlibrisgroup.com/primo-explore/search?tab=default_tab&amp;search_scope=EVERYTHING&amp;vid=01CRU&amp;lang=en_US&amp;offset=0&amp;query=any,contains,991001539419702656","Catalog Record")</f>
        <v>Catalog Record</v>
      </c>
      <c r="AV236" s="5" t="str">
        <f>HYPERLINK("http://www.worldcat.org/oclc/16831935","WorldCat Record")</f>
        <v>WorldCat Record</v>
      </c>
      <c r="AW236" s="2" t="s">
        <v>3089</v>
      </c>
      <c r="AX236" s="2" t="s">
        <v>3090</v>
      </c>
      <c r="AY236" s="2" t="s">
        <v>3091</v>
      </c>
      <c r="AZ236" s="2" t="s">
        <v>3091</v>
      </c>
      <c r="BA236" s="2" t="s">
        <v>3092</v>
      </c>
      <c r="BB236" s="2" t="s">
        <v>19</v>
      </c>
      <c r="BD236" s="2" t="s">
        <v>3093</v>
      </c>
      <c r="BE236" s="2" t="s">
        <v>3094</v>
      </c>
      <c r="BF236" s="2" t="s">
        <v>3095</v>
      </c>
    </row>
    <row r="237" spans="1:58" ht="50.25" customHeight="1" x14ac:dyDescent="0.25">
      <c r="A237" s="8" t="s">
        <v>5</v>
      </c>
      <c r="B237" s="1" t="s">
        <v>0</v>
      </c>
      <c r="C237" s="1" t="s">
        <v>1</v>
      </c>
      <c r="D237" s="1" t="s">
        <v>3096</v>
      </c>
      <c r="E237" s="1" t="s">
        <v>3097</v>
      </c>
      <c r="F237" s="1" t="s">
        <v>3098</v>
      </c>
      <c r="H237" s="2" t="s">
        <v>5</v>
      </c>
      <c r="I237" s="2" t="s">
        <v>6</v>
      </c>
      <c r="J237" s="2" t="s">
        <v>90</v>
      </c>
      <c r="K237" s="2" t="s">
        <v>5</v>
      </c>
      <c r="L237" s="2" t="s">
        <v>7</v>
      </c>
      <c r="M237" s="1" t="s">
        <v>3099</v>
      </c>
      <c r="N237" s="1" t="s">
        <v>3100</v>
      </c>
      <c r="O237" s="2" t="s">
        <v>504</v>
      </c>
      <c r="Q237" s="2" t="s">
        <v>10</v>
      </c>
      <c r="R237" s="2" t="s">
        <v>29</v>
      </c>
      <c r="T237" s="2" t="s">
        <v>12</v>
      </c>
      <c r="U237" s="3">
        <v>3</v>
      </c>
      <c r="V237" s="3">
        <v>3</v>
      </c>
      <c r="W237" s="4" t="s">
        <v>3101</v>
      </c>
      <c r="X237" s="4" t="s">
        <v>3101</v>
      </c>
      <c r="Y237" s="4" t="s">
        <v>2938</v>
      </c>
      <c r="Z237" s="4" t="s">
        <v>2938</v>
      </c>
      <c r="AA237" s="3">
        <v>968</v>
      </c>
      <c r="AB237" s="3">
        <v>880</v>
      </c>
      <c r="AC237" s="3">
        <v>891</v>
      </c>
      <c r="AD237" s="3">
        <v>12</v>
      </c>
      <c r="AE237" s="3">
        <v>12</v>
      </c>
      <c r="AF237" s="3">
        <v>29</v>
      </c>
      <c r="AG237" s="3">
        <v>29</v>
      </c>
      <c r="AH237" s="3">
        <v>8</v>
      </c>
      <c r="AI237" s="3">
        <v>8</v>
      </c>
      <c r="AJ237" s="3">
        <v>5</v>
      </c>
      <c r="AK237" s="3">
        <v>5</v>
      </c>
      <c r="AL237" s="3">
        <v>10</v>
      </c>
      <c r="AM237" s="3">
        <v>10</v>
      </c>
      <c r="AN237" s="3">
        <v>7</v>
      </c>
      <c r="AO237" s="3">
        <v>7</v>
      </c>
      <c r="AP237" s="3">
        <v>4</v>
      </c>
      <c r="AQ237" s="3">
        <v>4</v>
      </c>
      <c r="AR237" s="2" t="s">
        <v>5</v>
      </c>
      <c r="AS237" s="2" t="s">
        <v>90</v>
      </c>
      <c r="AT237" s="5" t="str">
        <f>HYPERLINK("http://catalog.hathitrust.org/Record/000029222","HathiTrust Record")</f>
        <v>HathiTrust Record</v>
      </c>
      <c r="AU237" s="5" t="str">
        <f>HYPERLINK("https://creighton-primo.hosted.exlibrisgroup.com/primo-explore/search?tab=default_tab&amp;search_scope=EVERYTHING&amp;vid=01CRU&amp;lang=en_US&amp;offset=0&amp;query=any,contains,991000726049702656","Catalog Record")</f>
        <v>Catalog Record</v>
      </c>
      <c r="AV237" s="5" t="str">
        <f>HYPERLINK("http://www.worldcat.org/oclc/5147388","WorldCat Record")</f>
        <v>WorldCat Record</v>
      </c>
      <c r="AW237" s="2" t="s">
        <v>3102</v>
      </c>
      <c r="AX237" s="2" t="s">
        <v>3103</v>
      </c>
      <c r="AY237" s="2" t="s">
        <v>3104</v>
      </c>
      <c r="AZ237" s="2" t="s">
        <v>3104</v>
      </c>
      <c r="BA237" s="2" t="s">
        <v>3105</v>
      </c>
      <c r="BB237" s="2" t="s">
        <v>19</v>
      </c>
      <c r="BD237" s="2" t="s">
        <v>3106</v>
      </c>
      <c r="BE237" s="2" t="s">
        <v>3107</v>
      </c>
      <c r="BF237" s="2" t="s">
        <v>3108</v>
      </c>
    </row>
    <row r="238" spans="1:58" ht="50.25" customHeight="1" x14ac:dyDescent="0.25">
      <c r="A238" s="8" t="s">
        <v>5</v>
      </c>
      <c r="B238" s="1" t="s">
        <v>0</v>
      </c>
      <c r="C238" s="1" t="s">
        <v>1</v>
      </c>
      <c r="D238" s="1" t="s">
        <v>3109</v>
      </c>
      <c r="E238" s="1" t="s">
        <v>3110</v>
      </c>
      <c r="F238" s="1" t="s">
        <v>3111</v>
      </c>
      <c r="H238" s="2" t="s">
        <v>5</v>
      </c>
      <c r="I238" s="2" t="s">
        <v>6</v>
      </c>
      <c r="J238" s="2" t="s">
        <v>5</v>
      </c>
      <c r="K238" s="2" t="s">
        <v>5</v>
      </c>
      <c r="L238" s="2" t="s">
        <v>7</v>
      </c>
      <c r="N238" s="1" t="s">
        <v>3112</v>
      </c>
      <c r="O238" s="2" t="s">
        <v>489</v>
      </c>
      <c r="Q238" s="2" t="s">
        <v>10</v>
      </c>
      <c r="R238" s="2" t="s">
        <v>1150</v>
      </c>
      <c r="T238" s="2" t="s">
        <v>12</v>
      </c>
      <c r="U238" s="3">
        <v>0</v>
      </c>
      <c r="V238" s="3">
        <v>0</v>
      </c>
      <c r="W238" s="4" t="s">
        <v>1702</v>
      </c>
      <c r="X238" s="4" t="s">
        <v>1702</v>
      </c>
      <c r="Y238" s="4" t="s">
        <v>336</v>
      </c>
      <c r="Z238" s="4" t="s">
        <v>336</v>
      </c>
      <c r="AA238" s="3">
        <v>63</v>
      </c>
      <c r="AB238" s="3">
        <v>62</v>
      </c>
      <c r="AC238" s="3">
        <v>62</v>
      </c>
      <c r="AD238" s="3">
        <v>1</v>
      </c>
      <c r="AE238" s="3">
        <v>1</v>
      </c>
      <c r="AF238" s="3">
        <v>2</v>
      </c>
      <c r="AG238" s="3">
        <v>2</v>
      </c>
      <c r="AH238" s="3">
        <v>1</v>
      </c>
      <c r="AI238" s="3">
        <v>1</v>
      </c>
      <c r="AJ238" s="3">
        <v>1</v>
      </c>
      <c r="AK238" s="3">
        <v>1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2" t="s">
        <v>5</v>
      </c>
      <c r="AS238" s="2" t="s">
        <v>5</v>
      </c>
      <c r="AU238" s="5" t="str">
        <f>HYPERLINK("https://creighton-primo.hosted.exlibrisgroup.com/primo-explore/search?tab=default_tab&amp;search_scope=EVERYTHING&amp;vid=01CRU&amp;lang=en_US&amp;offset=0&amp;query=any,contains,991000371039702656","Catalog Record")</f>
        <v>Catalog Record</v>
      </c>
      <c r="AV238" s="5" t="str">
        <f>HYPERLINK("http://www.worldcat.org/oclc/45274750","WorldCat Record")</f>
        <v>WorldCat Record</v>
      </c>
      <c r="AW238" s="2" t="s">
        <v>3113</v>
      </c>
      <c r="AX238" s="2" t="s">
        <v>3114</v>
      </c>
      <c r="AY238" s="2" t="s">
        <v>3115</v>
      </c>
      <c r="AZ238" s="2" t="s">
        <v>3115</v>
      </c>
      <c r="BA238" s="2" t="s">
        <v>3116</v>
      </c>
      <c r="BB238" s="2" t="s">
        <v>19</v>
      </c>
      <c r="BD238" s="2" t="s">
        <v>3117</v>
      </c>
      <c r="BE238" s="2" t="s">
        <v>3118</v>
      </c>
      <c r="BF238" s="2" t="s">
        <v>3119</v>
      </c>
    </row>
    <row r="239" spans="1:58" ht="50.25" customHeight="1" x14ac:dyDescent="0.25">
      <c r="A239" s="8" t="s">
        <v>5</v>
      </c>
      <c r="B239" s="1" t="s">
        <v>0</v>
      </c>
      <c r="C239" s="1" t="s">
        <v>1</v>
      </c>
      <c r="D239" s="1" t="s">
        <v>3120</v>
      </c>
      <c r="E239" s="1" t="s">
        <v>3121</v>
      </c>
      <c r="F239" s="1" t="s">
        <v>3122</v>
      </c>
      <c r="H239" s="2" t="s">
        <v>5</v>
      </c>
      <c r="I239" s="2" t="s">
        <v>6</v>
      </c>
      <c r="J239" s="2" t="s">
        <v>90</v>
      </c>
      <c r="K239" s="2" t="s">
        <v>5</v>
      </c>
      <c r="L239" s="2" t="s">
        <v>7</v>
      </c>
      <c r="N239" s="1" t="s">
        <v>3123</v>
      </c>
      <c r="O239" s="2" t="s">
        <v>228</v>
      </c>
      <c r="Q239" s="2" t="s">
        <v>10</v>
      </c>
      <c r="R239" s="2" t="s">
        <v>29</v>
      </c>
      <c r="T239" s="2" t="s">
        <v>12</v>
      </c>
      <c r="U239" s="3">
        <v>16</v>
      </c>
      <c r="V239" s="3">
        <v>16</v>
      </c>
      <c r="W239" s="4" t="s">
        <v>2339</v>
      </c>
      <c r="X239" s="4" t="s">
        <v>2339</v>
      </c>
      <c r="Y239" s="4" t="s">
        <v>3124</v>
      </c>
      <c r="Z239" s="4" t="s">
        <v>3124</v>
      </c>
      <c r="AA239" s="3">
        <v>550</v>
      </c>
      <c r="AB239" s="3">
        <v>466</v>
      </c>
      <c r="AC239" s="3">
        <v>474</v>
      </c>
      <c r="AD239" s="3">
        <v>7</v>
      </c>
      <c r="AE239" s="3">
        <v>7</v>
      </c>
      <c r="AF239" s="3">
        <v>20</v>
      </c>
      <c r="AG239" s="3">
        <v>20</v>
      </c>
      <c r="AH239" s="3">
        <v>4</v>
      </c>
      <c r="AI239" s="3">
        <v>4</v>
      </c>
      <c r="AJ239" s="3">
        <v>4</v>
      </c>
      <c r="AK239" s="3">
        <v>4</v>
      </c>
      <c r="AL239" s="3">
        <v>10</v>
      </c>
      <c r="AM239" s="3">
        <v>10</v>
      </c>
      <c r="AN239" s="3">
        <v>5</v>
      </c>
      <c r="AO239" s="3">
        <v>5</v>
      </c>
      <c r="AP239" s="3">
        <v>0</v>
      </c>
      <c r="AQ239" s="3">
        <v>0</v>
      </c>
      <c r="AR239" s="2" t="s">
        <v>5</v>
      </c>
      <c r="AS239" s="2" t="s">
        <v>90</v>
      </c>
      <c r="AT239" s="5" t="str">
        <f>HYPERLINK("http://catalog.hathitrust.org/Record/000928096","HathiTrust Record")</f>
        <v>HathiTrust Record</v>
      </c>
      <c r="AU239" s="5" t="str">
        <f>HYPERLINK("https://creighton-primo.hosted.exlibrisgroup.com/primo-explore/search?tab=default_tab&amp;search_scope=EVERYTHING&amp;vid=01CRU&amp;lang=en_US&amp;offset=0&amp;query=any,contains,991001424899702656","Catalog Record")</f>
        <v>Catalog Record</v>
      </c>
      <c r="AV239" s="5" t="str">
        <f>HYPERLINK("http://www.worldcat.org/oclc/17300245","WorldCat Record")</f>
        <v>WorldCat Record</v>
      </c>
      <c r="AW239" s="2" t="s">
        <v>3125</v>
      </c>
      <c r="AX239" s="2" t="s">
        <v>3126</v>
      </c>
      <c r="AY239" s="2" t="s">
        <v>3127</v>
      </c>
      <c r="AZ239" s="2" t="s">
        <v>3127</v>
      </c>
      <c r="BA239" s="2" t="s">
        <v>3128</v>
      </c>
      <c r="BB239" s="2" t="s">
        <v>19</v>
      </c>
      <c r="BD239" s="2" t="s">
        <v>3129</v>
      </c>
      <c r="BE239" s="2" t="s">
        <v>3130</v>
      </c>
      <c r="BF239" s="2" t="s">
        <v>3131</v>
      </c>
    </row>
    <row r="240" spans="1:58" ht="50.25" customHeight="1" x14ac:dyDescent="0.25">
      <c r="A240" s="8" t="s">
        <v>5</v>
      </c>
      <c r="B240" s="1" t="s">
        <v>0</v>
      </c>
      <c r="C240" s="1" t="s">
        <v>1</v>
      </c>
      <c r="D240" s="1" t="s">
        <v>3132</v>
      </c>
      <c r="E240" s="1" t="s">
        <v>3133</v>
      </c>
      <c r="F240" s="1" t="s">
        <v>3134</v>
      </c>
      <c r="H240" s="2" t="s">
        <v>5</v>
      </c>
      <c r="I240" s="2" t="s">
        <v>6</v>
      </c>
      <c r="J240" s="2" t="s">
        <v>5</v>
      </c>
      <c r="K240" s="2" t="s">
        <v>5</v>
      </c>
      <c r="L240" s="2" t="s">
        <v>7</v>
      </c>
      <c r="M240" s="1" t="s">
        <v>3135</v>
      </c>
      <c r="N240" s="1" t="s">
        <v>3136</v>
      </c>
      <c r="O240" s="2" t="s">
        <v>474</v>
      </c>
      <c r="Q240" s="2" t="s">
        <v>10</v>
      </c>
      <c r="R240" s="2" t="s">
        <v>1343</v>
      </c>
      <c r="T240" s="2" t="s">
        <v>12</v>
      </c>
      <c r="U240" s="3">
        <v>7</v>
      </c>
      <c r="V240" s="3">
        <v>7</v>
      </c>
      <c r="W240" s="4" t="s">
        <v>733</v>
      </c>
      <c r="X240" s="4" t="s">
        <v>733</v>
      </c>
      <c r="Y240" s="4" t="s">
        <v>3137</v>
      </c>
      <c r="Z240" s="4" t="s">
        <v>3137</v>
      </c>
      <c r="AA240" s="3">
        <v>20</v>
      </c>
      <c r="AB240" s="3">
        <v>19</v>
      </c>
      <c r="AC240" s="3">
        <v>19</v>
      </c>
      <c r="AD240" s="3">
        <v>1</v>
      </c>
      <c r="AE240" s="3">
        <v>1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2" t="s">
        <v>5</v>
      </c>
      <c r="AS240" s="2" t="s">
        <v>5</v>
      </c>
      <c r="AU240" s="5" t="str">
        <f>HYPERLINK("https://creighton-primo.hosted.exlibrisgroup.com/primo-explore/search?tab=default_tab&amp;search_scope=EVERYTHING&amp;vid=01CRU&amp;lang=en_US&amp;offset=0&amp;query=any,contains,991001549759702656","Catalog Record")</f>
        <v>Catalog Record</v>
      </c>
      <c r="AV240" s="5" t="str">
        <f>HYPERLINK("http://www.worldcat.org/oclc/22651558","WorldCat Record")</f>
        <v>WorldCat Record</v>
      </c>
      <c r="AW240" s="2" t="s">
        <v>3138</v>
      </c>
      <c r="AX240" s="2" t="s">
        <v>3139</v>
      </c>
      <c r="AY240" s="2" t="s">
        <v>3140</v>
      </c>
      <c r="AZ240" s="2" t="s">
        <v>3140</v>
      </c>
      <c r="BA240" s="2" t="s">
        <v>3141</v>
      </c>
      <c r="BB240" s="2" t="s">
        <v>19</v>
      </c>
      <c r="BE240" s="2" t="s">
        <v>3142</v>
      </c>
      <c r="BF240" s="2" t="s">
        <v>3143</v>
      </c>
    </row>
    <row r="241" spans="1:58" ht="50.25" customHeight="1" x14ac:dyDescent="0.25">
      <c r="A241" s="8" t="s">
        <v>5</v>
      </c>
      <c r="B241" s="1" t="s">
        <v>0</v>
      </c>
      <c r="C241" s="1" t="s">
        <v>1</v>
      </c>
      <c r="D241" s="1" t="s">
        <v>3144</v>
      </c>
      <c r="E241" s="1" t="s">
        <v>3145</v>
      </c>
      <c r="F241" s="1" t="s">
        <v>3146</v>
      </c>
      <c r="H241" s="2" t="s">
        <v>5</v>
      </c>
      <c r="I241" s="2" t="s">
        <v>6</v>
      </c>
      <c r="J241" s="2" t="s">
        <v>5</v>
      </c>
      <c r="K241" s="2" t="s">
        <v>5</v>
      </c>
      <c r="L241" s="2" t="s">
        <v>7</v>
      </c>
      <c r="N241" s="1" t="s">
        <v>3147</v>
      </c>
      <c r="O241" s="2" t="s">
        <v>474</v>
      </c>
      <c r="Q241" s="2" t="s">
        <v>10</v>
      </c>
      <c r="R241" s="2" t="s">
        <v>1268</v>
      </c>
      <c r="T241" s="2" t="s">
        <v>12</v>
      </c>
      <c r="U241" s="3">
        <v>4</v>
      </c>
      <c r="V241" s="3">
        <v>4</v>
      </c>
      <c r="W241" s="4" t="s">
        <v>3148</v>
      </c>
      <c r="X241" s="4" t="s">
        <v>3148</v>
      </c>
      <c r="Y241" s="4" t="s">
        <v>3149</v>
      </c>
      <c r="Z241" s="4" t="s">
        <v>3149</v>
      </c>
      <c r="AA241" s="3">
        <v>4</v>
      </c>
      <c r="AB241" s="3">
        <v>4</v>
      </c>
      <c r="AC241" s="3">
        <v>4</v>
      </c>
      <c r="AD241" s="3">
        <v>1</v>
      </c>
      <c r="AE241" s="3">
        <v>1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2" t="s">
        <v>5</v>
      </c>
      <c r="AS241" s="2" t="s">
        <v>5</v>
      </c>
      <c r="AU241" s="5" t="str">
        <f>HYPERLINK("https://creighton-primo.hosted.exlibrisgroup.com/primo-explore/search?tab=default_tab&amp;search_scope=EVERYTHING&amp;vid=01CRU&amp;lang=en_US&amp;offset=0&amp;query=any,contains,991000949669702656","Catalog Record")</f>
        <v>Catalog Record</v>
      </c>
      <c r="AV241" s="5" t="str">
        <f>HYPERLINK("http://www.worldcat.org/oclc/25108014","WorldCat Record")</f>
        <v>WorldCat Record</v>
      </c>
      <c r="AW241" s="2" t="s">
        <v>3150</v>
      </c>
      <c r="AX241" s="2" t="s">
        <v>3151</v>
      </c>
      <c r="AY241" s="2" t="s">
        <v>3152</v>
      </c>
      <c r="AZ241" s="2" t="s">
        <v>3152</v>
      </c>
      <c r="BA241" s="2" t="s">
        <v>3153</v>
      </c>
      <c r="BB241" s="2" t="s">
        <v>19</v>
      </c>
      <c r="BE241" s="2" t="s">
        <v>3154</v>
      </c>
      <c r="BF241" s="2" t="s">
        <v>3155</v>
      </c>
    </row>
    <row r="242" spans="1:58" ht="50.25" customHeight="1" x14ac:dyDescent="0.25">
      <c r="A242" s="8" t="s">
        <v>5</v>
      </c>
      <c r="B242" s="1" t="s">
        <v>0</v>
      </c>
      <c r="C242" s="1" t="s">
        <v>1</v>
      </c>
      <c r="D242" s="1" t="s">
        <v>3156</v>
      </c>
      <c r="E242" s="1" t="s">
        <v>3157</v>
      </c>
      <c r="F242" s="1" t="s">
        <v>3158</v>
      </c>
      <c r="H242" s="2" t="s">
        <v>5</v>
      </c>
      <c r="I242" s="2" t="s">
        <v>6</v>
      </c>
      <c r="J242" s="2" t="s">
        <v>5</v>
      </c>
      <c r="K242" s="2" t="s">
        <v>5</v>
      </c>
      <c r="L242" s="2" t="s">
        <v>7</v>
      </c>
      <c r="M242" s="1" t="s">
        <v>3159</v>
      </c>
      <c r="N242" s="1" t="s">
        <v>3160</v>
      </c>
      <c r="O242" s="2" t="s">
        <v>274</v>
      </c>
      <c r="Q242" s="2" t="s">
        <v>10</v>
      </c>
      <c r="R242" s="2" t="s">
        <v>11</v>
      </c>
      <c r="T242" s="2" t="s">
        <v>12</v>
      </c>
      <c r="U242" s="3">
        <v>10</v>
      </c>
      <c r="V242" s="3">
        <v>10</v>
      </c>
      <c r="W242" s="4" t="s">
        <v>3161</v>
      </c>
      <c r="X242" s="4" t="s">
        <v>3161</v>
      </c>
      <c r="Y242" s="4" t="s">
        <v>3162</v>
      </c>
      <c r="Z242" s="4" t="s">
        <v>3162</v>
      </c>
      <c r="AA242" s="3">
        <v>107</v>
      </c>
      <c r="AB242" s="3">
        <v>98</v>
      </c>
      <c r="AC242" s="3">
        <v>100</v>
      </c>
      <c r="AD242" s="3">
        <v>1</v>
      </c>
      <c r="AE242" s="3">
        <v>1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2" t="s">
        <v>5</v>
      </c>
      <c r="AS242" s="2" t="s">
        <v>5</v>
      </c>
      <c r="AU242" s="5" t="str">
        <f>HYPERLINK("https://creighton-primo.hosted.exlibrisgroup.com/primo-explore/search?tab=default_tab&amp;search_scope=EVERYTHING&amp;vid=01CRU&amp;lang=en_US&amp;offset=0&amp;query=any,contains,991000828089702656","Catalog Record")</f>
        <v>Catalog Record</v>
      </c>
      <c r="AV242" s="5" t="str">
        <f>HYPERLINK("http://www.worldcat.org/oclc/22733700","WorldCat Record")</f>
        <v>WorldCat Record</v>
      </c>
      <c r="AW242" s="2" t="s">
        <v>3163</v>
      </c>
      <c r="AX242" s="2" t="s">
        <v>3164</v>
      </c>
      <c r="AY242" s="2" t="s">
        <v>3165</v>
      </c>
      <c r="AZ242" s="2" t="s">
        <v>3165</v>
      </c>
      <c r="BA242" s="2" t="s">
        <v>3166</v>
      </c>
      <c r="BB242" s="2" t="s">
        <v>19</v>
      </c>
      <c r="BD242" s="2" t="s">
        <v>3167</v>
      </c>
      <c r="BE242" s="2" t="s">
        <v>3168</v>
      </c>
      <c r="BF242" s="2" t="s">
        <v>3169</v>
      </c>
    </row>
    <row r="243" spans="1:58" ht="50.25" customHeight="1" x14ac:dyDescent="0.25">
      <c r="A243" s="8" t="s">
        <v>5</v>
      </c>
      <c r="B243" s="1" t="s">
        <v>0</v>
      </c>
      <c r="C243" s="1" t="s">
        <v>1</v>
      </c>
      <c r="D243" s="1" t="s">
        <v>3170</v>
      </c>
      <c r="E243" s="1" t="s">
        <v>3171</v>
      </c>
      <c r="F243" s="1" t="s">
        <v>3172</v>
      </c>
      <c r="H243" s="2" t="s">
        <v>5</v>
      </c>
      <c r="I243" s="2" t="s">
        <v>6</v>
      </c>
      <c r="J243" s="2" t="s">
        <v>5</v>
      </c>
      <c r="K243" s="2" t="s">
        <v>5</v>
      </c>
      <c r="L243" s="2" t="s">
        <v>7</v>
      </c>
      <c r="N243" s="1" t="s">
        <v>3173</v>
      </c>
      <c r="O243" s="2" t="s">
        <v>228</v>
      </c>
      <c r="Q243" s="2" t="s">
        <v>10</v>
      </c>
      <c r="R243" s="2" t="s">
        <v>29</v>
      </c>
      <c r="S243" s="1" t="s">
        <v>3174</v>
      </c>
      <c r="T243" s="2" t="s">
        <v>12</v>
      </c>
      <c r="U243" s="3">
        <v>20</v>
      </c>
      <c r="V243" s="3">
        <v>20</v>
      </c>
      <c r="W243" s="4" t="s">
        <v>2339</v>
      </c>
      <c r="X243" s="4" t="s">
        <v>2339</v>
      </c>
      <c r="Y243" s="4" t="s">
        <v>2925</v>
      </c>
      <c r="Z243" s="4" t="s">
        <v>2925</v>
      </c>
      <c r="AA243" s="3">
        <v>575</v>
      </c>
      <c r="AB243" s="3">
        <v>418</v>
      </c>
      <c r="AC243" s="3">
        <v>425</v>
      </c>
      <c r="AD243" s="3">
        <v>4</v>
      </c>
      <c r="AE243" s="3">
        <v>4</v>
      </c>
      <c r="AF243" s="3">
        <v>22</v>
      </c>
      <c r="AG243" s="3">
        <v>22</v>
      </c>
      <c r="AH243" s="3">
        <v>9</v>
      </c>
      <c r="AI243" s="3">
        <v>9</v>
      </c>
      <c r="AJ243" s="3">
        <v>4</v>
      </c>
      <c r="AK243" s="3">
        <v>4</v>
      </c>
      <c r="AL243" s="3">
        <v>12</v>
      </c>
      <c r="AM243" s="3">
        <v>12</v>
      </c>
      <c r="AN243" s="3">
        <v>3</v>
      </c>
      <c r="AO243" s="3">
        <v>3</v>
      </c>
      <c r="AP243" s="3">
        <v>0</v>
      </c>
      <c r="AQ243" s="3">
        <v>0</v>
      </c>
      <c r="AR243" s="2" t="s">
        <v>5</v>
      </c>
      <c r="AS243" s="2" t="s">
        <v>90</v>
      </c>
      <c r="AT243" s="5" t="str">
        <f>HYPERLINK("http://catalog.hathitrust.org/Record/001089000","HathiTrust Record")</f>
        <v>HathiTrust Record</v>
      </c>
      <c r="AU243" s="5" t="str">
        <f>HYPERLINK("https://creighton-primo.hosted.exlibrisgroup.com/primo-explore/search?tab=default_tab&amp;search_scope=EVERYTHING&amp;vid=01CRU&amp;lang=en_US&amp;offset=0&amp;query=any,contains,991001249439702656","Catalog Record")</f>
        <v>Catalog Record</v>
      </c>
      <c r="AV243" s="5" t="str">
        <f>HYPERLINK("http://www.worldcat.org/oclc/17548506","WorldCat Record")</f>
        <v>WorldCat Record</v>
      </c>
      <c r="AW243" s="2" t="s">
        <v>3175</v>
      </c>
      <c r="AX243" s="2" t="s">
        <v>3176</v>
      </c>
      <c r="AY243" s="2" t="s">
        <v>3177</v>
      </c>
      <c r="AZ243" s="2" t="s">
        <v>3177</v>
      </c>
      <c r="BA243" s="2" t="s">
        <v>3178</v>
      </c>
      <c r="BB243" s="2" t="s">
        <v>19</v>
      </c>
      <c r="BD243" s="2" t="s">
        <v>3179</v>
      </c>
      <c r="BE243" s="2" t="s">
        <v>3180</v>
      </c>
      <c r="BF243" s="2" t="s">
        <v>3181</v>
      </c>
    </row>
    <row r="244" spans="1:58" ht="50.25" customHeight="1" x14ac:dyDescent="0.25">
      <c r="A244" s="8" t="s">
        <v>5</v>
      </c>
      <c r="B244" s="1" t="s">
        <v>0</v>
      </c>
      <c r="C244" s="1" t="s">
        <v>1</v>
      </c>
      <c r="D244" s="1" t="s">
        <v>3182</v>
      </c>
      <c r="E244" s="1" t="s">
        <v>3183</v>
      </c>
      <c r="F244" s="1" t="s">
        <v>3184</v>
      </c>
      <c r="H244" s="2" t="s">
        <v>5</v>
      </c>
      <c r="I244" s="2" t="s">
        <v>6</v>
      </c>
      <c r="J244" s="2" t="s">
        <v>5</v>
      </c>
      <c r="K244" s="2" t="s">
        <v>5</v>
      </c>
      <c r="L244" s="2" t="s">
        <v>7</v>
      </c>
      <c r="M244" s="1" t="s">
        <v>3185</v>
      </c>
      <c r="N244" s="1" t="s">
        <v>3186</v>
      </c>
      <c r="O244" s="2" t="s">
        <v>109</v>
      </c>
      <c r="Q244" s="2" t="s">
        <v>10</v>
      </c>
      <c r="R244" s="2" t="s">
        <v>1268</v>
      </c>
      <c r="T244" s="2" t="s">
        <v>12</v>
      </c>
      <c r="U244" s="3">
        <v>2</v>
      </c>
      <c r="V244" s="3">
        <v>2</v>
      </c>
      <c r="W244" s="4" t="s">
        <v>3187</v>
      </c>
      <c r="X244" s="4" t="s">
        <v>3187</v>
      </c>
      <c r="Y244" s="4" t="s">
        <v>3188</v>
      </c>
      <c r="Z244" s="4" t="s">
        <v>3188</v>
      </c>
      <c r="AA244" s="3">
        <v>32</v>
      </c>
      <c r="AB244" s="3">
        <v>32</v>
      </c>
      <c r="AC244" s="3">
        <v>34</v>
      </c>
      <c r="AD244" s="3">
        <v>1</v>
      </c>
      <c r="AE244" s="3">
        <v>1</v>
      </c>
      <c r="AF244" s="3">
        <v>2</v>
      </c>
      <c r="AG244" s="3">
        <v>2</v>
      </c>
      <c r="AH244" s="3">
        <v>0</v>
      </c>
      <c r="AI244" s="3">
        <v>0</v>
      </c>
      <c r="AJ244" s="3">
        <v>1</v>
      </c>
      <c r="AK244" s="3">
        <v>1</v>
      </c>
      <c r="AL244" s="3">
        <v>2</v>
      </c>
      <c r="AM244" s="3">
        <v>2</v>
      </c>
      <c r="AN244" s="3">
        <v>0</v>
      </c>
      <c r="AO244" s="3">
        <v>0</v>
      </c>
      <c r="AP244" s="3">
        <v>0</v>
      </c>
      <c r="AQ244" s="3">
        <v>0</v>
      </c>
      <c r="AR244" s="2" t="s">
        <v>5</v>
      </c>
      <c r="AS244" s="2" t="s">
        <v>90</v>
      </c>
      <c r="AT244" s="5" t="str">
        <f>HYPERLINK("http://catalog.hathitrust.org/Record/005419898","HathiTrust Record")</f>
        <v>HathiTrust Record</v>
      </c>
      <c r="AU244" s="5" t="str">
        <f>HYPERLINK("https://creighton-primo.hosted.exlibrisgroup.com/primo-explore/search?tab=default_tab&amp;search_scope=EVERYTHING&amp;vid=01CRU&amp;lang=en_US&amp;offset=0&amp;query=any,contains,991000347209702656","Catalog Record")</f>
        <v>Catalog Record</v>
      </c>
      <c r="AV244" s="5" t="str">
        <f>HYPERLINK("http://www.worldcat.org/oclc/50912524","WorldCat Record")</f>
        <v>WorldCat Record</v>
      </c>
      <c r="AW244" s="2" t="s">
        <v>3189</v>
      </c>
      <c r="AX244" s="2" t="s">
        <v>3190</v>
      </c>
      <c r="AY244" s="2" t="s">
        <v>3191</v>
      </c>
      <c r="AZ244" s="2" t="s">
        <v>3191</v>
      </c>
      <c r="BA244" s="2" t="s">
        <v>3192</v>
      </c>
      <c r="BB244" s="2" t="s">
        <v>19</v>
      </c>
      <c r="BD244" s="2" t="s">
        <v>3193</v>
      </c>
      <c r="BE244" s="2" t="s">
        <v>3194</v>
      </c>
      <c r="BF244" s="2" t="s">
        <v>3195</v>
      </c>
    </row>
    <row r="245" spans="1:58" ht="50.25" customHeight="1" x14ac:dyDescent="0.25">
      <c r="A245" s="8" t="s">
        <v>5</v>
      </c>
      <c r="B245" s="1" t="s">
        <v>0</v>
      </c>
      <c r="C245" s="1" t="s">
        <v>1</v>
      </c>
      <c r="D245" s="1" t="s">
        <v>3196</v>
      </c>
      <c r="E245" s="1" t="s">
        <v>3197</v>
      </c>
      <c r="F245" s="1" t="s">
        <v>3198</v>
      </c>
      <c r="H245" s="2" t="s">
        <v>5</v>
      </c>
      <c r="I245" s="2" t="s">
        <v>6</v>
      </c>
      <c r="J245" s="2" t="s">
        <v>90</v>
      </c>
      <c r="K245" s="2" t="s">
        <v>5</v>
      </c>
      <c r="L245" s="2" t="s">
        <v>7</v>
      </c>
      <c r="M245" s="1" t="s">
        <v>3199</v>
      </c>
      <c r="N245" s="1" t="s">
        <v>3200</v>
      </c>
      <c r="O245" s="2" t="s">
        <v>141</v>
      </c>
      <c r="Q245" s="2" t="s">
        <v>10</v>
      </c>
      <c r="R245" s="2" t="s">
        <v>29</v>
      </c>
      <c r="T245" s="2" t="s">
        <v>12</v>
      </c>
      <c r="U245" s="3">
        <v>19</v>
      </c>
      <c r="V245" s="3">
        <v>19</v>
      </c>
      <c r="W245" s="4" t="s">
        <v>2339</v>
      </c>
      <c r="X245" s="4" t="s">
        <v>2339</v>
      </c>
      <c r="Y245" s="4" t="s">
        <v>2938</v>
      </c>
      <c r="Z245" s="4" t="s">
        <v>2938</v>
      </c>
      <c r="AA245" s="3">
        <v>990</v>
      </c>
      <c r="AB245" s="3">
        <v>862</v>
      </c>
      <c r="AC245" s="3">
        <v>867</v>
      </c>
      <c r="AD245" s="3">
        <v>7</v>
      </c>
      <c r="AE245" s="3">
        <v>7</v>
      </c>
      <c r="AF245" s="3">
        <v>31</v>
      </c>
      <c r="AG245" s="3">
        <v>31</v>
      </c>
      <c r="AH245" s="3">
        <v>13</v>
      </c>
      <c r="AI245" s="3">
        <v>13</v>
      </c>
      <c r="AJ245" s="3">
        <v>5</v>
      </c>
      <c r="AK245" s="3">
        <v>5</v>
      </c>
      <c r="AL245" s="3">
        <v>17</v>
      </c>
      <c r="AM245" s="3">
        <v>17</v>
      </c>
      <c r="AN245" s="3">
        <v>4</v>
      </c>
      <c r="AO245" s="3">
        <v>4</v>
      </c>
      <c r="AP245" s="3">
        <v>2</v>
      </c>
      <c r="AQ245" s="3">
        <v>2</v>
      </c>
      <c r="AR245" s="2" t="s">
        <v>5</v>
      </c>
      <c r="AS245" s="2" t="s">
        <v>5</v>
      </c>
      <c r="AU245" s="5" t="str">
        <f>HYPERLINK("https://creighton-primo.hosted.exlibrisgroup.com/primo-explore/search?tab=default_tab&amp;search_scope=EVERYTHING&amp;vid=01CRU&amp;lang=en_US&amp;offset=0&amp;query=any,contains,991000726489702656","Catalog Record")</f>
        <v>Catalog Record</v>
      </c>
      <c r="AV245" s="5" t="str">
        <f>HYPERLINK("http://www.worldcat.org/oclc/12972899","WorldCat Record")</f>
        <v>WorldCat Record</v>
      </c>
      <c r="AW245" s="2" t="s">
        <v>3201</v>
      </c>
      <c r="AX245" s="2" t="s">
        <v>3202</v>
      </c>
      <c r="AY245" s="2" t="s">
        <v>3203</v>
      </c>
      <c r="AZ245" s="2" t="s">
        <v>3203</v>
      </c>
      <c r="BA245" s="2" t="s">
        <v>3204</v>
      </c>
      <c r="BB245" s="2" t="s">
        <v>19</v>
      </c>
      <c r="BD245" s="2" t="s">
        <v>3205</v>
      </c>
      <c r="BE245" s="2" t="s">
        <v>3206</v>
      </c>
      <c r="BF245" s="2" t="s">
        <v>3207</v>
      </c>
    </row>
    <row r="246" spans="1:58" ht="50.25" customHeight="1" x14ac:dyDescent="0.25">
      <c r="A246" s="8" t="s">
        <v>5</v>
      </c>
      <c r="B246" s="1" t="s">
        <v>0</v>
      </c>
      <c r="C246" s="1" t="s">
        <v>1</v>
      </c>
      <c r="D246" s="1" t="s">
        <v>3208</v>
      </c>
      <c r="E246" s="1" t="s">
        <v>3209</v>
      </c>
      <c r="F246" s="1" t="s">
        <v>3210</v>
      </c>
      <c r="H246" s="2" t="s">
        <v>5</v>
      </c>
      <c r="I246" s="2" t="s">
        <v>6</v>
      </c>
      <c r="J246" s="2" t="s">
        <v>5</v>
      </c>
      <c r="K246" s="2" t="s">
        <v>5</v>
      </c>
      <c r="L246" s="2" t="s">
        <v>7</v>
      </c>
      <c r="M246" s="1" t="s">
        <v>3211</v>
      </c>
      <c r="N246" s="1" t="s">
        <v>3212</v>
      </c>
      <c r="O246" s="2" t="s">
        <v>28</v>
      </c>
      <c r="P246" s="1" t="s">
        <v>3213</v>
      </c>
      <c r="Q246" s="2" t="s">
        <v>10</v>
      </c>
      <c r="R246" s="2" t="s">
        <v>184</v>
      </c>
      <c r="T246" s="2" t="s">
        <v>12</v>
      </c>
      <c r="U246" s="3">
        <v>8</v>
      </c>
      <c r="V246" s="3">
        <v>8</v>
      </c>
      <c r="W246" s="4" t="s">
        <v>3214</v>
      </c>
      <c r="X246" s="4" t="s">
        <v>3214</v>
      </c>
      <c r="Y246" s="4" t="s">
        <v>2887</v>
      </c>
      <c r="Z246" s="4" t="s">
        <v>2887</v>
      </c>
      <c r="AA246" s="3">
        <v>131</v>
      </c>
      <c r="AB246" s="3">
        <v>109</v>
      </c>
      <c r="AC246" s="3">
        <v>184</v>
      </c>
      <c r="AD246" s="3">
        <v>2</v>
      </c>
      <c r="AE246" s="3">
        <v>2</v>
      </c>
      <c r="AF246" s="3">
        <v>3</v>
      </c>
      <c r="AG246" s="3">
        <v>5</v>
      </c>
      <c r="AH246" s="3">
        <v>0</v>
      </c>
      <c r="AI246" s="3">
        <v>1</v>
      </c>
      <c r="AJ246" s="3">
        <v>1</v>
      </c>
      <c r="AK246" s="3">
        <v>2</v>
      </c>
      <c r="AL246" s="3">
        <v>2</v>
      </c>
      <c r="AM246" s="3">
        <v>3</v>
      </c>
      <c r="AN246" s="3">
        <v>1</v>
      </c>
      <c r="AO246" s="3">
        <v>1</v>
      </c>
      <c r="AP246" s="3">
        <v>0</v>
      </c>
      <c r="AQ246" s="3">
        <v>0</v>
      </c>
      <c r="AR246" s="2" t="s">
        <v>5</v>
      </c>
      <c r="AS246" s="2" t="s">
        <v>90</v>
      </c>
      <c r="AT246" s="5" t="str">
        <f>HYPERLINK("http://catalog.hathitrust.org/Record/004482415","HathiTrust Record")</f>
        <v>HathiTrust Record</v>
      </c>
      <c r="AU246" s="5" t="str">
        <f>HYPERLINK("https://creighton-primo.hosted.exlibrisgroup.com/primo-explore/search?tab=default_tab&amp;search_scope=EVERYTHING&amp;vid=01CRU&amp;lang=en_US&amp;offset=0&amp;query=any,contains,991001034049702656","Catalog Record")</f>
        <v>Catalog Record</v>
      </c>
      <c r="AV246" s="5" t="str">
        <f>HYPERLINK("http://www.worldcat.org/oclc/26769079","WorldCat Record")</f>
        <v>WorldCat Record</v>
      </c>
      <c r="AW246" s="2" t="s">
        <v>3215</v>
      </c>
      <c r="AX246" s="2" t="s">
        <v>3216</v>
      </c>
      <c r="AY246" s="2" t="s">
        <v>3217</v>
      </c>
      <c r="AZ246" s="2" t="s">
        <v>3217</v>
      </c>
      <c r="BA246" s="2" t="s">
        <v>3218</v>
      </c>
      <c r="BB246" s="2" t="s">
        <v>19</v>
      </c>
      <c r="BD246" s="2" t="s">
        <v>3219</v>
      </c>
      <c r="BE246" s="2" t="s">
        <v>3220</v>
      </c>
      <c r="BF246" s="2" t="s">
        <v>3221</v>
      </c>
    </row>
    <row r="247" spans="1:58" ht="50.25" customHeight="1" x14ac:dyDescent="0.25">
      <c r="A247" s="8" t="s">
        <v>5</v>
      </c>
      <c r="B247" s="1" t="s">
        <v>0</v>
      </c>
      <c r="C247" s="1" t="s">
        <v>1</v>
      </c>
      <c r="D247" s="1" t="s">
        <v>3222</v>
      </c>
      <c r="E247" s="1" t="s">
        <v>3223</v>
      </c>
      <c r="F247" s="1" t="s">
        <v>3224</v>
      </c>
      <c r="H247" s="2" t="s">
        <v>5</v>
      </c>
      <c r="I247" s="2" t="s">
        <v>6</v>
      </c>
      <c r="J247" s="2" t="s">
        <v>5</v>
      </c>
      <c r="K247" s="2" t="s">
        <v>5</v>
      </c>
      <c r="L247" s="2" t="s">
        <v>7</v>
      </c>
      <c r="N247" s="1" t="s">
        <v>3225</v>
      </c>
      <c r="O247" s="2" t="s">
        <v>141</v>
      </c>
      <c r="Q247" s="2" t="s">
        <v>10</v>
      </c>
      <c r="R247" s="2" t="s">
        <v>29</v>
      </c>
      <c r="T247" s="2" t="s">
        <v>12</v>
      </c>
      <c r="U247" s="3">
        <v>6</v>
      </c>
      <c r="V247" s="3">
        <v>6</v>
      </c>
      <c r="W247" s="4" t="s">
        <v>2951</v>
      </c>
      <c r="X247" s="4" t="s">
        <v>2951</v>
      </c>
      <c r="Y247" s="4" t="s">
        <v>2938</v>
      </c>
      <c r="Z247" s="4" t="s">
        <v>2938</v>
      </c>
      <c r="AA247" s="3">
        <v>177</v>
      </c>
      <c r="AB247" s="3">
        <v>144</v>
      </c>
      <c r="AC247" s="3">
        <v>147</v>
      </c>
      <c r="AD247" s="3">
        <v>2</v>
      </c>
      <c r="AE247" s="3">
        <v>2</v>
      </c>
      <c r="AF247" s="3">
        <v>5</v>
      </c>
      <c r="AG247" s="3">
        <v>5</v>
      </c>
      <c r="AH247" s="3">
        <v>1</v>
      </c>
      <c r="AI247" s="3">
        <v>1</v>
      </c>
      <c r="AJ247" s="3">
        <v>1</v>
      </c>
      <c r="AK247" s="3">
        <v>1</v>
      </c>
      <c r="AL247" s="3">
        <v>3</v>
      </c>
      <c r="AM247" s="3">
        <v>3</v>
      </c>
      <c r="AN247" s="3">
        <v>1</v>
      </c>
      <c r="AO247" s="3">
        <v>1</v>
      </c>
      <c r="AP247" s="3">
        <v>0</v>
      </c>
      <c r="AQ247" s="3">
        <v>0</v>
      </c>
      <c r="AR247" s="2" t="s">
        <v>5</v>
      </c>
      <c r="AS247" s="2" t="s">
        <v>90</v>
      </c>
      <c r="AT247" s="5" t="str">
        <f>HYPERLINK("http://catalog.hathitrust.org/Record/000398988","HathiTrust Record")</f>
        <v>HathiTrust Record</v>
      </c>
      <c r="AU247" s="5" t="str">
        <f>HYPERLINK("https://creighton-primo.hosted.exlibrisgroup.com/primo-explore/search?tab=default_tab&amp;search_scope=EVERYTHING&amp;vid=01CRU&amp;lang=en_US&amp;offset=0&amp;query=any,contains,991000726559702656","Catalog Record")</f>
        <v>Catalog Record</v>
      </c>
      <c r="AV247" s="5" t="str">
        <f>HYPERLINK("http://www.worldcat.org/oclc/13122614","WorldCat Record")</f>
        <v>WorldCat Record</v>
      </c>
      <c r="AW247" s="2" t="s">
        <v>3226</v>
      </c>
      <c r="AX247" s="2" t="s">
        <v>3227</v>
      </c>
      <c r="AY247" s="2" t="s">
        <v>3228</v>
      </c>
      <c r="AZ247" s="2" t="s">
        <v>3228</v>
      </c>
      <c r="BA247" s="2" t="s">
        <v>3229</v>
      </c>
      <c r="BB247" s="2" t="s">
        <v>19</v>
      </c>
      <c r="BD247" s="2" t="s">
        <v>3230</v>
      </c>
      <c r="BE247" s="2" t="s">
        <v>3231</v>
      </c>
      <c r="BF247" s="2" t="s">
        <v>3232</v>
      </c>
    </row>
    <row r="248" spans="1:58" ht="50.25" customHeight="1" x14ac:dyDescent="0.25">
      <c r="A248" s="8" t="s">
        <v>5</v>
      </c>
      <c r="B248" s="1" t="s">
        <v>0</v>
      </c>
      <c r="C248" s="1" t="s">
        <v>1</v>
      </c>
      <c r="D248" s="1" t="s">
        <v>3233</v>
      </c>
      <c r="E248" s="1" t="s">
        <v>3234</v>
      </c>
      <c r="F248" s="1" t="s">
        <v>3235</v>
      </c>
      <c r="H248" s="2" t="s">
        <v>5</v>
      </c>
      <c r="I248" s="2" t="s">
        <v>6</v>
      </c>
      <c r="J248" s="2" t="s">
        <v>5</v>
      </c>
      <c r="K248" s="2" t="s">
        <v>5</v>
      </c>
      <c r="L248" s="2" t="s">
        <v>7</v>
      </c>
      <c r="N248" s="1" t="s">
        <v>3236</v>
      </c>
      <c r="O248" s="2" t="s">
        <v>155</v>
      </c>
      <c r="Q248" s="2" t="s">
        <v>10</v>
      </c>
      <c r="R248" s="2" t="s">
        <v>405</v>
      </c>
      <c r="T248" s="2" t="s">
        <v>12</v>
      </c>
      <c r="U248" s="3">
        <v>1</v>
      </c>
      <c r="V248" s="3">
        <v>1</v>
      </c>
      <c r="W248" s="4" t="s">
        <v>3237</v>
      </c>
      <c r="X248" s="4" t="s">
        <v>3237</v>
      </c>
      <c r="Y248" s="4" t="s">
        <v>3237</v>
      </c>
      <c r="Z248" s="4" t="s">
        <v>3237</v>
      </c>
      <c r="AA248" s="3">
        <v>109</v>
      </c>
      <c r="AB248" s="3">
        <v>109</v>
      </c>
      <c r="AC248" s="3">
        <v>110</v>
      </c>
      <c r="AD248" s="3">
        <v>1</v>
      </c>
      <c r="AE248" s="3">
        <v>1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2" t="s">
        <v>5</v>
      </c>
      <c r="AS248" s="2" t="s">
        <v>5</v>
      </c>
      <c r="AU248" s="5" t="str">
        <f>HYPERLINK("https://creighton-primo.hosted.exlibrisgroup.com/primo-explore/search?tab=default_tab&amp;search_scope=EVERYTHING&amp;vid=01CRU&amp;lang=en_US&amp;offset=0&amp;query=any,contains,991000689329702656","Catalog Record")</f>
        <v>Catalog Record</v>
      </c>
      <c r="AV248" s="5" t="str">
        <f>HYPERLINK("http://www.worldcat.org/oclc/37874010","WorldCat Record")</f>
        <v>WorldCat Record</v>
      </c>
      <c r="AW248" s="2" t="s">
        <v>3238</v>
      </c>
      <c r="AX248" s="2" t="s">
        <v>3239</v>
      </c>
      <c r="AY248" s="2" t="s">
        <v>3240</v>
      </c>
      <c r="AZ248" s="2" t="s">
        <v>3240</v>
      </c>
      <c r="BA248" s="2" t="s">
        <v>3241</v>
      </c>
      <c r="BB248" s="2" t="s">
        <v>19</v>
      </c>
      <c r="BE248" s="2" t="s">
        <v>3242</v>
      </c>
      <c r="BF248" s="2" t="s">
        <v>3243</v>
      </c>
    </row>
    <row r="249" spans="1:58" ht="50.25" customHeight="1" x14ac:dyDescent="0.25">
      <c r="A249" s="8" t="s">
        <v>5</v>
      </c>
      <c r="B249" s="1" t="s">
        <v>0</v>
      </c>
      <c r="C249" s="1" t="s">
        <v>1</v>
      </c>
      <c r="D249" s="1" t="s">
        <v>3244</v>
      </c>
      <c r="E249" s="1" t="s">
        <v>3245</v>
      </c>
      <c r="F249" s="1" t="s">
        <v>3246</v>
      </c>
      <c r="H249" s="2" t="s">
        <v>5</v>
      </c>
      <c r="I249" s="2" t="s">
        <v>6</v>
      </c>
      <c r="J249" s="2" t="s">
        <v>5</v>
      </c>
      <c r="K249" s="2" t="s">
        <v>5</v>
      </c>
      <c r="L249" s="2" t="s">
        <v>6</v>
      </c>
      <c r="M249" s="1" t="s">
        <v>3247</v>
      </c>
      <c r="N249" s="1" t="s">
        <v>3248</v>
      </c>
      <c r="O249" s="2" t="s">
        <v>109</v>
      </c>
      <c r="Q249" s="2" t="s">
        <v>10</v>
      </c>
      <c r="R249" s="2" t="s">
        <v>11</v>
      </c>
      <c r="T249" s="2" t="s">
        <v>12</v>
      </c>
      <c r="U249" s="3">
        <v>0</v>
      </c>
      <c r="V249" s="3">
        <v>0</v>
      </c>
      <c r="W249" s="4" t="s">
        <v>582</v>
      </c>
      <c r="X249" s="4" t="s">
        <v>582</v>
      </c>
      <c r="Y249" s="4" t="s">
        <v>583</v>
      </c>
      <c r="Z249" s="4" t="s">
        <v>583</v>
      </c>
      <c r="AA249" s="3">
        <v>287</v>
      </c>
      <c r="AB249" s="3">
        <v>218</v>
      </c>
      <c r="AC249" s="3">
        <v>889</v>
      </c>
      <c r="AD249" s="3">
        <v>3</v>
      </c>
      <c r="AE249" s="3">
        <v>12</v>
      </c>
      <c r="AF249" s="3">
        <v>12</v>
      </c>
      <c r="AG249" s="3">
        <v>41</v>
      </c>
      <c r="AH249" s="3">
        <v>4</v>
      </c>
      <c r="AI249" s="3">
        <v>12</v>
      </c>
      <c r="AJ249" s="3">
        <v>3</v>
      </c>
      <c r="AK249" s="3">
        <v>10</v>
      </c>
      <c r="AL249" s="3">
        <v>4</v>
      </c>
      <c r="AM249" s="3">
        <v>13</v>
      </c>
      <c r="AN249" s="3">
        <v>2</v>
      </c>
      <c r="AO249" s="3">
        <v>10</v>
      </c>
      <c r="AP249" s="3">
        <v>1</v>
      </c>
      <c r="AQ249" s="3">
        <v>3</v>
      </c>
      <c r="AR249" s="2" t="s">
        <v>5</v>
      </c>
      <c r="AS249" s="2" t="s">
        <v>90</v>
      </c>
      <c r="AT249" s="5" t="str">
        <f>HYPERLINK("http://catalog.hathitrust.org/Record/004344572","HathiTrust Record")</f>
        <v>HathiTrust Record</v>
      </c>
      <c r="AU249" s="5" t="str">
        <f>HYPERLINK("https://creighton-primo.hosted.exlibrisgroup.com/primo-explore/search?tab=default_tab&amp;search_scope=EVERYTHING&amp;vid=01CRU&amp;lang=en_US&amp;offset=0&amp;query=any,contains,991000394569702656","Catalog Record")</f>
        <v>Catalog Record</v>
      </c>
      <c r="AV249" s="5" t="str">
        <f>HYPERLINK("http://www.worldcat.org/oclc/50244094","WorldCat Record")</f>
        <v>WorldCat Record</v>
      </c>
      <c r="AW249" s="2" t="s">
        <v>3249</v>
      </c>
      <c r="AX249" s="2" t="s">
        <v>3250</v>
      </c>
      <c r="AY249" s="2" t="s">
        <v>3251</v>
      </c>
      <c r="AZ249" s="2" t="s">
        <v>3251</v>
      </c>
      <c r="BA249" s="2" t="s">
        <v>3252</v>
      </c>
      <c r="BB249" s="2" t="s">
        <v>19</v>
      </c>
      <c r="BD249" s="2" t="s">
        <v>3253</v>
      </c>
      <c r="BE249" s="2" t="s">
        <v>3254</v>
      </c>
      <c r="BF249" s="2" t="s">
        <v>3255</v>
      </c>
    </row>
    <row r="250" spans="1:58" ht="50.25" customHeight="1" x14ac:dyDescent="0.25">
      <c r="A250" s="8" t="s">
        <v>5</v>
      </c>
      <c r="B250" s="1" t="s">
        <v>0</v>
      </c>
      <c r="C250" s="1" t="s">
        <v>1</v>
      </c>
      <c r="D250" s="1" t="s">
        <v>3256</v>
      </c>
      <c r="E250" s="1" t="s">
        <v>3257</v>
      </c>
      <c r="F250" s="1" t="s">
        <v>3258</v>
      </c>
      <c r="H250" s="2" t="s">
        <v>5</v>
      </c>
      <c r="I250" s="2" t="s">
        <v>6</v>
      </c>
      <c r="J250" s="2" t="s">
        <v>5</v>
      </c>
      <c r="K250" s="2" t="s">
        <v>5</v>
      </c>
      <c r="L250" s="2" t="s">
        <v>7</v>
      </c>
      <c r="M250" s="1" t="s">
        <v>3259</v>
      </c>
      <c r="N250" s="1" t="s">
        <v>3260</v>
      </c>
      <c r="O250" s="2" t="s">
        <v>228</v>
      </c>
      <c r="Q250" s="2" t="s">
        <v>10</v>
      </c>
      <c r="R250" s="2" t="s">
        <v>29</v>
      </c>
      <c r="T250" s="2" t="s">
        <v>12</v>
      </c>
      <c r="U250" s="3">
        <v>18</v>
      </c>
      <c r="V250" s="3">
        <v>18</v>
      </c>
      <c r="W250" s="4" t="s">
        <v>3048</v>
      </c>
      <c r="X250" s="4" t="s">
        <v>3048</v>
      </c>
      <c r="Y250" s="4" t="s">
        <v>3261</v>
      </c>
      <c r="Z250" s="4" t="s">
        <v>3261</v>
      </c>
      <c r="AA250" s="3">
        <v>467</v>
      </c>
      <c r="AB250" s="3">
        <v>387</v>
      </c>
      <c r="AC250" s="3">
        <v>421</v>
      </c>
      <c r="AD250" s="3">
        <v>3</v>
      </c>
      <c r="AE250" s="3">
        <v>3</v>
      </c>
      <c r="AF250" s="3">
        <v>15</v>
      </c>
      <c r="AG250" s="3">
        <v>15</v>
      </c>
      <c r="AH250" s="3">
        <v>5</v>
      </c>
      <c r="AI250" s="3">
        <v>5</v>
      </c>
      <c r="AJ250" s="3">
        <v>3</v>
      </c>
      <c r="AK250" s="3">
        <v>3</v>
      </c>
      <c r="AL250" s="3">
        <v>8</v>
      </c>
      <c r="AM250" s="3">
        <v>8</v>
      </c>
      <c r="AN250" s="3">
        <v>2</v>
      </c>
      <c r="AO250" s="3">
        <v>2</v>
      </c>
      <c r="AP250" s="3">
        <v>2</v>
      </c>
      <c r="AQ250" s="3">
        <v>2</v>
      </c>
      <c r="AR250" s="2" t="s">
        <v>5</v>
      </c>
      <c r="AS250" s="2" t="s">
        <v>5</v>
      </c>
      <c r="AU250" s="5" t="str">
        <f>HYPERLINK("https://creighton-primo.hosted.exlibrisgroup.com/primo-explore/search?tab=default_tab&amp;search_scope=EVERYTHING&amp;vid=01CRU&amp;lang=en_US&amp;offset=0&amp;query=any,contains,991001111929702656","Catalog Record")</f>
        <v>Catalog Record</v>
      </c>
      <c r="AV250" s="5" t="str">
        <f>HYPERLINK("http://www.worldcat.org/oclc/17108332","WorldCat Record")</f>
        <v>WorldCat Record</v>
      </c>
      <c r="AW250" s="2" t="s">
        <v>3262</v>
      </c>
      <c r="AX250" s="2" t="s">
        <v>3263</v>
      </c>
      <c r="AY250" s="2" t="s">
        <v>3264</v>
      </c>
      <c r="AZ250" s="2" t="s">
        <v>3264</v>
      </c>
      <c r="BA250" s="2" t="s">
        <v>3265</v>
      </c>
      <c r="BB250" s="2" t="s">
        <v>19</v>
      </c>
      <c r="BD250" s="2" t="s">
        <v>3266</v>
      </c>
      <c r="BE250" s="2" t="s">
        <v>3267</v>
      </c>
      <c r="BF250" s="2" t="s">
        <v>3268</v>
      </c>
    </row>
    <row r="251" spans="1:58" ht="50.25" customHeight="1" x14ac:dyDescent="0.25">
      <c r="A251" s="8" t="s">
        <v>5</v>
      </c>
      <c r="B251" s="1" t="s">
        <v>0</v>
      </c>
      <c r="C251" s="1" t="s">
        <v>1</v>
      </c>
      <c r="D251" s="1" t="s">
        <v>3269</v>
      </c>
      <c r="E251" s="1" t="s">
        <v>3270</v>
      </c>
      <c r="F251" s="1" t="s">
        <v>3271</v>
      </c>
      <c r="H251" s="2" t="s">
        <v>5</v>
      </c>
      <c r="I251" s="2" t="s">
        <v>6</v>
      </c>
      <c r="J251" s="2" t="s">
        <v>5</v>
      </c>
      <c r="K251" s="2" t="s">
        <v>5</v>
      </c>
      <c r="L251" s="2" t="s">
        <v>7</v>
      </c>
      <c r="N251" s="1" t="s">
        <v>3272</v>
      </c>
      <c r="O251" s="2" t="s">
        <v>228</v>
      </c>
      <c r="Q251" s="2" t="s">
        <v>10</v>
      </c>
      <c r="R251" s="2" t="s">
        <v>11</v>
      </c>
      <c r="T251" s="2" t="s">
        <v>12</v>
      </c>
      <c r="U251" s="3">
        <v>3</v>
      </c>
      <c r="V251" s="3">
        <v>3</v>
      </c>
      <c r="W251" s="4" t="s">
        <v>3273</v>
      </c>
      <c r="X251" s="4" t="s">
        <v>3273</v>
      </c>
      <c r="Y251" s="4" t="s">
        <v>3274</v>
      </c>
      <c r="Z251" s="4" t="s">
        <v>3274</v>
      </c>
      <c r="AA251" s="3">
        <v>70</v>
      </c>
      <c r="AB251" s="3">
        <v>23</v>
      </c>
      <c r="AC251" s="3">
        <v>25</v>
      </c>
      <c r="AD251" s="3">
        <v>2</v>
      </c>
      <c r="AE251" s="3">
        <v>2</v>
      </c>
      <c r="AF251" s="3">
        <v>1</v>
      </c>
      <c r="AG251" s="3">
        <v>1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1</v>
      </c>
      <c r="AO251" s="3">
        <v>1</v>
      </c>
      <c r="AP251" s="3">
        <v>0</v>
      </c>
      <c r="AQ251" s="3">
        <v>0</v>
      </c>
      <c r="AR251" s="2" t="s">
        <v>5</v>
      </c>
      <c r="AS251" s="2" t="s">
        <v>5</v>
      </c>
      <c r="AU251" s="5" t="str">
        <f>HYPERLINK("https://creighton-primo.hosted.exlibrisgroup.com/primo-explore/search?tab=default_tab&amp;search_scope=EVERYTHING&amp;vid=01CRU&amp;lang=en_US&amp;offset=0&amp;query=any,contains,991001240789702656","Catalog Record")</f>
        <v>Catalog Record</v>
      </c>
      <c r="AV251" s="5" t="str">
        <f>HYPERLINK("http://www.worldcat.org/oclc/17802102","WorldCat Record")</f>
        <v>WorldCat Record</v>
      </c>
      <c r="AW251" s="2" t="s">
        <v>3275</v>
      </c>
      <c r="AX251" s="2" t="s">
        <v>3276</v>
      </c>
      <c r="AY251" s="2" t="s">
        <v>3277</v>
      </c>
      <c r="AZ251" s="2" t="s">
        <v>3277</v>
      </c>
      <c r="BA251" s="2" t="s">
        <v>3278</v>
      </c>
      <c r="BB251" s="2" t="s">
        <v>19</v>
      </c>
      <c r="BD251" s="2" t="s">
        <v>3279</v>
      </c>
      <c r="BE251" s="2" t="s">
        <v>3280</v>
      </c>
      <c r="BF251" s="2" t="s">
        <v>3281</v>
      </c>
    </row>
    <row r="252" spans="1:58" ht="50.25" customHeight="1" x14ac:dyDescent="0.25">
      <c r="A252" s="8" t="s">
        <v>5</v>
      </c>
      <c r="B252" s="1" t="s">
        <v>0</v>
      </c>
      <c r="C252" s="1" t="s">
        <v>1</v>
      </c>
      <c r="D252" s="1" t="s">
        <v>3282</v>
      </c>
      <c r="E252" s="1" t="s">
        <v>3283</v>
      </c>
      <c r="F252" s="1" t="s">
        <v>3284</v>
      </c>
      <c r="H252" s="2" t="s">
        <v>5</v>
      </c>
      <c r="I252" s="2" t="s">
        <v>6</v>
      </c>
      <c r="J252" s="2" t="s">
        <v>5</v>
      </c>
      <c r="K252" s="2" t="s">
        <v>5</v>
      </c>
      <c r="L252" s="2" t="s">
        <v>7</v>
      </c>
      <c r="N252" s="1" t="s">
        <v>3285</v>
      </c>
      <c r="O252" s="2" t="s">
        <v>474</v>
      </c>
      <c r="Q252" s="2" t="s">
        <v>10</v>
      </c>
      <c r="R252" s="2" t="s">
        <v>77</v>
      </c>
      <c r="T252" s="2" t="s">
        <v>12</v>
      </c>
      <c r="U252" s="3">
        <v>8</v>
      </c>
      <c r="V252" s="3">
        <v>8</v>
      </c>
      <c r="W252" s="4" t="s">
        <v>3286</v>
      </c>
      <c r="X252" s="4" t="s">
        <v>3286</v>
      </c>
      <c r="Y252" s="4" t="s">
        <v>3287</v>
      </c>
      <c r="Z252" s="4" t="s">
        <v>3287</v>
      </c>
      <c r="AA252" s="3">
        <v>73</v>
      </c>
      <c r="AB252" s="3">
        <v>20</v>
      </c>
      <c r="AC252" s="3">
        <v>21</v>
      </c>
      <c r="AD252" s="3">
        <v>1</v>
      </c>
      <c r="AE252" s="3">
        <v>1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2" t="s">
        <v>5</v>
      </c>
      <c r="AS252" s="2" t="s">
        <v>5</v>
      </c>
      <c r="AU252" s="5" t="str">
        <f>HYPERLINK("https://creighton-primo.hosted.exlibrisgroup.com/primo-explore/search?tab=default_tab&amp;search_scope=EVERYTHING&amp;vid=01CRU&amp;lang=en_US&amp;offset=0&amp;query=any,contains,991001382659702656","Catalog Record")</f>
        <v>Catalog Record</v>
      </c>
      <c r="AV252" s="5" t="str">
        <f>HYPERLINK("http://www.worldcat.org/oclc/21308351","WorldCat Record")</f>
        <v>WorldCat Record</v>
      </c>
      <c r="AW252" s="2" t="s">
        <v>3288</v>
      </c>
      <c r="AX252" s="2" t="s">
        <v>3289</v>
      </c>
      <c r="AY252" s="2" t="s">
        <v>3290</v>
      </c>
      <c r="AZ252" s="2" t="s">
        <v>3290</v>
      </c>
      <c r="BA252" s="2" t="s">
        <v>3291</v>
      </c>
      <c r="BB252" s="2" t="s">
        <v>19</v>
      </c>
      <c r="BD252" s="2" t="s">
        <v>3292</v>
      </c>
      <c r="BE252" s="2" t="s">
        <v>3293</v>
      </c>
      <c r="BF252" s="2" t="s">
        <v>3294</v>
      </c>
    </row>
    <row r="253" spans="1:58" ht="50.25" customHeight="1" x14ac:dyDescent="0.25">
      <c r="A253" s="8" t="s">
        <v>5</v>
      </c>
      <c r="B253" s="1" t="s">
        <v>0</v>
      </c>
      <c r="C253" s="1" t="s">
        <v>1</v>
      </c>
      <c r="D253" s="1" t="s">
        <v>3295</v>
      </c>
      <c r="E253" s="1" t="s">
        <v>3296</v>
      </c>
      <c r="F253" s="1" t="s">
        <v>3297</v>
      </c>
      <c r="H253" s="2" t="s">
        <v>5</v>
      </c>
      <c r="I253" s="2" t="s">
        <v>6</v>
      </c>
      <c r="J253" s="2" t="s">
        <v>5</v>
      </c>
      <c r="K253" s="2" t="s">
        <v>5</v>
      </c>
      <c r="L253" s="2" t="s">
        <v>7</v>
      </c>
      <c r="N253" s="1" t="s">
        <v>3298</v>
      </c>
      <c r="O253" s="2" t="s">
        <v>213</v>
      </c>
      <c r="Q253" s="2" t="s">
        <v>10</v>
      </c>
      <c r="R253" s="2" t="s">
        <v>11</v>
      </c>
      <c r="T253" s="2" t="s">
        <v>12</v>
      </c>
      <c r="U253" s="3">
        <v>9</v>
      </c>
      <c r="V253" s="3">
        <v>9</v>
      </c>
      <c r="W253" s="4" t="s">
        <v>3299</v>
      </c>
      <c r="X253" s="4" t="s">
        <v>3299</v>
      </c>
      <c r="Y253" s="4" t="s">
        <v>3300</v>
      </c>
      <c r="Z253" s="4" t="s">
        <v>3300</v>
      </c>
      <c r="AA253" s="3">
        <v>70</v>
      </c>
      <c r="AB253" s="3">
        <v>31</v>
      </c>
      <c r="AC253" s="3">
        <v>31</v>
      </c>
      <c r="AD253" s="3">
        <v>1</v>
      </c>
      <c r="AE253" s="3">
        <v>1</v>
      </c>
      <c r="AF253" s="3">
        <v>1</v>
      </c>
      <c r="AG253" s="3">
        <v>1</v>
      </c>
      <c r="AH253" s="3">
        <v>0</v>
      </c>
      <c r="AI253" s="3">
        <v>0</v>
      </c>
      <c r="AJ253" s="3">
        <v>0</v>
      </c>
      <c r="AK253" s="3">
        <v>0</v>
      </c>
      <c r="AL253" s="3">
        <v>1</v>
      </c>
      <c r="AM253" s="3">
        <v>1</v>
      </c>
      <c r="AN253" s="3">
        <v>0</v>
      </c>
      <c r="AO253" s="3">
        <v>0</v>
      </c>
      <c r="AP253" s="3">
        <v>0</v>
      </c>
      <c r="AQ253" s="3">
        <v>0</v>
      </c>
      <c r="AR253" s="2" t="s">
        <v>5</v>
      </c>
      <c r="AS253" s="2" t="s">
        <v>5</v>
      </c>
      <c r="AU253" s="5" t="str">
        <f>HYPERLINK("https://creighton-primo.hosted.exlibrisgroup.com/primo-explore/search?tab=default_tab&amp;search_scope=EVERYTHING&amp;vid=01CRU&amp;lang=en_US&amp;offset=0&amp;query=any,contains,991001034879702656","Catalog Record")</f>
        <v>Catalog Record</v>
      </c>
      <c r="AV253" s="5" t="str">
        <f>HYPERLINK("http://www.worldcat.org/oclc/25637029","WorldCat Record")</f>
        <v>WorldCat Record</v>
      </c>
      <c r="AW253" s="2" t="s">
        <v>3301</v>
      </c>
      <c r="AX253" s="2" t="s">
        <v>3302</v>
      </c>
      <c r="AY253" s="2" t="s">
        <v>3303</v>
      </c>
      <c r="AZ253" s="2" t="s">
        <v>3303</v>
      </c>
      <c r="BA253" s="2" t="s">
        <v>3304</v>
      </c>
      <c r="BB253" s="2" t="s">
        <v>19</v>
      </c>
      <c r="BD253" s="2" t="s">
        <v>3305</v>
      </c>
      <c r="BE253" s="2" t="s">
        <v>3306</v>
      </c>
      <c r="BF253" s="2" t="s">
        <v>3307</v>
      </c>
    </row>
    <row r="254" spans="1:58" ht="50.25" customHeight="1" x14ac:dyDescent="0.25">
      <c r="A254" s="8" t="s">
        <v>5</v>
      </c>
      <c r="B254" s="1" t="s">
        <v>0</v>
      </c>
      <c r="C254" s="1" t="s">
        <v>1</v>
      </c>
      <c r="D254" s="1" t="s">
        <v>3308</v>
      </c>
      <c r="E254" s="1" t="s">
        <v>3309</v>
      </c>
      <c r="F254" s="1" t="s">
        <v>3310</v>
      </c>
      <c r="H254" s="2" t="s">
        <v>5</v>
      </c>
      <c r="I254" s="2" t="s">
        <v>6</v>
      </c>
      <c r="J254" s="2" t="s">
        <v>5</v>
      </c>
      <c r="K254" s="2" t="s">
        <v>5</v>
      </c>
      <c r="L254" s="2" t="s">
        <v>7</v>
      </c>
      <c r="M254" s="1" t="s">
        <v>3311</v>
      </c>
      <c r="N254" s="1" t="s">
        <v>3312</v>
      </c>
      <c r="O254" s="2" t="s">
        <v>259</v>
      </c>
      <c r="Q254" s="2" t="s">
        <v>10</v>
      </c>
      <c r="R254" s="2" t="s">
        <v>11</v>
      </c>
      <c r="T254" s="2" t="s">
        <v>12</v>
      </c>
      <c r="U254" s="3">
        <v>4</v>
      </c>
      <c r="V254" s="3">
        <v>4</v>
      </c>
      <c r="W254" s="4" t="s">
        <v>3313</v>
      </c>
      <c r="X254" s="4" t="s">
        <v>3313</v>
      </c>
      <c r="Y254" s="4" t="s">
        <v>3314</v>
      </c>
      <c r="Z254" s="4" t="s">
        <v>3314</v>
      </c>
      <c r="AA254" s="3">
        <v>94</v>
      </c>
      <c r="AB254" s="3">
        <v>35</v>
      </c>
      <c r="AC254" s="3">
        <v>40</v>
      </c>
      <c r="AD254" s="3">
        <v>2</v>
      </c>
      <c r="AE254" s="3">
        <v>2</v>
      </c>
      <c r="AF254" s="3">
        <v>1</v>
      </c>
      <c r="AG254" s="3">
        <v>1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1</v>
      </c>
      <c r="AO254" s="3">
        <v>1</v>
      </c>
      <c r="AP254" s="3">
        <v>0</v>
      </c>
      <c r="AQ254" s="3">
        <v>0</v>
      </c>
      <c r="AR254" s="2" t="s">
        <v>5</v>
      </c>
      <c r="AS254" s="2" t="s">
        <v>5</v>
      </c>
      <c r="AU254" s="5" t="str">
        <f>HYPERLINK("https://creighton-primo.hosted.exlibrisgroup.com/primo-explore/search?tab=default_tab&amp;search_scope=EVERYTHING&amp;vid=01CRU&amp;lang=en_US&amp;offset=0&amp;query=any,contains,991001120159702656","Catalog Record")</f>
        <v>Catalog Record</v>
      </c>
      <c r="AV254" s="5" t="str">
        <f>HYPERLINK("http://www.worldcat.org/oclc/29969219","WorldCat Record")</f>
        <v>WorldCat Record</v>
      </c>
      <c r="AW254" s="2" t="s">
        <v>3315</v>
      </c>
      <c r="AX254" s="2" t="s">
        <v>3316</v>
      </c>
      <c r="AY254" s="2" t="s">
        <v>3317</v>
      </c>
      <c r="AZ254" s="2" t="s">
        <v>3317</v>
      </c>
      <c r="BA254" s="2" t="s">
        <v>3318</v>
      </c>
      <c r="BB254" s="2" t="s">
        <v>19</v>
      </c>
      <c r="BD254" s="2" t="s">
        <v>3319</v>
      </c>
      <c r="BE254" s="2" t="s">
        <v>3320</v>
      </c>
      <c r="BF254" s="2" t="s">
        <v>3321</v>
      </c>
    </row>
    <row r="255" spans="1:58" ht="50.25" customHeight="1" x14ac:dyDescent="0.25">
      <c r="A255" s="8" t="s">
        <v>5</v>
      </c>
      <c r="B255" s="1" t="s">
        <v>0</v>
      </c>
      <c r="C255" s="1" t="s">
        <v>1</v>
      </c>
      <c r="D255" s="1" t="s">
        <v>3322</v>
      </c>
      <c r="E255" s="1" t="s">
        <v>3323</v>
      </c>
      <c r="F255" s="1" t="s">
        <v>3324</v>
      </c>
      <c r="H255" s="2" t="s">
        <v>5</v>
      </c>
      <c r="I255" s="2" t="s">
        <v>6</v>
      </c>
      <c r="J255" s="2" t="s">
        <v>5</v>
      </c>
      <c r="K255" s="2" t="s">
        <v>5</v>
      </c>
      <c r="L255" s="2" t="s">
        <v>6</v>
      </c>
      <c r="M255" s="1" t="s">
        <v>3325</v>
      </c>
      <c r="N255" s="1" t="s">
        <v>3326</v>
      </c>
      <c r="O255" s="2" t="s">
        <v>489</v>
      </c>
      <c r="Q255" s="2" t="s">
        <v>10</v>
      </c>
      <c r="R255" s="2" t="s">
        <v>11</v>
      </c>
      <c r="T255" s="2" t="s">
        <v>12</v>
      </c>
      <c r="U255" s="3">
        <v>3</v>
      </c>
      <c r="V255" s="3">
        <v>3</v>
      </c>
      <c r="W255" s="4" t="s">
        <v>3327</v>
      </c>
      <c r="X255" s="4" t="s">
        <v>3327</v>
      </c>
      <c r="Y255" s="4" t="s">
        <v>3328</v>
      </c>
      <c r="Z255" s="4" t="s">
        <v>3328</v>
      </c>
      <c r="AA255" s="3">
        <v>343</v>
      </c>
      <c r="AB255" s="3">
        <v>262</v>
      </c>
      <c r="AC255" s="3">
        <v>1520</v>
      </c>
      <c r="AD255" s="3">
        <v>2</v>
      </c>
      <c r="AE255" s="3">
        <v>32</v>
      </c>
      <c r="AF255" s="3">
        <v>11</v>
      </c>
      <c r="AG255" s="3">
        <v>54</v>
      </c>
      <c r="AH255" s="3">
        <v>3</v>
      </c>
      <c r="AI255" s="3">
        <v>16</v>
      </c>
      <c r="AJ255" s="3">
        <v>2</v>
      </c>
      <c r="AK255" s="3">
        <v>11</v>
      </c>
      <c r="AL255" s="3">
        <v>7</v>
      </c>
      <c r="AM255" s="3">
        <v>18</v>
      </c>
      <c r="AN255" s="3">
        <v>1</v>
      </c>
      <c r="AO255" s="3">
        <v>16</v>
      </c>
      <c r="AP255" s="3">
        <v>0</v>
      </c>
      <c r="AQ255" s="3">
        <v>2</v>
      </c>
      <c r="AR255" s="2" t="s">
        <v>5</v>
      </c>
      <c r="AS255" s="2" t="s">
        <v>5</v>
      </c>
      <c r="AU255" s="5" t="str">
        <f>HYPERLINK("https://creighton-primo.hosted.exlibrisgroup.com/primo-explore/search?tab=default_tab&amp;search_scope=EVERYTHING&amp;vid=01CRU&amp;lang=en_US&amp;offset=0&amp;query=any,contains,991000307139702656","Catalog Record")</f>
        <v>Catalog Record</v>
      </c>
      <c r="AV255" s="5" t="str">
        <f>HYPERLINK("http://www.worldcat.org/oclc/41981996","WorldCat Record")</f>
        <v>WorldCat Record</v>
      </c>
      <c r="AW255" s="2" t="s">
        <v>3329</v>
      </c>
      <c r="AX255" s="2" t="s">
        <v>3330</v>
      </c>
      <c r="AY255" s="2" t="s">
        <v>3331</v>
      </c>
      <c r="AZ255" s="2" t="s">
        <v>3331</v>
      </c>
      <c r="BA255" s="2" t="s">
        <v>3332</v>
      </c>
      <c r="BB255" s="2" t="s">
        <v>19</v>
      </c>
      <c r="BD255" s="2" t="s">
        <v>3333</v>
      </c>
      <c r="BE255" s="2" t="s">
        <v>3334</v>
      </c>
      <c r="BF255" s="2" t="s">
        <v>3335</v>
      </c>
    </row>
    <row r="256" spans="1:58" ht="50.25" customHeight="1" x14ac:dyDescent="0.25">
      <c r="A256" s="8" t="s">
        <v>5</v>
      </c>
      <c r="B256" s="1" t="s">
        <v>0</v>
      </c>
      <c r="C256" s="1" t="s">
        <v>1</v>
      </c>
      <c r="D256" s="1" t="s">
        <v>3336</v>
      </c>
      <c r="E256" s="1" t="s">
        <v>3337</v>
      </c>
      <c r="F256" s="1" t="s">
        <v>3338</v>
      </c>
      <c r="H256" s="2" t="s">
        <v>5</v>
      </c>
      <c r="I256" s="2" t="s">
        <v>6</v>
      </c>
      <c r="J256" s="2" t="s">
        <v>5</v>
      </c>
      <c r="K256" s="2" t="s">
        <v>5</v>
      </c>
      <c r="L256" s="2" t="s">
        <v>7</v>
      </c>
      <c r="N256" s="1" t="s">
        <v>3339</v>
      </c>
      <c r="O256" s="2" t="s">
        <v>1095</v>
      </c>
      <c r="Q256" s="2" t="s">
        <v>10</v>
      </c>
      <c r="R256" s="2" t="s">
        <v>3340</v>
      </c>
      <c r="T256" s="2" t="s">
        <v>12</v>
      </c>
      <c r="U256" s="3">
        <v>6</v>
      </c>
      <c r="V256" s="3">
        <v>6</v>
      </c>
      <c r="W256" s="4" t="s">
        <v>2035</v>
      </c>
      <c r="X256" s="4" t="s">
        <v>2035</v>
      </c>
      <c r="Y256" s="4" t="s">
        <v>3341</v>
      </c>
      <c r="Z256" s="4" t="s">
        <v>3341</v>
      </c>
      <c r="AA256" s="3">
        <v>182</v>
      </c>
      <c r="AB256" s="3">
        <v>172</v>
      </c>
      <c r="AC256" s="3">
        <v>172</v>
      </c>
      <c r="AD256" s="3">
        <v>1</v>
      </c>
      <c r="AE256" s="3">
        <v>1</v>
      </c>
      <c r="AF256" s="3">
        <v>2</v>
      </c>
      <c r="AG256" s="3">
        <v>2</v>
      </c>
      <c r="AH256" s="3">
        <v>1</v>
      </c>
      <c r="AI256" s="3">
        <v>1</v>
      </c>
      <c r="AJ256" s="3">
        <v>0</v>
      </c>
      <c r="AK256" s="3">
        <v>0</v>
      </c>
      <c r="AL256" s="3">
        <v>1</v>
      </c>
      <c r="AM256" s="3">
        <v>1</v>
      </c>
      <c r="AN256" s="3">
        <v>0</v>
      </c>
      <c r="AO256" s="3">
        <v>0</v>
      </c>
      <c r="AP256" s="3">
        <v>0</v>
      </c>
      <c r="AQ256" s="3">
        <v>0</v>
      </c>
      <c r="AR256" s="2" t="s">
        <v>5</v>
      </c>
      <c r="AS256" s="2" t="s">
        <v>5</v>
      </c>
      <c r="AU256" s="5" t="str">
        <f>HYPERLINK("https://creighton-primo.hosted.exlibrisgroup.com/primo-explore/search?tab=default_tab&amp;search_scope=EVERYTHING&amp;vid=01CRU&amp;lang=en_US&amp;offset=0&amp;query=any,contains,991001399029702656","Catalog Record")</f>
        <v>Catalog Record</v>
      </c>
      <c r="AV256" s="5" t="str">
        <f>HYPERLINK("http://www.worldcat.org/oclc/31970546","WorldCat Record")</f>
        <v>WorldCat Record</v>
      </c>
      <c r="AW256" s="2" t="s">
        <v>3342</v>
      </c>
      <c r="AX256" s="2" t="s">
        <v>3343</v>
      </c>
      <c r="AY256" s="2" t="s">
        <v>3344</v>
      </c>
      <c r="AZ256" s="2" t="s">
        <v>3344</v>
      </c>
      <c r="BA256" s="2" t="s">
        <v>3345</v>
      </c>
      <c r="BB256" s="2" t="s">
        <v>19</v>
      </c>
      <c r="BD256" s="2" t="s">
        <v>3346</v>
      </c>
      <c r="BE256" s="2" t="s">
        <v>3347</v>
      </c>
      <c r="BF256" s="2" t="s">
        <v>3348</v>
      </c>
    </row>
    <row r="257" spans="1:58" ht="50.25" customHeight="1" x14ac:dyDescent="0.25">
      <c r="A257" s="8" t="s">
        <v>5</v>
      </c>
      <c r="B257" s="1" t="s">
        <v>0</v>
      </c>
      <c r="C257" s="1" t="s">
        <v>1</v>
      </c>
      <c r="D257" s="1" t="s">
        <v>3349</v>
      </c>
      <c r="E257" s="1" t="s">
        <v>3350</v>
      </c>
      <c r="F257" s="1" t="s">
        <v>3351</v>
      </c>
      <c r="H257" s="2" t="s">
        <v>5</v>
      </c>
      <c r="I257" s="2" t="s">
        <v>6</v>
      </c>
      <c r="J257" s="2" t="s">
        <v>5</v>
      </c>
      <c r="K257" s="2" t="s">
        <v>5</v>
      </c>
      <c r="L257" s="2" t="s">
        <v>7</v>
      </c>
      <c r="N257" s="1" t="s">
        <v>3352</v>
      </c>
      <c r="O257" s="2" t="s">
        <v>3353</v>
      </c>
      <c r="Q257" s="2" t="s">
        <v>10</v>
      </c>
      <c r="R257" s="2" t="s">
        <v>3354</v>
      </c>
      <c r="S257" s="1" t="s">
        <v>3355</v>
      </c>
      <c r="T257" s="2" t="s">
        <v>12</v>
      </c>
      <c r="U257" s="3">
        <v>2</v>
      </c>
      <c r="V257" s="3">
        <v>2</v>
      </c>
      <c r="W257" s="4" t="s">
        <v>2035</v>
      </c>
      <c r="X257" s="4" t="s">
        <v>2035</v>
      </c>
      <c r="Y257" s="4" t="s">
        <v>2938</v>
      </c>
      <c r="Z257" s="4" t="s">
        <v>2938</v>
      </c>
      <c r="AA257" s="3">
        <v>176</v>
      </c>
      <c r="AB257" s="3">
        <v>159</v>
      </c>
      <c r="AC257" s="3">
        <v>175</v>
      </c>
      <c r="AD257" s="3">
        <v>3</v>
      </c>
      <c r="AE257" s="3">
        <v>3</v>
      </c>
      <c r="AF257" s="3">
        <v>4</v>
      </c>
      <c r="AG257" s="3">
        <v>4</v>
      </c>
      <c r="AH257" s="3">
        <v>0</v>
      </c>
      <c r="AI257" s="3">
        <v>0</v>
      </c>
      <c r="AJ257" s="3">
        <v>1</v>
      </c>
      <c r="AK257" s="3">
        <v>1</v>
      </c>
      <c r="AL257" s="3">
        <v>2</v>
      </c>
      <c r="AM257" s="3">
        <v>2</v>
      </c>
      <c r="AN257" s="3">
        <v>1</v>
      </c>
      <c r="AO257" s="3">
        <v>1</v>
      </c>
      <c r="AP257" s="3">
        <v>0</v>
      </c>
      <c r="AQ257" s="3">
        <v>0</v>
      </c>
      <c r="AR257" s="2" t="s">
        <v>5</v>
      </c>
      <c r="AS257" s="2" t="s">
        <v>90</v>
      </c>
      <c r="AT257" s="5" t="str">
        <f>HYPERLINK("http://catalog.hathitrust.org/Record/005148052","HathiTrust Record")</f>
        <v>HathiTrust Record</v>
      </c>
      <c r="AU257" s="5" t="str">
        <f>HYPERLINK("https://creighton-primo.hosted.exlibrisgroup.com/primo-explore/search?tab=default_tab&amp;search_scope=EVERYTHING&amp;vid=01CRU&amp;lang=en_US&amp;offset=0&amp;query=any,contains,991000724849702656","Catalog Record")</f>
        <v>Catalog Record</v>
      </c>
      <c r="AV257" s="5" t="str">
        <f>HYPERLINK("http://www.worldcat.org/oclc/369811","WorldCat Record")</f>
        <v>WorldCat Record</v>
      </c>
      <c r="AW257" s="2" t="s">
        <v>3356</v>
      </c>
      <c r="AX257" s="2" t="s">
        <v>3357</v>
      </c>
      <c r="AY257" s="2" t="s">
        <v>3358</v>
      </c>
      <c r="AZ257" s="2" t="s">
        <v>3358</v>
      </c>
      <c r="BA257" s="2" t="s">
        <v>3359</v>
      </c>
      <c r="BB257" s="2" t="s">
        <v>19</v>
      </c>
      <c r="BD257" s="2" t="s">
        <v>3360</v>
      </c>
      <c r="BE257" s="2" t="s">
        <v>3361</v>
      </c>
      <c r="BF257" s="2" t="s">
        <v>3362</v>
      </c>
    </row>
    <row r="258" spans="1:58" ht="50.25" customHeight="1" x14ac:dyDescent="0.25">
      <c r="A258" s="8" t="s">
        <v>5</v>
      </c>
      <c r="B258" s="1" t="s">
        <v>0</v>
      </c>
      <c r="C258" s="1" t="s">
        <v>1</v>
      </c>
      <c r="D258" s="1" t="s">
        <v>3363</v>
      </c>
      <c r="E258" s="1" t="s">
        <v>3364</v>
      </c>
      <c r="F258" s="1" t="s">
        <v>3365</v>
      </c>
      <c r="H258" s="2" t="s">
        <v>5</v>
      </c>
      <c r="I258" s="2" t="s">
        <v>6</v>
      </c>
      <c r="J258" s="2" t="s">
        <v>5</v>
      </c>
      <c r="K258" s="2" t="s">
        <v>5</v>
      </c>
      <c r="L258" s="2" t="s">
        <v>7</v>
      </c>
      <c r="N258" s="1" t="s">
        <v>2300</v>
      </c>
      <c r="O258" s="2" t="s">
        <v>259</v>
      </c>
      <c r="Q258" s="2" t="s">
        <v>10</v>
      </c>
      <c r="R258" s="2" t="s">
        <v>405</v>
      </c>
      <c r="T258" s="2" t="s">
        <v>12</v>
      </c>
      <c r="U258" s="3">
        <v>16</v>
      </c>
      <c r="V258" s="3">
        <v>16</v>
      </c>
      <c r="W258" s="4" t="s">
        <v>3366</v>
      </c>
      <c r="X258" s="4" t="s">
        <v>3366</v>
      </c>
      <c r="Y258" s="4" t="s">
        <v>942</v>
      </c>
      <c r="Z258" s="4" t="s">
        <v>942</v>
      </c>
      <c r="AA258" s="3">
        <v>216</v>
      </c>
      <c r="AB258" s="3">
        <v>178</v>
      </c>
      <c r="AC258" s="3">
        <v>251</v>
      </c>
      <c r="AD258" s="3">
        <v>3</v>
      </c>
      <c r="AE258" s="3">
        <v>3</v>
      </c>
      <c r="AF258" s="3">
        <v>6</v>
      </c>
      <c r="AG258" s="3">
        <v>9</v>
      </c>
      <c r="AH258" s="3">
        <v>3</v>
      </c>
      <c r="AI258" s="3">
        <v>4</v>
      </c>
      <c r="AJ258" s="3">
        <v>1</v>
      </c>
      <c r="AK258" s="3">
        <v>3</v>
      </c>
      <c r="AL258" s="3">
        <v>3</v>
      </c>
      <c r="AM258" s="3">
        <v>3</v>
      </c>
      <c r="AN258" s="3">
        <v>2</v>
      </c>
      <c r="AO258" s="3">
        <v>2</v>
      </c>
      <c r="AP258" s="3">
        <v>0</v>
      </c>
      <c r="AQ258" s="3">
        <v>0</v>
      </c>
      <c r="AR258" s="2" t="s">
        <v>5</v>
      </c>
      <c r="AS258" s="2" t="s">
        <v>90</v>
      </c>
      <c r="AT258" s="5" t="str">
        <f>HYPERLINK("http://catalog.hathitrust.org/Record/004546538","HathiTrust Record")</f>
        <v>HathiTrust Record</v>
      </c>
      <c r="AU258" s="5" t="str">
        <f>HYPERLINK("https://creighton-primo.hosted.exlibrisgroup.com/primo-explore/search?tab=default_tab&amp;search_scope=EVERYTHING&amp;vid=01CRU&amp;lang=en_US&amp;offset=0&amp;query=any,contains,991001397159702656","Catalog Record")</f>
        <v>Catalog Record</v>
      </c>
      <c r="AV258" s="5" t="str">
        <f>HYPERLINK("http://www.worldcat.org/oclc/28634390","WorldCat Record")</f>
        <v>WorldCat Record</v>
      </c>
      <c r="AW258" s="2" t="s">
        <v>3367</v>
      </c>
      <c r="AX258" s="2" t="s">
        <v>3368</v>
      </c>
      <c r="AY258" s="2" t="s">
        <v>3369</v>
      </c>
      <c r="AZ258" s="2" t="s">
        <v>3369</v>
      </c>
      <c r="BA258" s="2" t="s">
        <v>3370</v>
      </c>
      <c r="BB258" s="2" t="s">
        <v>19</v>
      </c>
      <c r="BD258" s="2" t="s">
        <v>3371</v>
      </c>
      <c r="BE258" s="2" t="s">
        <v>3372</v>
      </c>
      <c r="BF258" s="2" t="s">
        <v>3373</v>
      </c>
    </row>
    <row r="259" spans="1:58" ht="50.25" customHeight="1" x14ac:dyDescent="0.25">
      <c r="A259" s="8" t="s">
        <v>5</v>
      </c>
      <c r="B259" s="1" t="s">
        <v>0</v>
      </c>
      <c r="C259" s="1" t="s">
        <v>1</v>
      </c>
      <c r="D259" s="1" t="s">
        <v>3374</v>
      </c>
      <c r="E259" s="1" t="s">
        <v>3375</v>
      </c>
      <c r="F259" s="1" t="s">
        <v>3376</v>
      </c>
      <c r="H259" s="2" t="s">
        <v>5</v>
      </c>
      <c r="I259" s="2" t="s">
        <v>6</v>
      </c>
      <c r="J259" s="2" t="s">
        <v>5</v>
      </c>
      <c r="K259" s="2" t="s">
        <v>5</v>
      </c>
      <c r="L259" s="2" t="s">
        <v>7</v>
      </c>
      <c r="M259" s="1" t="s">
        <v>3377</v>
      </c>
      <c r="N259" s="1" t="s">
        <v>3378</v>
      </c>
      <c r="O259" s="2" t="s">
        <v>3379</v>
      </c>
      <c r="P259" s="1" t="s">
        <v>320</v>
      </c>
      <c r="Q259" s="2" t="s">
        <v>10</v>
      </c>
      <c r="R259" s="2" t="s">
        <v>11</v>
      </c>
      <c r="S259" s="1" t="s">
        <v>3380</v>
      </c>
      <c r="T259" s="2" t="s">
        <v>12</v>
      </c>
      <c r="U259" s="3">
        <v>4</v>
      </c>
      <c r="V259" s="3">
        <v>4</v>
      </c>
      <c r="W259" s="4" t="s">
        <v>3381</v>
      </c>
      <c r="X259" s="4" t="s">
        <v>3381</v>
      </c>
      <c r="Y259" s="4" t="s">
        <v>1585</v>
      </c>
      <c r="Z259" s="4" t="s">
        <v>1585</v>
      </c>
      <c r="AA259" s="3">
        <v>262</v>
      </c>
      <c r="AB259" s="3">
        <v>206</v>
      </c>
      <c r="AC259" s="3">
        <v>216</v>
      </c>
      <c r="AD259" s="3">
        <v>5</v>
      </c>
      <c r="AE259" s="3">
        <v>5</v>
      </c>
      <c r="AF259" s="3">
        <v>6</v>
      </c>
      <c r="AG259" s="3">
        <v>6</v>
      </c>
      <c r="AH259" s="3">
        <v>0</v>
      </c>
      <c r="AI259" s="3">
        <v>0</v>
      </c>
      <c r="AJ259" s="3">
        <v>2</v>
      </c>
      <c r="AK259" s="3">
        <v>2</v>
      </c>
      <c r="AL259" s="3">
        <v>1</v>
      </c>
      <c r="AM259" s="3">
        <v>1</v>
      </c>
      <c r="AN259" s="3">
        <v>4</v>
      </c>
      <c r="AO259" s="3">
        <v>4</v>
      </c>
      <c r="AP259" s="3">
        <v>0</v>
      </c>
      <c r="AQ259" s="3">
        <v>0</v>
      </c>
      <c r="AR259" s="2" t="s">
        <v>90</v>
      </c>
      <c r="AS259" s="2" t="s">
        <v>5</v>
      </c>
      <c r="AT259" s="5" t="str">
        <f>HYPERLINK("http://catalog.hathitrust.org/Record/001558918","HathiTrust Record")</f>
        <v>HathiTrust Record</v>
      </c>
      <c r="AU259" s="5" t="str">
        <f>HYPERLINK("https://creighton-primo.hosted.exlibrisgroup.com/primo-explore/search?tab=default_tab&amp;search_scope=EVERYTHING&amp;vid=01CRU&amp;lang=en_US&amp;offset=0&amp;query=any,contains,991000724949702656","Catalog Record")</f>
        <v>Catalog Record</v>
      </c>
      <c r="AV259" s="5" t="str">
        <f>HYPERLINK("http://www.worldcat.org/oclc/1610511","WorldCat Record")</f>
        <v>WorldCat Record</v>
      </c>
      <c r="AW259" s="2" t="s">
        <v>3382</v>
      </c>
      <c r="AX259" s="2" t="s">
        <v>3383</v>
      </c>
      <c r="AY259" s="2" t="s">
        <v>3384</v>
      </c>
      <c r="AZ259" s="2" t="s">
        <v>3384</v>
      </c>
      <c r="BA259" s="2" t="s">
        <v>3385</v>
      </c>
      <c r="BB259" s="2" t="s">
        <v>19</v>
      </c>
      <c r="BE259" s="2" t="s">
        <v>3386</v>
      </c>
      <c r="BF259" s="2" t="s">
        <v>3387</v>
      </c>
    </row>
    <row r="260" spans="1:58" ht="50.25" customHeight="1" x14ac:dyDescent="0.25">
      <c r="A260" s="8" t="s">
        <v>5</v>
      </c>
      <c r="B260" s="1" t="s">
        <v>0</v>
      </c>
      <c r="C260" s="1" t="s">
        <v>1</v>
      </c>
      <c r="D260" s="1" t="s">
        <v>3388</v>
      </c>
      <c r="E260" s="1" t="s">
        <v>3389</v>
      </c>
      <c r="F260" s="1" t="s">
        <v>3390</v>
      </c>
      <c r="H260" s="2" t="s">
        <v>5</v>
      </c>
      <c r="I260" s="2" t="s">
        <v>6</v>
      </c>
      <c r="J260" s="2" t="s">
        <v>5</v>
      </c>
      <c r="K260" s="2" t="s">
        <v>5</v>
      </c>
      <c r="L260" s="2" t="s">
        <v>7</v>
      </c>
      <c r="M260" s="1" t="s">
        <v>3391</v>
      </c>
      <c r="N260" s="1" t="s">
        <v>3392</v>
      </c>
      <c r="O260" s="2" t="s">
        <v>2963</v>
      </c>
      <c r="Q260" s="2" t="s">
        <v>10</v>
      </c>
      <c r="R260" s="2" t="s">
        <v>29</v>
      </c>
      <c r="T260" s="2" t="s">
        <v>12</v>
      </c>
      <c r="U260" s="3">
        <v>9</v>
      </c>
      <c r="V260" s="3">
        <v>9</v>
      </c>
      <c r="W260" s="4" t="s">
        <v>2035</v>
      </c>
      <c r="X260" s="4" t="s">
        <v>2035</v>
      </c>
      <c r="Y260" s="4" t="s">
        <v>3393</v>
      </c>
      <c r="Z260" s="4" t="s">
        <v>3393</v>
      </c>
      <c r="AA260" s="3">
        <v>128</v>
      </c>
      <c r="AB260" s="3">
        <v>113</v>
      </c>
      <c r="AC260" s="3">
        <v>135</v>
      </c>
      <c r="AD260" s="3">
        <v>1</v>
      </c>
      <c r="AE260" s="3">
        <v>1</v>
      </c>
      <c r="AF260" s="3">
        <v>2</v>
      </c>
      <c r="AG260" s="3">
        <v>2</v>
      </c>
      <c r="AH260" s="3">
        <v>1</v>
      </c>
      <c r="AI260" s="3">
        <v>1</v>
      </c>
      <c r="AJ260" s="3">
        <v>1</v>
      </c>
      <c r="AK260" s="3">
        <v>1</v>
      </c>
      <c r="AL260" s="3">
        <v>2</v>
      </c>
      <c r="AM260" s="3">
        <v>2</v>
      </c>
      <c r="AN260" s="3">
        <v>0</v>
      </c>
      <c r="AO260" s="3">
        <v>0</v>
      </c>
      <c r="AP260" s="3">
        <v>0</v>
      </c>
      <c r="AQ260" s="3">
        <v>0</v>
      </c>
      <c r="AR260" s="2" t="s">
        <v>5</v>
      </c>
      <c r="AS260" s="2" t="s">
        <v>5</v>
      </c>
      <c r="AU260" s="5" t="str">
        <f>HYPERLINK("https://creighton-primo.hosted.exlibrisgroup.com/primo-explore/search?tab=default_tab&amp;search_scope=EVERYTHING&amp;vid=01CRU&amp;lang=en_US&amp;offset=0&amp;query=any,contains,991000724989702656","Catalog Record")</f>
        <v>Catalog Record</v>
      </c>
      <c r="AV260" s="5" t="str">
        <f>HYPERLINK("http://www.worldcat.org/oclc/9785228","WorldCat Record")</f>
        <v>WorldCat Record</v>
      </c>
      <c r="AW260" s="2" t="s">
        <v>3394</v>
      </c>
      <c r="AX260" s="2" t="s">
        <v>3395</v>
      </c>
      <c r="AY260" s="2" t="s">
        <v>3396</v>
      </c>
      <c r="AZ260" s="2" t="s">
        <v>3396</v>
      </c>
      <c r="BA260" s="2" t="s">
        <v>3397</v>
      </c>
      <c r="BB260" s="2" t="s">
        <v>19</v>
      </c>
      <c r="BD260" s="2" t="s">
        <v>3398</v>
      </c>
      <c r="BE260" s="2" t="s">
        <v>3399</v>
      </c>
      <c r="BF260" s="2" t="s">
        <v>3400</v>
      </c>
    </row>
    <row r="261" spans="1:58" ht="50.25" customHeight="1" x14ac:dyDescent="0.25">
      <c r="A261" s="8" t="s">
        <v>5</v>
      </c>
      <c r="B261" s="1" t="s">
        <v>0</v>
      </c>
      <c r="C261" s="1" t="s">
        <v>1</v>
      </c>
      <c r="D261" s="1" t="s">
        <v>3401</v>
      </c>
      <c r="E261" s="1" t="s">
        <v>3402</v>
      </c>
      <c r="F261" s="1" t="s">
        <v>3403</v>
      </c>
      <c r="H261" s="2" t="s">
        <v>5</v>
      </c>
      <c r="I261" s="2" t="s">
        <v>6</v>
      </c>
      <c r="J261" s="2" t="s">
        <v>5</v>
      </c>
      <c r="K261" s="2" t="s">
        <v>5</v>
      </c>
      <c r="L261" s="2" t="s">
        <v>7</v>
      </c>
      <c r="M261" s="1" t="s">
        <v>3404</v>
      </c>
      <c r="N261" s="1" t="s">
        <v>3405</v>
      </c>
      <c r="O261" s="2" t="s">
        <v>60</v>
      </c>
      <c r="Q261" s="2" t="s">
        <v>10</v>
      </c>
      <c r="R261" s="2" t="s">
        <v>11</v>
      </c>
      <c r="T261" s="2" t="s">
        <v>12</v>
      </c>
      <c r="U261" s="3">
        <v>0</v>
      </c>
      <c r="V261" s="3">
        <v>0</v>
      </c>
      <c r="W261" s="4" t="s">
        <v>681</v>
      </c>
      <c r="X261" s="4" t="s">
        <v>681</v>
      </c>
      <c r="Y261" s="4" t="s">
        <v>3406</v>
      </c>
      <c r="Z261" s="4" t="s">
        <v>3406</v>
      </c>
      <c r="AA261" s="3">
        <v>130</v>
      </c>
      <c r="AB261" s="3">
        <v>106</v>
      </c>
      <c r="AC261" s="3">
        <v>128</v>
      </c>
      <c r="AD261" s="3">
        <v>3</v>
      </c>
      <c r="AE261" s="3">
        <v>3</v>
      </c>
      <c r="AF261" s="3">
        <v>5</v>
      </c>
      <c r="AG261" s="3">
        <v>7</v>
      </c>
      <c r="AH261" s="3">
        <v>1</v>
      </c>
      <c r="AI261" s="3">
        <v>2</v>
      </c>
      <c r="AJ261" s="3">
        <v>1</v>
      </c>
      <c r="AK261" s="3">
        <v>2</v>
      </c>
      <c r="AL261" s="3">
        <v>2</v>
      </c>
      <c r="AM261" s="3">
        <v>3</v>
      </c>
      <c r="AN261" s="3">
        <v>2</v>
      </c>
      <c r="AO261" s="3">
        <v>2</v>
      </c>
      <c r="AP261" s="3">
        <v>0</v>
      </c>
      <c r="AQ261" s="3">
        <v>0</v>
      </c>
      <c r="AR261" s="2" t="s">
        <v>5</v>
      </c>
      <c r="AS261" s="2" t="s">
        <v>5</v>
      </c>
      <c r="AU261" s="5" t="str">
        <f>HYPERLINK("https://creighton-primo.hosted.exlibrisgroup.com/primo-explore/search?tab=default_tab&amp;search_scope=EVERYTHING&amp;vid=01CRU&amp;lang=en_US&amp;offset=0&amp;query=any,contains,991000906879702656","Catalog Record")</f>
        <v>Catalog Record</v>
      </c>
      <c r="AV261" s="5" t="str">
        <f>HYPERLINK("http://www.worldcat.org/oclc/54073927","WorldCat Record")</f>
        <v>WorldCat Record</v>
      </c>
      <c r="AW261" s="2" t="s">
        <v>3407</v>
      </c>
      <c r="AX261" s="2" t="s">
        <v>3408</v>
      </c>
      <c r="AY261" s="2" t="s">
        <v>3409</v>
      </c>
      <c r="AZ261" s="2" t="s">
        <v>3409</v>
      </c>
      <c r="BA261" s="2" t="s">
        <v>3410</v>
      </c>
      <c r="BB261" s="2" t="s">
        <v>19</v>
      </c>
      <c r="BD261" s="2" t="s">
        <v>3411</v>
      </c>
      <c r="BE261" s="2" t="s">
        <v>3412</v>
      </c>
      <c r="BF261" s="2" t="s">
        <v>3413</v>
      </c>
    </row>
    <row r="262" spans="1:58" ht="50.25" customHeight="1" x14ac:dyDescent="0.25">
      <c r="A262" s="8" t="s">
        <v>5</v>
      </c>
      <c r="B262" s="1" t="s">
        <v>0</v>
      </c>
      <c r="C262" s="1" t="s">
        <v>1</v>
      </c>
      <c r="D262" s="1" t="s">
        <v>3414</v>
      </c>
      <c r="E262" s="1" t="s">
        <v>3415</v>
      </c>
      <c r="F262" s="1" t="s">
        <v>3416</v>
      </c>
      <c r="H262" s="2" t="s">
        <v>5</v>
      </c>
      <c r="I262" s="2" t="s">
        <v>6</v>
      </c>
      <c r="J262" s="2" t="s">
        <v>5</v>
      </c>
      <c r="K262" s="2" t="s">
        <v>5</v>
      </c>
      <c r="L262" s="2" t="s">
        <v>7</v>
      </c>
      <c r="M262" s="1" t="s">
        <v>3417</v>
      </c>
      <c r="N262" s="1" t="s">
        <v>3418</v>
      </c>
      <c r="O262" s="2" t="s">
        <v>2950</v>
      </c>
      <c r="Q262" s="2" t="s">
        <v>10</v>
      </c>
      <c r="R262" s="2" t="s">
        <v>29</v>
      </c>
      <c r="T262" s="2" t="s">
        <v>12</v>
      </c>
      <c r="U262" s="3">
        <v>7</v>
      </c>
      <c r="V262" s="3">
        <v>7</v>
      </c>
      <c r="W262" s="4" t="s">
        <v>2035</v>
      </c>
      <c r="X262" s="4" t="s">
        <v>2035</v>
      </c>
      <c r="Y262" s="4" t="s">
        <v>2938</v>
      </c>
      <c r="Z262" s="4" t="s">
        <v>2938</v>
      </c>
      <c r="AA262" s="3">
        <v>148</v>
      </c>
      <c r="AB262" s="3">
        <v>125</v>
      </c>
      <c r="AC262" s="3">
        <v>125</v>
      </c>
      <c r="AD262" s="3">
        <v>1</v>
      </c>
      <c r="AE262" s="3">
        <v>1</v>
      </c>
      <c r="AF262" s="3">
        <v>5</v>
      </c>
      <c r="AG262" s="3">
        <v>5</v>
      </c>
      <c r="AH262" s="3">
        <v>1</v>
      </c>
      <c r="AI262" s="3">
        <v>1</v>
      </c>
      <c r="AJ262" s="3">
        <v>2</v>
      </c>
      <c r="AK262" s="3">
        <v>2</v>
      </c>
      <c r="AL262" s="3">
        <v>3</v>
      </c>
      <c r="AM262" s="3">
        <v>3</v>
      </c>
      <c r="AN262" s="3">
        <v>0</v>
      </c>
      <c r="AO262" s="3">
        <v>0</v>
      </c>
      <c r="AP262" s="3">
        <v>0</v>
      </c>
      <c r="AQ262" s="3">
        <v>0</v>
      </c>
      <c r="AR262" s="2" t="s">
        <v>5</v>
      </c>
      <c r="AS262" s="2" t="s">
        <v>5</v>
      </c>
      <c r="AU262" s="5" t="str">
        <f>HYPERLINK("https://creighton-primo.hosted.exlibrisgroup.com/primo-explore/search?tab=default_tab&amp;search_scope=EVERYTHING&amp;vid=01CRU&amp;lang=en_US&amp;offset=0&amp;query=any,contains,991000725099702656","Catalog Record")</f>
        <v>Catalog Record</v>
      </c>
      <c r="AV262" s="5" t="str">
        <f>HYPERLINK("http://www.worldcat.org/oclc/7459329","WorldCat Record")</f>
        <v>WorldCat Record</v>
      </c>
      <c r="AW262" s="2" t="s">
        <v>3419</v>
      </c>
      <c r="AX262" s="2" t="s">
        <v>3420</v>
      </c>
      <c r="AY262" s="2" t="s">
        <v>3421</v>
      </c>
      <c r="AZ262" s="2" t="s">
        <v>3421</v>
      </c>
      <c r="BA262" s="2" t="s">
        <v>3422</v>
      </c>
      <c r="BB262" s="2" t="s">
        <v>19</v>
      </c>
      <c r="BD262" s="2" t="s">
        <v>3423</v>
      </c>
      <c r="BE262" s="2" t="s">
        <v>3424</v>
      </c>
      <c r="BF262" s="2" t="s">
        <v>3425</v>
      </c>
    </row>
    <row r="263" spans="1:58" ht="50.25" customHeight="1" x14ac:dyDescent="0.25">
      <c r="A263" s="8" t="s">
        <v>5</v>
      </c>
      <c r="B263" s="1" t="s">
        <v>0</v>
      </c>
      <c r="C263" s="1" t="s">
        <v>1</v>
      </c>
      <c r="D263" s="1" t="s">
        <v>3426</v>
      </c>
      <c r="E263" s="1" t="s">
        <v>3427</v>
      </c>
      <c r="F263" s="1" t="s">
        <v>3428</v>
      </c>
      <c r="H263" s="2" t="s">
        <v>5</v>
      </c>
      <c r="I263" s="2" t="s">
        <v>6</v>
      </c>
      <c r="J263" s="2" t="s">
        <v>5</v>
      </c>
      <c r="K263" s="2" t="s">
        <v>5</v>
      </c>
      <c r="L263" s="2" t="s">
        <v>7</v>
      </c>
      <c r="M263" s="1" t="s">
        <v>3429</v>
      </c>
      <c r="N263" s="1" t="s">
        <v>3430</v>
      </c>
      <c r="O263" s="2" t="s">
        <v>1095</v>
      </c>
      <c r="Q263" s="2" t="s">
        <v>10</v>
      </c>
      <c r="R263" s="2" t="s">
        <v>405</v>
      </c>
      <c r="T263" s="2" t="s">
        <v>12</v>
      </c>
      <c r="U263" s="3">
        <v>7</v>
      </c>
      <c r="V263" s="3">
        <v>7</v>
      </c>
      <c r="W263" s="4" t="s">
        <v>3431</v>
      </c>
      <c r="X263" s="4" t="s">
        <v>3431</v>
      </c>
      <c r="Y263" s="4" t="s">
        <v>3432</v>
      </c>
      <c r="Z263" s="4" t="s">
        <v>3432</v>
      </c>
      <c r="AA263" s="3">
        <v>358</v>
      </c>
      <c r="AB263" s="3">
        <v>255</v>
      </c>
      <c r="AC263" s="3">
        <v>260</v>
      </c>
      <c r="AD263" s="3">
        <v>3</v>
      </c>
      <c r="AE263" s="3">
        <v>3</v>
      </c>
      <c r="AF263" s="3">
        <v>13</v>
      </c>
      <c r="AG263" s="3">
        <v>13</v>
      </c>
      <c r="AH263" s="3">
        <v>4</v>
      </c>
      <c r="AI263" s="3">
        <v>4</v>
      </c>
      <c r="AJ263" s="3">
        <v>4</v>
      </c>
      <c r="AK263" s="3">
        <v>4</v>
      </c>
      <c r="AL263" s="3">
        <v>7</v>
      </c>
      <c r="AM263" s="3">
        <v>7</v>
      </c>
      <c r="AN263" s="3">
        <v>1</v>
      </c>
      <c r="AO263" s="3">
        <v>1</v>
      </c>
      <c r="AP263" s="3">
        <v>0</v>
      </c>
      <c r="AQ263" s="3">
        <v>0</v>
      </c>
      <c r="AR263" s="2" t="s">
        <v>5</v>
      </c>
      <c r="AS263" s="2" t="s">
        <v>5</v>
      </c>
      <c r="AU263" s="5" t="str">
        <f>HYPERLINK("https://creighton-primo.hosted.exlibrisgroup.com/primo-explore/search?tab=default_tab&amp;search_scope=EVERYTHING&amp;vid=01CRU&amp;lang=en_US&amp;offset=0&amp;query=any,contains,991001400739702656","Catalog Record")</f>
        <v>Catalog Record</v>
      </c>
      <c r="AV263" s="5" t="str">
        <f>HYPERLINK("http://www.worldcat.org/oclc/31900679","WorldCat Record")</f>
        <v>WorldCat Record</v>
      </c>
      <c r="AW263" s="2" t="s">
        <v>3433</v>
      </c>
      <c r="AX263" s="2" t="s">
        <v>3434</v>
      </c>
      <c r="AY263" s="2" t="s">
        <v>3435</v>
      </c>
      <c r="AZ263" s="2" t="s">
        <v>3435</v>
      </c>
      <c r="BA263" s="2" t="s">
        <v>3436</v>
      </c>
      <c r="BB263" s="2" t="s">
        <v>19</v>
      </c>
      <c r="BD263" s="2" t="s">
        <v>3437</v>
      </c>
      <c r="BE263" s="2" t="s">
        <v>3438</v>
      </c>
      <c r="BF263" s="2" t="s">
        <v>3439</v>
      </c>
    </row>
    <row r="264" spans="1:58" ht="50.25" customHeight="1" x14ac:dyDescent="0.25">
      <c r="A264" s="8" t="s">
        <v>5</v>
      </c>
      <c r="B264" s="1" t="s">
        <v>0</v>
      </c>
      <c r="C264" s="1" t="s">
        <v>1</v>
      </c>
      <c r="D264" s="1" t="s">
        <v>3440</v>
      </c>
      <c r="E264" s="1" t="s">
        <v>3441</v>
      </c>
      <c r="F264" s="1" t="s">
        <v>3442</v>
      </c>
      <c r="H264" s="2" t="s">
        <v>5</v>
      </c>
      <c r="I264" s="2" t="s">
        <v>6</v>
      </c>
      <c r="J264" s="2" t="s">
        <v>5</v>
      </c>
      <c r="K264" s="2" t="s">
        <v>5</v>
      </c>
      <c r="L264" s="2" t="s">
        <v>7</v>
      </c>
      <c r="N264" s="1" t="s">
        <v>3443</v>
      </c>
      <c r="O264" s="2" t="s">
        <v>228</v>
      </c>
      <c r="Q264" s="2" t="s">
        <v>10</v>
      </c>
      <c r="R264" s="2" t="s">
        <v>77</v>
      </c>
      <c r="S264" s="1" t="s">
        <v>3444</v>
      </c>
      <c r="T264" s="2" t="s">
        <v>12</v>
      </c>
      <c r="U264" s="3">
        <v>8</v>
      </c>
      <c r="V264" s="3">
        <v>8</v>
      </c>
      <c r="W264" s="4" t="s">
        <v>3445</v>
      </c>
      <c r="X264" s="4" t="s">
        <v>3445</v>
      </c>
      <c r="Y264" s="4" t="s">
        <v>3124</v>
      </c>
      <c r="Z264" s="4" t="s">
        <v>3124</v>
      </c>
      <c r="AA264" s="3">
        <v>243</v>
      </c>
      <c r="AB264" s="3">
        <v>145</v>
      </c>
      <c r="AC264" s="3">
        <v>151</v>
      </c>
      <c r="AD264" s="3">
        <v>1</v>
      </c>
      <c r="AE264" s="3">
        <v>1</v>
      </c>
      <c r="AF264" s="3">
        <v>4</v>
      </c>
      <c r="AG264" s="3">
        <v>4</v>
      </c>
      <c r="AH264" s="3">
        <v>0</v>
      </c>
      <c r="AI264" s="3">
        <v>0</v>
      </c>
      <c r="AJ264" s="3">
        <v>1</v>
      </c>
      <c r="AK264" s="3">
        <v>1</v>
      </c>
      <c r="AL264" s="3">
        <v>3</v>
      </c>
      <c r="AM264" s="3">
        <v>3</v>
      </c>
      <c r="AN264" s="3">
        <v>0</v>
      </c>
      <c r="AO264" s="3">
        <v>0</v>
      </c>
      <c r="AP264" s="3">
        <v>0</v>
      </c>
      <c r="AQ264" s="3">
        <v>0</v>
      </c>
      <c r="AR264" s="2" t="s">
        <v>5</v>
      </c>
      <c r="AS264" s="2" t="s">
        <v>90</v>
      </c>
      <c r="AT264" s="5" t="str">
        <f>HYPERLINK("http://catalog.hathitrust.org/Record/000927034","HathiTrust Record")</f>
        <v>HathiTrust Record</v>
      </c>
      <c r="AU264" s="5" t="str">
        <f>HYPERLINK("https://creighton-primo.hosted.exlibrisgroup.com/primo-explore/search?tab=default_tab&amp;search_scope=EVERYTHING&amp;vid=01CRU&amp;lang=en_US&amp;offset=0&amp;query=any,contains,991001425109702656","Catalog Record")</f>
        <v>Catalog Record</v>
      </c>
      <c r="AV264" s="5" t="str">
        <f>HYPERLINK("http://www.worldcat.org/oclc/16868655","WorldCat Record")</f>
        <v>WorldCat Record</v>
      </c>
      <c r="AW264" s="2" t="s">
        <v>3446</v>
      </c>
      <c r="AX264" s="2" t="s">
        <v>3447</v>
      </c>
      <c r="AY264" s="2" t="s">
        <v>3448</v>
      </c>
      <c r="AZ264" s="2" t="s">
        <v>3448</v>
      </c>
      <c r="BA264" s="2" t="s">
        <v>3449</v>
      </c>
      <c r="BB264" s="2" t="s">
        <v>19</v>
      </c>
      <c r="BD264" s="2" t="s">
        <v>3450</v>
      </c>
      <c r="BE264" s="2" t="s">
        <v>3451</v>
      </c>
      <c r="BF264" s="2" t="s">
        <v>3452</v>
      </c>
    </row>
    <row r="265" spans="1:58" ht="50.25" customHeight="1" x14ac:dyDescent="0.25">
      <c r="A265" s="8" t="s">
        <v>5</v>
      </c>
      <c r="B265" s="1" t="s">
        <v>0</v>
      </c>
      <c r="C265" s="1" t="s">
        <v>1</v>
      </c>
      <c r="D265" s="1" t="s">
        <v>3453</v>
      </c>
      <c r="E265" s="1" t="s">
        <v>3454</v>
      </c>
      <c r="F265" s="1" t="s">
        <v>3455</v>
      </c>
      <c r="H265" s="2" t="s">
        <v>5</v>
      </c>
      <c r="I265" s="2" t="s">
        <v>6</v>
      </c>
      <c r="J265" s="2" t="s">
        <v>5</v>
      </c>
      <c r="K265" s="2" t="s">
        <v>5</v>
      </c>
      <c r="L265" s="2" t="s">
        <v>6</v>
      </c>
      <c r="N265" s="1" t="s">
        <v>3456</v>
      </c>
      <c r="O265" s="2" t="s">
        <v>349</v>
      </c>
      <c r="Q265" s="2" t="s">
        <v>10</v>
      </c>
      <c r="R265" s="2" t="s">
        <v>45</v>
      </c>
      <c r="S265" s="1" t="s">
        <v>3457</v>
      </c>
      <c r="T265" s="2" t="s">
        <v>12</v>
      </c>
      <c r="U265" s="3">
        <v>0</v>
      </c>
      <c r="V265" s="3">
        <v>0</v>
      </c>
      <c r="W265" s="4" t="s">
        <v>2685</v>
      </c>
      <c r="X265" s="4" t="s">
        <v>2685</v>
      </c>
      <c r="Y265" s="4" t="s">
        <v>2686</v>
      </c>
      <c r="Z265" s="4" t="s">
        <v>2686</v>
      </c>
      <c r="AA265" s="3">
        <v>197</v>
      </c>
      <c r="AB265" s="3">
        <v>140</v>
      </c>
      <c r="AC265" s="3">
        <v>452</v>
      </c>
      <c r="AD265" s="3">
        <v>2</v>
      </c>
      <c r="AE265" s="3">
        <v>3</v>
      </c>
      <c r="AF265" s="3">
        <v>6</v>
      </c>
      <c r="AG265" s="3">
        <v>15</v>
      </c>
      <c r="AH265" s="3">
        <v>2</v>
      </c>
      <c r="AI265" s="3">
        <v>7</v>
      </c>
      <c r="AJ265" s="3">
        <v>1</v>
      </c>
      <c r="AK265" s="3">
        <v>3</v>
      </c>
      <c r="AL265" s="3">
        <v>3</v>
      </c>
      <c r="AM265" s="3">
        <v>7</v>
      </c>
      <c r="AN265" s="3">
        <v>1</v>
      </c>
      <c r="AO265" s="3">
        <v>1</v>
      </c>
      <c r="AP265" s="3">
        <v>0</v>
      </c>
      <c r="AQ265" s="3">
        <v>0</v>
      </c>
      <c r="AR265" s="2" t="s">
        <v>5</v>
      </c>
      <c r="AS265" s="2" t="s">
        <v>90</v>
      </c>
      <c r="AT265" s="5" t="str">
        <f>HYPERLINK("http://catalog.hathitrust.org/Record/004176859","HathiTrust Record")</f>
        <v>HathiTrust Record</v>
      </c>
      <c r="AU265" s="5" t="str">
        <f>HYPERLINK("https://creighton-primo.hosted.exlibrisgroup.com/primo-explore/search?tab=default_tab&amp;search_scope=EVERYTHING&amp;vid=01CRU&amp;lang=en_US&amp;offset=0&amp;query=any,contains,991000445769702656","Catalog Record")</f>
        <v>Catalog Record</v>
      </c>
      <c r="AV265" s="5" t="str">
        <f>HYPERLINK("http://www.worldcat.org/oclc/46343090","WorldCat Record")</f>
        <v>WorldCat Record</v>
      </c>
      <c r="AW265" s="2" t="s">
        <v>3458</v>
      </c>
      <c r="AX265" s="2" t="s">
        <v>3459</v>
      </c>
      <c r="AY265" s="2" t="s">
        <v>3460</v>
      </c>
      <c r="AZ265" s="2" t="s">
        <v>3460</v>
      </c>
      <c r="BA265" s="2" t="s">
        <v>3461</v>
      </c>
      <c r="BB265" s="2" t="s">
        <v>19</v>
      </c>
      <c r="BD265" s="2" t="s">
        <v>3462</v>
      </c>
      <c r="BE265" s="2" t="s">
        <v>3463</v>
      </c>
      <c r="BF265" s="2" t="s">
        <v>3464</v>
      </c>
    </row>
    <row r="266" spans="1:58" ht="50.25" customHeight="1" x14ac:dyDescent="0.25">
      <c r="A266" s="8" t="s">
        <v>5</v>
      </c>
      <c r="B266" s="1" t="s">
        <v>0</v>
      </c>
      <c r="C266" s="1" t="s">
        <v>1</v>
      </c>
      <c r="D266" s="1" t="s">
        <v>3465</v>
      </c>
      <c r="E266" s="1" t="s">
        <v>3466</v>
      </c>
      <c r="F266" s="1" t="s">
        <v>3467</v>
      </c>
      <c r="H266" s="2" t="s">
        <v>5</v>
      </c>
      <c r="I266" s="2" t="s">
        <v>6</v>
      </c>
      <c r="J266" s="2" t="s">
        <v>5</v>
      </c>
      <c r="K266" s="2" t="s">
        <v>5</v>
      </c>
      <c r="L266" s="2" t="s">
        <v>7</v>
      </c>
      <c r="N266" s="1" t="s">
        <v>3468</v>
      </c>
      <c r="O266" s="2" t="s">
        <v>2963</v>
      </c>
      <c r="Q266" s="2" t="s">
        <v>10</v>
      </c>
      <c r="R266" s="2" t="s">
        <v>77</v>
      </c>
      <c r="S266" s="1" t="s">
        <v>3444</v>
      </c>
      <c r="T266" s="2" t="s">
        <v>12</v>
      </c>
      <c r="U266" s="3">
        <v>5</v>
      </c>
      <c r="V266" s="3">
        <v>5</v>
      </c>
      <c r="W266" s="4" t="s">
        <v>3381</v>
      </c>
      <c r="X266" s="4" t="s">
        <v>3381</v>
      </c>
      <c r="Y266" s="4" t="s">
        <v>2938</v>
      </c>
      <c r="Z266" s="4" t="s">
        <v>2938</v>
      </c>
      <c r="AA266" s="3">
        <v>231</v>
      </c>
      <c r="AB266" s="3">
        <v>125</v>
      </c>
      <c r="AC266" s="3">
        <v>125</v>
      </c>
      <c r="AD266" s="3">
        <v>1</v>
      </c>
      <c r="AE266" s="3">
        <v>1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2" t="s">
        <v>5</v>
      </c>
      <c r="AS266" s="2" t="s">
        <v>5</v>
      </c>
      <c r="AU266" s="5" t="str">
        <f>HYPERLINK("https://creighton-primo.hosted.exlibrisgroup.com/primo-explore/search?tab=default_tab&amp;search_scope=EVERYTHING&amp;vid=01CRU&amp;lang=en_US&amp;offset=0&amp;query=any,contains,991000725259702656","Catalog Record")</f>
        <v>Catalog Record</v>
      </c>
      <c r="AV266" s="5" t="str">
        <f>HYPERLINK("http://www.worldcat.org/oclc/9644488","WorldCat Record")</f>
        <v>WorldCat Record</v>
      </c>
      <c r="AW266" s="2" t="s">
        <v>3469</v>
      </c>
      <c r="AX266" s="2" t="s">
        <v>3470</v>
      </c>
      <c r="AY266" s="2" t="s">
        <v>3471</v>
      </c>
      <c r="AZ266" s="2" t="s">
        <v>3471</v>
      </c>
      <c r="BA266" s="2" t="s">
        <v>3472</v>
      </c>
      <c r="BB266" s="2" t="s">
        <v>19</v>
      </c>
      <c r="BD266" s="2" t="s">
        <v>3473</v>
      </c>
      <c r="BE266" s="2" t="s">
        <v>3474</v>
      </c>
      <c r="BF266" s="2" t="s">
        <v>3475</v>
      </c>
    </row>
    <row r="267" spans="1:58" ht="50.25" customHeight="1" x14ac:dyDescent="0.25">
      <c r="A267" s="8" t="s">
        <v>5</v>
      </c>
      <c r="B267" s="1" t="s">
        <v>0</v>
      </c>
      <c r="C267" s="1" t="s">
        <v>1</v>
      </c>
      <c r="D267" s="1" t="s">
        <v>3476</v>
      </c>
      <c r="E267" s="1" t="s">
        <v>3477</v>
      </c>
      <c r="F267" s="1" t="s">
        <v>3478</v>
      </c>
      <c r="H267" s="2" t="s">
        <v>5</v>
      </c>
      <c r="I267" s="2" t="s">
        <v>6</v>
      </c>
      <c r="J267" s="2" t="s">
        <v>5</v>
      </c>
      <c r="K267" s="2" t="s">
        <v>5</v>
      </c>
      <c r="L267" s="2" t="s">
        <v>7</v>
      </c>
      <c r="N267" s="1" t="s">
        <v>3479</v>
      </c>
      <c r="O267" s="2" t="s">
        <v>680</v>
      </c>
      <c r="Q267" s="2" t="s">
        <v>10</v>
      </c>
      <c r="R267" s="2" t="s">
        <v>184</v>
      </c>
      <c r="T267" s="2" t="s">
        <v>12</v>
      </c>
      <c r="U267" s="3">
        <v>3</v>
      </c>
      <c r="V267" s="3">
        <v>3</v>
      </c>
      <c r="W267" s="4" t="s">
        <v>406</v>
      </c>
      <c r="X267" s="4" t="s">
        <v>406</v>
      </c>
      <c r="Y267" s="4" t="s">
        <v>983</v>
      </c>
      <c r="Z267" s="4" t="s">
        <v>983</v>
      </c>
      <c r="AA267" s="3">
        <v>250</v>
      </c>
      <c r="AB267" s="3">
        <v>166</v>
      </c>
      <c r="AC267" s="3">
        <v>850</v>
      </c>
      <c r="AD267" s="3">
        <v>2</v>
      </c>
      <c r="AE267" s="3">
        <v>18</v>
      </c>
      <c r="AF267" s="3">
        <v>10</v>
      </c>
      <c r="AG267" s="3">
        <v>38</v>
      </c>
      <c r="AH267" s="3">
        <v>2</v>
      </c>
      <c r="AI267" s="3">
        <v>12</v>
      </c>
      <c r="AJ267" s="3">
        <v>5</v>
      </c>
      <c r="AK267" s="3">
        <v>10</v>
      </c>
      <c r="AL267" s="3">
        <v>6</v>
      </c>
      <c r="AM267" s="3">
        <v>12</v>
      </c>
      <c r="AN267" s="3">
        <v>1</v>
      </c>
      <c r="AO267" s="3">
        <v>10</v>
      </c>
      <c r="AP267" s="3">
        <v>0</v>
      </c>
      <c r="AQ267" s="3">
        <v>1</v>
      </c>
      <c r="AR267" s="2" t="s">
        <v>5</v>
      </c>
      <c r="AS267" s="2" t="s">
        <v>90</v>
      </c>
      <c r="AT267" s="5" t="str">
        <f>HYPERLINK("http://catalog.hathitrust.org/Record/005126473","HathiTrust Record")</f>
        <v>HathiTrust Record</v>
      </c>
      <c r="AU267" s="5" t="str">
        <f>HYPERLINK("https://creighton-primo.hosted.exlibrisgroup.com/primo-explore/search?tab=default_tab&amp;search_scope=EVERYTHING&amp;vid=01CRU&amp;lang=en_US&amp;offset=0&amp;query=any,contains,991000604639702656","Catalog Record")</f>
        <v>Catalog Record</v>
      </c>
      <c r="AV267" s="5" t="str">
        <f>HYPERLINK("http://www.worldcat.org/oclc/60856232","WorldCat Record")</f>
        <v>WorldCat Record</v>
      </c>
      <c r="AW267" s="2" t="s">
        <v>3480</v>
      </c>
      <c r="AX267" s="2" t="s">
        <v>3481</v>
      </c>
      <c r="AY267" s="2" t="s">
        <v>3482</v>
      </c>
      <c r="AZ267" s="2" t="s">
        <v>3482</v>
      </c>
      <c r="BA267" s="2" t="s">
        <v>3483</v>
      </c>
      <c r="BB267" s="2" t="s">
        <v>19</v>
      </c>
      <c r="BD267" s="2" t="s">
        <v>3484</v>
      </c>
      <c r="BE267" s="2" t="s">
        <v>3485</v>
      </c>
      <c r="BF267" s="2" t="s">
        <v>3486</v>
      </c>
    </row>
    <row r="268" spans="1:58" ht="50.25" customHeight="1" x14ac:dyDescent="0.25">
      <c r="A268" s="8" t="s">
        <v>5</v>
      </c>
      <c r="B268" s="1" t="s">
        <v>0</v>
      </c>
      <c r="C268" s="1" t="s">
        <v>1</v>
      </c>
      <c r="D268" s="1" t="s">
        <v>3487</v>
      </c>
      <c r="E268" s="1" t="s">
        <v>3488</v>
      </c>
      <c r="F268" s="1" t="s">
        <v>3489</v>
      </c>
      <c r="H268" s="2" t="s">
        <v>5</v>
      </c>
      <c r="I268" s="2" t="s">
        <v>6</v>
      </c>
      <c r="J268" s="2" t="s">
        <v>5</v>
      </c>
      <c r="K268" s="2" t="s">
        <v>5</v>
      </c>
      <c r="L268" s="2" t="s">
        <v>7</v>
      </c>
      <c r="M268" s="1" t="s">
        <v>3490</v>
      </c>
      <c r="N268" s="1" t="s">
        <v>3491</v>
      </c>
      <c r="O268" s="2" t="s">
        <v>3003</v>
      </c>
      <c r="Q268" s="2" t="s">
        <v>10</v>
      </c>
      <c r="R268" s="2" t="s">
        <v>45</v>
      </c>
      <c r="T268" s="2" t="s">
        <v>12</v>
      </c>
      <c r="U268" s="3">
        <v>2</v>
      </c>
      <c r="V268" s="3">
        <v>2</v>
      </c>
      <c r="W268" s="4" t="s">
        <v>3492</v>
      </c>
      <c r="X268" s="4" t="s">
        <v>3492</v>
      </c>
      <c r="Y268" s="4" t="s">
        <v>1255</v>
      </c>
      <c r="Z268" s="4" t="s">
        <v>1255</v>
      </c>
      <c r="AA268" s="3">
        <v>255</v>
      </c>
      <c r="AB268" s="3">
        <v>191</v>
      </c>
      <c r="AC268" s="3">
        <v>197</v>
      </c>
      <c r="AD268" s="3">
        <v>2</v>
      </c>
      <c r="AE268" s="3">
        <v>2</v>
      </c>
      <c r="AF268" s="3">
        <v>4</v>
      </c>
      <c r="AG268" s="3">
        <v>4</v>
      </c>
      <c r="AH268" s="3">
        <v>1</v>
      </c>
      <c r="AI268" s="3">
        <v>1</v>
      </c>
      <c r="AJ268" s="3">
        <v>1</v>
      </c>
      <c r="AK268" s="3">
        <v>1</v>
      </c>
      <c r="AL268" s="3">
        <v>3</v>
      </c>
      <c r="AM268" s="3">
        <v>3</v>
      </c>
      <c r="AN268" s="3">
        <v>1</v>
      </c>
      <c r="AO268" s="3">
        <v>1</v>
      </c>
      <c r="AP268" s="3">
        <v>0</v>
      </c>
      <c r="AQ268" s="3">
        <v>0</v>
      </c>
      <c r="AR268" s="2" t="s">
        <v>5</v>
      </c>
      <c r="AS268" s="2" t="s">
        <v>90</v>
      </c>
      <c r="AT268" s="5" t="str">
        <f>HYPERLINK("http://catalog.hathitrust.org/Record/000609108","HathiTrust Record")</f>
        <v>HathiTrust Record</v>
      </c>
      <c r="AU268" s="5" t="str">
        <f>HYPERLINK("https://creighton-primo.hosted.exlibrisgroup.com/primo-explore/search?tab=default_tab&amp;search_scope=EVERYTHING&amp;vid=01CRU&amp;lang=en_US&amp;offset=0&amp;query=any,contains,991001418919702656","Catalog Record")</f>
        <v>Catalog Record</v>
      </c>
      <c r="AV268" s="5" t="str">
        <f>HYPERLINK("http://www.worldcat.org/oclc/9828836","WorldCat Record")</f>
        <v>WorldCat Record</v>
      </c>
      <c r="AW268" s="2" t="s">
        <v>3493</v>
      </c>
      <c r="AX268" s="2" t="s">
        <v>3494</v>
      </c>
      <c r="AY268" s="2" t="s">
        <v>3495</v>
      </c>
      <c r="AZ268" s="2" t="s">
        <v>3495</v>
      </c>
      <c r="BA268" s="2" t="s">
        <v>3496</v>
      </c>
      <c r="BB268" s="2" t="s">
        <v>19</v>
      </c>
      <c r="BD268" s="2" t="s">
        <v>3497</v>
      </c>
      <c r="BE268" s="2" t="s">
        <v>3498</v>
      </c>
      <c r="BF268" s="2" t="s">
        <v>3499</v>
      </c>
    </row>
    <row r="269" spans="1:58" ht="50.25" customHeight="1" x14ac:dyDescent="0.25">
      <c r="A269" s="8" t="s">
        <v>5</v>
      </c>
      <c r="B269" s="1" t="s">
        <v>0</v>
      </c>
      <c r="C269" s="1" t="s">
        <v>1</v>
      </c>
      <c r="D269" s="1" t="s">
        <v>3500</v>
      </c>
      <c r="E269" s="1" t="s">
        <v>3501</v>
      </c>
      <c r="F269" s="1" t="s">
        <v>3502</v>
      </c>
      <c r="H269" s="2" t="s">
        <v>5</v>
      </c>
      <c r="I269" s="2" t="s">
        <v>6</v>
      </c>
      <c r="J269" s="2" t="s">
        <v>5</v>
      </c>
      <c r="K269" s="2" t="s">
        <v>5</v>
      </c>
      <c r="L269" s="2" t="s">
        <v>7</v>
      </c>
      <c r="M269" s="1" t="s">
        <v>3503</v>
      </c>
      <c r="N269" s="1" t="s">
        <v>3504</v>
      </c>
      <c r="O269" s="2" t="s">
        <v>60</v>
      </c>
      <c r="P269" s="1" t="s">
        <v>568</v>
      </c>
      <c r="Q269" s="2" t="s">
        <v>10</v>
      </c>
      <c r="R269" s="2" t="s">
        <v>61</v>
      </c>
      <c r="T269" s="2" t="s">
        <v>12</v>
      </c>
      <c r="U269" s="3">
        <v>2</v>
      </c>
      <c r="V269" s="3">
        <v>2</v>
      </c>
      <c r="W269" s="4" t="s">
        <v>3505</v>
      </c>
      <c r="X269" s="4" t="s">
        <v>3505</v>
      </c>
      <c r="Y269" s="4" t="s">
        <v>3506</v>
      </c>
      <c r="Z269" s="4" t="s">
        <v>3506</v>
      </c>
      <c r="AA269" s="3">
        <v>67</v>
      </c>
      <c r="AB269" s="3">
        <v>59</v>
      </c>
      <c r="AC269" s="3">
        <v>59</v>
      </c>
      <c r="AD269" s="3">
        <v>1</v>
      </c>
      <c r="AE269" s="3">
        <v>1</v>
      </c>
      <c r="AF269" s="3">
        <v>1</v>
      </c>
      <c r="AG269" s="3">
        <v>1</v>
      </c>
      <c r="AH269" s="3">
        <v>0</v>
      </c>
      <c r="AI269" s="3">
        <v>0</v>
      </c>
      <c r="AJ269" s="3">
        <v>1</v>
      </c>
      <c r="AK269" s="3">
        <v>1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2" t="s">
        <v>5</v>
      </c>
      <c r="AS269" s="2" t="s">
        <v>5</v>
      </c>
      <c r="AU269" s="5" t="str">
        <f>HYPERLINK("https://creighton-primo.hosted.exlibrisgroup.com/primo-explore/search?tab=default_tab&amp;search_scope=EVERYTHING&amp;vid=01CRU&amp;lang=en_US&amp;offset=0&amp;query=any,contains,991000425009702656","Catalog Record")</f>
        <v>Catalog Record</v>
      </c>
      <c r="AV269" s="5" t="str">
        <f>HYPERLINK("http://www.worldcat.org/oclc/53477929","WorldCat Record")</f>
        <v>WorldCat Record</v>
      </c>
      <c r="AW269" s="2" t="s">
        <v>3507</v>
      </c>
      <c r="AX269" s="2" t="s">
        <v>3508</v>
      </c>
      <c r="AY269" s="2" t="s">
        <v>3509</v>
      </c>
      <c r="AZ269" s="2" t="s">
        <v>3509</v>
      </c>
      <c r="BA269" s="2" t="s">
        <v>3510</v>
      </c>
      <c r="BB269" s="2" t="s">
        <v>19</v>
      </c>
      <c r="BD269" s="2" t="s">
        <v>3511</v>
      </c>
      <c r="BE269" s="2" t="s">
        <v>3512</v>
      </c>
      <c r="BF269" s="2" t="s">
        <v>3513</v>
      </c>
    </row>
    <row r="270" spans="1:58" ht="50.25" customHeight="1" x14ac:dyDescent="0.25">
      <c r="A270" s="8" t="s">
        <v>5</v>
      </c>
      <c r="B270" s="1" t="s">
        <v>0</v>
      </c>
      <c r="C270" s="1" t="s">
        <v>1</v>
      </c>
      <c r="D270" s="1" t="s">
        <v>3514</v>
      </c>
      <c r="E270" s="1" t="s">
        <v>3515</v>
      </c>
      <c r="F270" s="1" t="s">
        <v>3516</v>
      </c>
      <c r="H270" s="2" t="s">
        <v>5</v>
      </c>
      <c r="I270" s="2" t="s">
        <v>6</v>
      </c>
      <c r="J270" s="2" t="s">
        <v>5</v>
      </c>
      <c r="K270" s="2" t="s">
        <v>90</v>
      </c>
      <c r="L270" s="2" t="s">
        <v>6</v>
      </c>
      <c r="M270" s="1" t="s">
        <v>3517</v>
      </c>
      <c r="N270" s="1" t="s">
        <v>1453</v>
      </c>
      <c r="O270" s="2" t="s">
        <v>28</v>
      </c>
      <c r="Q270" s="2" t="s">
        <v>10</v>
      </c>
      <c r="R270" s="2" t="s">
        <v>29</v>
      </c>
      <c r="S270" s="1" t="s">
        <v>3518</v>
      </c>
      <c r="T270" s="2" t="s">
        <v>12</v>
      </c>
      <c r="U270" s="3">
        <v>7</v>
      </c>
      <c r="V270" s="3">
        <v>7</v>
      </c>
      <c r="W270" s="4" t="s">
        <v>3519</v>
      </c>
      <c r="X270" s="4" t="s">
        <v>3519</v>
      </c>
      <c r="Y270" s="4" t="s">
        <v>1844</v>
      </c>
      <c r="Z270" s="4" t="s">
        <v>1844</v>
      </c>
      <c r="AA270" s="3">
        <v>242</v>
      </c>
      <c r="AB270" s="3">
        <v>156</v>
      </c>
      <c r="AC270" s="3">
        <v>1107</v>
      </c>
      <c r="AD270" s="3">
        <v>1</v>
      </c>
      <c r="AE270" s="3">
        <v>14</v>
      </c>
      <c r="AF270" s="3">
        <v>2</v>
      </c>
      <c r="AG270" s="3">
        <v>44</v>
      </c>
      <c r="AH270" s="3">
        <v>0</v>
      </c>
      <c r="AI270" s="3">
        <v>12</v>
      </c>
      <c r="AJ270" s="3">
        <v>1</v>
      </c>
      <c r="AK270" s="3">
        <v>12</v>
      </c>
      <c r="AL270" s="3">
        <v>2</v>
      </c>
      <c r="AM270" s="3">
        <v>13</v>
      </c>
      <c r="AN270" s="3">
        <v>0</v>
      </c>
      <c r="AO270" s="3">
        <v>12</v>
      </c>
      <c r="AP270" s="3">
        <v>0</v>
      </c>
      <c r="AQ270" s="3">
        <v>2</v>
      </c>
      <c r="AR270" s="2" t="s">
        <v>5</v>
      </c>
      <c r="AS270" s="2" t="s">
        <v>5</v>
      </c>
      <c r="AU270" s="5" t="str">
        <f>HYPERLINK("https://creighton-primo.hosted.exlibrisgroup.com/primo-explore/search?tab=default_tab&amp;search_scope=EVERYTHING&amp;vid=01CRU&amp;lang=en_US&amp;offset=0&amp;query=any,contains,991000814559702656","Catalog Record")</f>
        <v>Catalog Record</v>
      </c>
      <c r="AV270" s="5" t="str">
        <f>HYPERLINK("http://www.worldcat.org/oclc/19456909","WorldCat Record")</f>
        <v>WorldCat Record</v>
      </c>
      <c r="AW270" s="2" t="s">
        <v>3520</v>
      </c>
      <c r="AX270" s="2" t="s">
        <v>3521</v>
      </c>
      <c r="AY270" s="2" t="s">
        <v>3522</v>
      </c>
      <c r="AZ270" s="2" t="s">
        <v>3522</v>
      </c>
      <c r="BA270" s="2" t="s">
        <v>3523</v>
      </c>
      <c r="BB270" s="2" t="s">
        <v>19</v>
      </c>
      <c r="BD270" s="2" t="s">
        <v>3524</v>
      </c>
      <c r="BE270" s="2" t="s">
        <v>3525</v>
      </c>
      <c r="BF270" s="2" t="s">
        <v>3526</v>
      </c>
    </row>
    <row r="271" spans="1:58" ht="50.25" customHeight="1" x14ac:dyDescent="0.25">
      <c r="A271" s="8" t="s">
        <v>5</v>
      </c>
      <c r="B271" s="1" t="s">
        <v>0</v>
      </c>
      <c r="C271" s="1" t="s">
        <v>1</v>
      </c>
      <c r="D271" s="1" t="s">
        <v>3527</v>
      </c>
      <c r="E271" s="1" t="s">
        <v>3528</v>
      </c>
      <c r="F271" s="1" t="s">
        <v>3529</v>
      </c>
      <c r="H271" s="2" t="s">
        <v>5</v>
      </c>
      <c r="I271" s="2" t="s">
        <v>6</v>
      </c>
      <c r="J271" s="2" t="s">
        <v>5</v>
      </c>
      <c r="K271" s="2" t="s">
        <v>90</v>
      </c>
      <c r="L271" s="2" t="s">
        <v>7</v>
      </c>
      <c r="N271" s="1" t="s">
        <v>3530</v>
      </c>
      <c r="O271" s="2" t="s">
        <v>169</v>
      </c>
      <c r="P271" s="1" t="s">
        <v>404</v>
      </c>
      <c r="Q271" s="2" t="s">
        <v>10</v>
      </c>
      <c r="R271" s="2" t="s">
        <v>110</v>
      </c>
      <c r="T271" s="2" t="s">
        <v>12</v>
      </c>
      <c r="U271" s="3">
        <v>4</v>
      </c>
      <c r="V271" s="3">
        <v>4</v>
      </c>
      <c r="W271" s="4" t="s">
        <v>3531</v>
      </c>
      <c r="X271" s="4" t="s">
        <v>3531</v>
      </c>
      <c r="Y271" s="4" t="s">
        <v>3531</v>
      </c>
      <c r="Z271" s="4" t="s">
        <v>3531</v>
      </c>
      <c r="AA271" s="3">
        <v>264</v>
      </c>
      <c r="AB271" s="3">
        <v>201</v>
      </c>
      <c r="AC271" s="3">
        <v>531</v>
      </c>
      <c r="AD271" s="3">
        <v>1</v>
      </c>
      <c r="AE271" s="3">
        <v>2</v>
      </c>
      <c r="AF271" s="3">
        <v>4</v>
      </c>
      <c r="AG271" s="3">
        <v>9</v>
      </c>
      <c r="AH271" s="3">
        <v>2</v>
      </c>
      <c r="AI271" s="3">
        <v>5</v>
      </c>
      <c r="AJ271" s="3">
        <v>1</v>
      </c>
      <c r="AK271" s="3">
        <v>3</v>
      </c>
      <c r="AL271" s="3">
        <v>1</v>
      </c>
      <c r="AM271" s="3">
        <v>2</v>
      </c>
      <c r="AN271" s="3">
        <v>0</v>
      </c>
      <c r="AO271" s="3">
        <v>1</v>
      </c>
      <c r="AP271" s="3">
        <v>0</v>
      </c>
      <c r="AQ271" s="3">
        <v>0</v>
      </c>
      <c r="AR271" s="2" t="s">
        <v>5</v>
      </c>
      <c r="AS271" s="2" t="s">
        <v>5</v>
      </c>
      <c r="AU271" s="5" t="str">
        <f>HYPERLINK("https://creighton-primo.hosted.exlibrisgroup.com/primo-explore/search?tab=default_tab&amp;search_scope=EVERYTHING&amp;vid=01CRU&amp;lang=en_US&amp;offset=0&amp;query=any,contains,991001410599702656","Catalog Record")</f>
        <v>Catalog Record</v>
      </c>
      <c r="AV271" s="5" t="str">
        <f>HYPERLINK("http://www.worldcat.org/oclc/37771034","WorldCat Record")</f>
        <v>WorldCat Record</v>
      </c>
      <c r="AW271" s="2" t="s">
        <v>3532</v>
      </c>
      <c r="AX271" s="2" t="s">
        <v>3533</v>
      </c>
      <c r="AY271" s="2" t="s">
        <v>3534</v>
      </c>
      <c r="AZ271" s="2" t="s">
        <v>3534</v>
      </c>
      <c r="BA271" s="2" t="s">
        <v>3535</v>
      </c>
      <c r="BB271" s="2" t="s">
        <v>19</v>
      </c>
      <c r="BD271" s="2" t="s">
        <v>3536</v>
      </c>
      <c r="BE271" s="2" t="s">
        <v>3537</v>
      </c>
      <c r="BF271" s="2" t="s">
        <v>3538</v>
      </c>
    </row>
    <row r="272" spans="1:58" ht="50.25" customHeight="1" x14ac:dyDescent="0.25">
      <c r="A272" s="8" t="s">
        <v>5</v>
      </c>
      <c r="B272" s="1" t="s">
        <v>0</v>
      </c>
      <c r="C272" s="1" t="s">
        <v>1</v>
      </c>
      <c r="D272" s="1" t="s">
        <v>3539</v>
      </c>
      <c r="E272" s="1" t="s">
        <v>3540</v>
      </c>
      <c r="F272" s="1" t="s">
        <v>3541</v>
      </c>
      <c r="H272" s="2" t="s">
        <v>5</v>
      </c>
      <c r="I272" s="2" t="s">
        <v>6</v>
      </c>
      <c r="J272" s="2" t="s">
        <v>5</v>
      </c>
      <c r="K272" s="2" t="s">
        <v>5</v>
      </c>
      <c r="L272" s="2" t="s">
        <v>7</v>
      </c>
      <c r="N272" s="1" t="s">
        <v>3542</v>
      </c>
      <c r="O272" s="2" t="s">
        <v>1095</v>
      </c>
      <c r="P272" s="1" t="s">
        <v>320</v>
      </c>
      <c r="Q272" s="2" t="s">
        <v>10</v>
      </c>
      <c r="R272" s="2" t="s">
        <v>1385</v>
      </c>
      <c r="T272" s="2" t="s">
        <v>12</v>
      </c>
      <c r="U272" s="3">
        <v>4</v>
      </c>
      <c r="V272" s="3">
        <v>4</v>
      </c>
      <c r="W272" s="4" t="s">
        <v>3543</v>
      </c>
      <c r="X272" s="4" t="s">
        <v>3543</v>
      </c>
      <c r="Y272" s="4" t="s">
        <v>3544</v>
      </c>
      <c r="Z272" s="4" t="s">
        <v>3544</v>
      </c>
      <c r="AA272" s="3">
        <v>156</v>
      </c>
      <c r="AB272" s="3">
        <v>130</v>
      </c>
      <c r="AC272" s="3">
        <v>131</v>
      </c>
      <c r="AD272" s="3">
        <v>1</v>
      </c>
      <c r="AE272" s="3">
        <v>1</v>
      </c>
      <c r="AF272" s="3">
        <v>5</v>
      </c>
      <c r="AG272" s="3">
        <v>5</v>
      </c>
      <c r="AH272" s="3">
        <v>4</v>
      </c>
      <c r="AI272" s="3">
        <v>4</v>
      </c>
      <c r="AJ272" s="3">
        <v>1</v>
      </c>
      <c r="AK272" s="3">
        <v>1</v>
      </c>
      <c r="AL272" s="3">
        <v>2</v>
      </c>
      <c r="AM272" s="3">
        <v>2</v>
      </c>
      <c r="AN272" s="3">
        <v>0</v>
      </c>
      <c r="AO272" s="3">
        <v>0</v>
      </c>
      <c r="AP272" s="3">
        <v>0</v>
      </c>
      <c r="AQ272" s="3">
        <v>0</v>
      </c>
      <c r="AR272" s="2" t="s">
        <v>5</v>
      </c>
      <c r="AS272" s="2" t="s">
        <v>90</v>
      </c>
      <c r="AT272" s="5" t="str">
        <f>HYPERLINK("http://catalog.hathitrust.org/Record/002933121","HathiTrust Record")</f>
        <v>HathiTrust Record</v>
      </c>
      <c r="AU272" s="5" t="str">
        <f>HYPERLINK("https://creighton-primo.hosted.exlibrisgroup.com/primo-explore/search?tab=default_tab&amp;search_scope=EVERYTHING&amp;vid=01CRU&amp;lang=en_US&amp;offset=0&amp;query=any,contains,991000848649702656","Catalog Record")</f>
        <v>Catalog Record</v>
      </c>
      <c r="AV272" s="5" t="str">
        <f>HYPERLINK("http://www.worldcat.org/oclc/31754822","WorldCat Record")</f>
        <v>WorldCat Record</v>
      </c>
      <c r="AW272" s="2" t="s">
        <v>3545</v>
      </c>
      <c r="AX272" s="2" t="s">
        <v>3546</v>
      </c>
      <c r="AY272" s="2" t="s">
        <v>3547</v>
      </c>
      <c r="AZ272" s="2" t="s">
        <v>3547</v>
      </c>
      <c r="BA272" s="2" t="s">
        <v>3548</v>
      </c>
      <c r="BB272" s="2" t="s">
        <v>19</v>
      </c>
      <c r="BD272" s="2" t="s">
        <v>3549</v>
      </c>
      <c r="BE272" s="2" t="s">
        <v>3550</v>
      </c>
      <c r="BF272" s="2" t="s">
        <v>3551</v>
      </c>
    </row>
    <row r="273" spans="1:58" ht="50.25" customHeight="1" x14ac:dyDescent="0.25">
      <c r="A273" s="8" t="s">
        <v>5</v>
      </c>
      <c r="B273" s="1" t="s">
        <v>0</v>
      </c>
      <c r="C273" s="1" t="s">
        <v>1</v>
      </c>
      <c r="D273" s="1" t="s">
        <v>3552</v>
      </c>
      <c r="E273" s="1" t="s">
        <v>3553</v>
      </c>
      <c r="F273" s="1" t="s">
        <v>3554</v>
      </c>
      <c r="H273" s="2" t="s">
        <v>5</v>
      </c>
      <c r="I273" s="2" t="s">
        <v>6</v>
      </c>
      <c r="J273" s="2" t="s">
        <v>5</v>
      </c>
      <c r="K273" s="2" t="s">
        <v>5</v>
      </c>
      <c r="L273" s="2" t="s">
        <v>7</v>
      </c>
      <c r="N273" s="1" t="s">
        <v>3555</v>
      </c>
      <c r="O273" s="2" t="s">
        <v>680</v>
      </c>
      <c r="Q273" s="2" t="s">
        <v>10</v>
      </c>
      <c r="R273" s="2" t="s">
        <v>11</v>
      </c>
      <c r="S273" s="1" t="s">
        <v>3556</v>
      </c>
      <c r="T273" s="2" t="s">
        <v>12</v>
      </c>
      <c r="U273" s="3">
        <v>0</v>
      </c>
      <c r="V273" s="3">
        <v>0</v>
      </c>
      <c r="W273" s="4" t="s">
        <v>3557</v>
      </c>
      <c r="X273" s="4" t="s">
        <v>3557</v>
      </c>
      <c r="Y273" s="4" t="s">
        <v>3558</v>
      </c>
      <c r="Z273" s="4" t="s">
        <v>3558</v>
      </c>
      <c r="AA273" s="3">
        <v>106</v>
      </c>
      <c r="AB273" s="3">
        <v>68</v>
      </c>
      <c r="AC273" s="3">
        <v>90</v>
      </c>
      <c r="AD273" s="3">
        <v>1</v>
      </c>
      <c r="AE273" s="3">
        <v>1</v>
      </c>
      <c r="AF273" s="3">
        <v>3</v>
      </c>
      <c r="AG273" s="3">
        <v>3</v>
      </c>
      <c r="AH273" s="3">
        <v>1</v>
      </c>
      <c r="AI273" s="3">
        <v>1</v>
      </c>
      <c r="AJ273" s="3">
        <v>1</v>
      </c>
      <c r="AK273" s="3">
        <v>1</v>
      </c>
      <c r="AL273" s="3">
        <v>2</v>
      </c>
      <c r="AM273" s="3">
        <v>2</v>
      </c>
      <c r="AN273" s="3">
        <v>0</v>
      </c>
      <c r="AO273" s="3">
        <v>0</v>
      </c>
      <c r="AP273" s="3">
        <v>0</v>
      </c>
      <c r="AQ273" s="3">
        <v>0</v>
      </c>
      <c r="AR273" s="2" t="s">
        <v>5</v>
      </c>
      <c r="AS273" s="2" t="s">
        <v>5</v>
      </c>
      <c r="AU273" s="5" t="str">
        <f>HYPERLINK("https://creighton-primo.hosted.exlibrisgroup.com/primo-explore/search?tab=default_tab&amp;search_scope=EVERYTHING&amp;vid=01CRU&amp;lang=en_US&amp;offset=0&amp;query=any,contains,991000582249702656","Catalog Record")</f>
        <v>Catalog Record</v>
      </c>
      <c r="AV273" s="5" t="str">
        <f>HYPERLINK("http://www.worldcat.org/oclc/57452549","WorldCat Record")</f>
        <v>WorldCat Record</v>
      </c>
      <c r="AW273" s="2" t="s">
        <v>3559</v>
      </c>
      <c r="AX273" s="2" t="s">
        <v>3560</v>
      </c>
      <c r="AY273" s="2" t="s">
        <v>3561</v>
      </c>
      <c r="AZ273" s="2" t="s">
        <v>3561</v>
      </c>
      <c r="BA273" s="2" t="s">
        <v>3562</v>
      </c>
      <c r="BB273" s="2" t="s">
        <v>19</v>
      </c>
      <c r="BD273" s="2" t="s">
        <v>3563</v>
      </c>
      <c r="BE273" s="2" t="s">
        <v>3564</v>
      </c>
      <c r="BF273" s="2" t="s">
        <v>3565</v>
      </c>
    </row>
    <row r="274" spans="1:58" ht="50.25" customHeight="1" x14ac:dyDescent="0.25">
      <c r="A274" s="8" t="s">
        <v>5</v>
      </c>
      <c r="B274" s="1" t="s">
        <v>0</v>
      </c>
      <c r="C274" s="1" t="s">
        <v>1</v>
      </c>
      <c r="D274" s="1" t="s">
        <v>3566</v>
      </c>
      <c r="E274" s="1" t="s">
        <v>3567</v>
      </c>
      <c r="F274" s="1" t="s">
        <v>3568</v>
      </c>
      <c r="H274" s="2" t="s">
        <v>5</v>
      </c>
      <c r="I274" s="2" t="s">
        <v>6</v>
      </c>
      <c r="J274" s="2" t="s">
        <v>5</v>
      </c>
      <c r="K274" s="2" t="s">
        <v>5</v>
      </c>
      <c r="L274" s="2" t="s">
        <v>7</v>
      </c>
      <c r="N274" s="1" t="s">
        <v>3569</v>
      </c>
      <c r="O274" s="2" t="s">
        <v>109</v>
      </c>
      <c r="P274" s="1" t="s">
        <v>568</v>
      </c>
      <c r="Q274" s="2" t="s">
        <v>10</v>
      </c>
      <c r="R274" s="2" t="s">
        <v>1385</v>
      </c>
      <c r="T274" s="2" t="s">
        <v>12</v>
      </c>
      <c r="U274" s="3">
        <v>2</v>
      </c>
      <c r="V274" s="3">
        <v>2</v>
      </c>
      <c r="W274" s="4" t="s">
        <v>3570</v>
      </c>
      <c r="X274" s="4" t="s">
        <v>3570</v>
      </c>
      <c r="Y274" s="4" t="s">
        <v>3571</v>
      </c>
      <c r="Z274" s="4" t="s">
        <v>3571</v>
      </c>
      <c r="AA274" s="3">
        <v>172</v>
      </c>
      <c r="AB274" s="3">
        <v>114</v>
      </c>
      <c r="AC274" s="3">
        <v>207</v>
      </c>
      <c r="AD274" s="3">
        <v>1</v>
      </c>
      <c r="AE274" s="3">
        <v>1</v>
      </c>
      <c r="AF274" s="3">
        <v>3</v>
      </c>
      <c r="AG274" s="3">
        <v>6</v>
      </c>
      <c r="AH274" s="3">
        <v>1</v>
      </c>
      <c r="AI274" s="3">
        <v>2</v>
      </c>
      <c r="AJ274" s="3">
        <v>2</v>
      </c>
      <c r="AK274" s="3">
        <v>2</v>
      </c>
      <c r="AL274" s="3">
        <v>0</v>
      </c>
      <c r="AM274" s="3">
        <v>2</v>
      </c>
      <c r="AN274" s="3">
        <v>0</v>
      </c>
      <c r="AO274" s="3">
        <v>0</v>
      </c>
      <c r="AP274" s="3">
        <v>0</v>
      </c>
      <c r="AQ274" s="3">
        <v>0</v>
      </c>
      <c r="AR274" s="2" t="s">
        <v>5</v>
      </c>
      <c r="AS274" s="2" t="s">
        <v>5</v>
      </c>
      <c r="AU274" s="5" t="str">
        <f>HYPERLINK("https://creighton-primo.hosted.exlibrisgroup.com/primo-explore/search?tab=default_tab&amp;search_scope=EVERYTHING&amp;vid=01CRU&amp;lang=en_US&amp;offset=0&amp;query=any,contains,991000427559702656","Catalog Record")</f>
        <v>Catalog Record</v>
      </c>
      <c r="AV274" s="5" t="str">
        <f>HYPERLINK("http://www.worldcat.org/oclc/50803959","WorldCat Record")</f>
        <v>WorldCat Record</v>
      </c>
      <c r="AW274" s="2" t="s">
        <v>3572</v>
      </c>
      <c r="AX274" s="2" t="s">
        <v>3573</v>
      </c>
      <c r="AY274" s="2" t="s">
        <v>3574</v>
      </c>
      <c r="AZ274" s="2" t="s">
        <v>3574</v>
      </c>
      <c r="BA274" s="2" t="s">
        <v>3575</v>
      </c>
      <c r="BB274" s="2" t="s">
        <v>19</v>
      </c>
      <c r="BD274" s="2" t="s">
        <v>3576</v>
      </c>
      <c r="BE274" s="2" t="s">
        <v>3577</v>
      </c>
      <c r="BF274" s="2" t="s">
        <v>3578</v>
      </c>
    </row>
    <row r="275" spans="1:58" ht="50.25" customHeight="1" x14ac:dyDescent="0.25">
      <c r="A275" s="8" t="s">
        <v>5</v>
      </c>
      <c r="B275" s="1" t="s">
        <v>0</v>
      </c>
      <c r="C275" s="1" t="s">
        <v>1</v>
      </c>
      <c r="D275" s="1" t="s">
        <v>3579</v>
      </c>
      <c r="E275" s="1" t="s">
        <v>3580</v>
      </c>
      <c r="F275" s="1" t="s">
        <v>3581</v>
      </c>
      <c r="H275" s="2" t="s">
        <v>5</v>
      </c>
      <c r="I275" s="2" t="s">
        <v>6</v>
      </c>
      <c r="J275" s="2" t="s">
        <v>5</v>
      </c>
      <c r="K275" s="2" t="s">
        <v>5</v>
      </c>
      <c r="L275" s="2" t="s">
        <v>7</v>
      </c>
      <c r="N275" s="1" t="s">
        <v>3582</v>
      </c>
      <c r="O275" s="2" t="s">
        <v>2963</v>
      </c>
      <c r="P275" s="1" t="s">
        <v>320</v>
      </c>
      <c r="Q275" s="2" t="s">
        <v>10</v>
      </c>
      <c r="R275" s="2" t="s">
        <v>61</v>
      </c>
      <c r="T275" s="2" t="s">
        <v>12</v>
      </c>
      <c r="U275" s="3">
        <v>9</v>
      </c>
      <c r="V275" s="3">
        <v>9</v>
      </c>
      <c r="W275" s="4" t="s">
        <v>3583</v>
      </c>
      <c r="X275" s="4" t="s">
        <v>3583</v>
      </c>
      <c r="Y275" s="4" t="s">
        <v>2938</v>
      </c>
      <c r="Z275" s="4" t="s">
        <v>2938</v>
      </c>
      <c r="AA275" s="3">
        <v>317</v>
      </c>
      <c r="AB275" s="3">
        <v>251</v>
      </c>
      <c r="AC275" s="3">
        <v>525</v>
      </c>
      <c r="AD275" s="3">
        <v>1</v>
      </c>
      <c r="AE275" s="3">
        <v>2</v>
      </c>
      <c r="AF275" s="3">
        <v>3</v>
      </c>
      <c r="AG275" s="3">
        <v>18</v>
      </c>
      <c r="AH275" s="3">
        <v>1</v>
      </c>
      <c r="AI275" s="3">
        <v>7</v>
      </c>
      <c r="AJ275" s="3">
        <v>1</v>
      </c>
      <c r="AK275" s="3">
        <v>5</v>
      </c>
      <c r="AL275" s="3">
        <v>0</v>
      </c>
      <c r="AM275" s="3">
        <v>5</v>
      </c>
      <c r="AN275" s="3">
        <v>0</v>
      </c>
      <c r="AO275" s="3">
        <v>1</v>
      </c>
      <c r="AP275" s="3">
        <v>1</v>
      </c>
      <c r="AQ275" s="3">
        <v>2</v>
      </c>
      <c r="AR275" s="2" t="s">
        <v>5</v>
      </c>
      <c r="AS275" s="2" t="s">
        <v>90</v>
      </c>
      <c r="AT275" s="5" t="str">
        <f>HYPERLINK("http://catalog.hathitrust.org/Record/000113829","HathiTrust Record")</f>
        <v>HathiTrust Record</v>
      </c>
      <c r="AU275" s="5" t="str">
        <f>HYPERLINK("https://creighton-primo.hosted.exlibrisgroup.com/primo-explore/search?tab=default_tab&amp;search_scope=EVERYTHING&amp;vid=01CRU&amp;lang=en_US&amp;offset=0&amp;query=any,contains,991000727009702656","Catalog Record")</f>
        <v>Catalog Record</v>
      </c>
      <c r="AV275" s="5" t="str">
        <f>HYPERLINK("http://www.worldcat.org/oclc/9270715","WorldCat Record")</f>
        <v>WorldCat Record</v>
      </c>
      <c r="AW275" s="2" t="s">
        <v>3584</v>
      </c>
      <c r="AX275" s="2" t="s">
        <v>3585</v>
      </c>
      <c r="AY275" s="2" t="s">
        <v>3586</v>
      </c>
      <c r="AZ275" s="2" t="s">
        <v>3586</v>
      </c>
      <c r="BA275" s="2" t="s">
        <v>3587</v>
      </c>
      <c r="BB275" s="2" t="s">
        <v>19</v>
      </c>
      <c r="BD275" s="2" t="s">
        <v>3588</v>
      </c>
      <c r="BE275" s="2" t="s">
        <v>3589</v>
      </c>
      <c r="BF275" s="2" t="s">
        <v>3590</v>
      </c>
    </row>
    <row r="276" spans="1:58" ht="50.25" customHeight="1" x14ac:dyDescent="0.25">
      <c r="A276" s="8" t="s">
        <v>5</v>
      </c>
      <c r="B276" s="1" t="s">
        <v>0</v>
      </c>
      <c r="C276" s="1" t="s">
        <v>1</v>
      </c>
      <c r="D276" s="1" t="s">
        <v>3591</v>
      </c>
      <c r="E276" s="1" t="s">
        <v>3592</v>
      </c>
      <c r="F276" s="1" t="s">
        <v>3593</v>
      </c>
      <c r="H276" s="2" t="s">
        <v>5</v>
      </c>
      <c r="I276" s="2" t="s">
        <v>6</v>
      </c>
      <c r="J276" s="2" t="s">
        <v>5</v>
      </c>
      <c r="K276" s="2" t="s">
        <v>5</v>
      </c>
      <c r="L276" s="2" t="s">
        <v>7</v>
      </c>
      <c r="N276" s="1" t="s">
        <v>3594</v>
      </c>
      <c r="O276" s="2" t="s">
        <v>259</v>
      </c>
      <c r="P276" s="1" t="s">
        <v>404</v>
      </c>
      <c r="Q276" s="2" t="s">
        <v>10</v>
      </c>
      <c r="R276" s="2" t="s">
        <v>1385</v>
      </c>
      <c r="T276" s="2" t="s">
        <v>12</v>
      </c>
      <c r="U276" s="3">
        <v>18</v>
      </c>
      <c r="V276" s="3">
        <v>18</v>
      </c>
      <c r="W276" s="4" t="s">
        <v>3595</v>
      </c>
      <c r="X276" s="4" t="s">
        <v>3595</v>
      </c>
      <c r="Y276" s="4" t="s">
        <v>3596</v>
      </c>
      <c r="Z276" s="4" t="s">
        <v>3596</v>
      </c>
      <c r="AA276" s="3">
        <v>328</v>
      </c>
      <c r="AB276" s="3">
        <v>247</v>
      </c>
      <c r="AC276" s="3">
        <v>250</v>
      </c>
      <c r="AD276" s="3">
        <v>2</v>
      </c>
      <c r="AE276" s="3">
        <v>2</v>
      </c>
      <c r="AF276" s="3">
        <v>2</v>
      </c>
      <c r="AG276" s="3">
        <v>3</v>
      </c>
      <c r="AH276" s="3">
        <v>0</v>
      </c>
      <c r="AI276" s="3">
        <v>1</v>
      </c>
      <c r="AJ276" s="3">
        <v>1</v>
      </c>
      <c r="AK276" s="3">
        <v>1</v>
      </c>
      <c r="AL276" s="3">
        <v>2</v>
      </c>
      <c r="AM276" s="3">
        <v>3</v>
      </c>
      <c r="AN276" s="3">
        <v>0</v>
      </c>
      <c r="AO276" s="3">
        <v>0</v>
      </c>
      <c r="AP276" s="3">
        <v>0</v>
      </c>
      <c r="AQ276" s="3">
        <v>0</v>
      </c>
      <c r="AR276" s="2" t="s">
        <v>5</v>
      </c>
      <c r="AS276" s="2" t="s">
        <v>5</v>
      </c>
      <c r="AU276" s="5" t="str">
        <f>HYPERLINK("https://creighton-primo.hosted.exlibrisgroup.com/primo-explore/search?tab=default_tab&amp;search_scope=EVERYTHING&amp;vid=01CRU&amp;lang=en_US&amp;offset=0&amp;query=any,contains,991000649539702656","Catalog Record")</f>
        <v>Catalog Record</v>
      </c>
      <c r="AV276" s="5" t="str">
        <f>HYPERLINK("http://www.worldcat.org/oclc/29314126","WorldCat Record")</f>
        <v>WorldCat Record</v>
      </c>
      <c r="AW276" s="2" t="s">
        <v>3597</v>
      </c>
      <c r="AX276" s="2" t="s">
        <v>3598</v>
      </c>
      <c r="AY276" s="2" t="s">
        <v>3599</v>
      </c>
      <c r="AZ276" s="2" t="s">
        <v>3599</v>
      </c>
      <c r="BA276" s="2" t="s">
        <v>3600</v>
      </c>
      <c r="BB276" s="2" t="s">
        <v>19</v>
      </c>
      <c r="BE276" s="2" t="s">
        <v>3601</v>
      </c>
      <c r="BF276" s="2" t="s">
        <v>3602</v>
      </c>
    </row>
    <row r="277" spans="1:58" ht="50.25" customHeight="1" x14ac:dyDescent="0.25">
      <c r="A277" s="8" t="s">
        <v>5</v>
      </c>
      <c r="B277" s="1" t="s">
        <v>0</v>
      </c>
      <c r="C277" s="1" t="s">
        <v>1</v>
      </c>
      <c r="D277" s="1" t="s">
        <v>3603</v>
      </c>
      <c r="E277" s="1" t="s">
        <v>3604</v>
      </c>
      <c r="F277" s="1" t="s">
        <v>3605</v>
      </c>
      <c r="H277" s="2" t="s">
        <v>5</v>
      </c>
      <c r="I277" s="2" t="s">
        <v>6</v>
      </c>
      <c r="J277" s="2" t="s">
        <v>5</v>
      </c>
      <c r="K277" s="2" t="s">
        <v>5</v>
      </c>
      <c r="L277" s="2" t="s">
        <v>7</v>
      </c>
      <c r="N277" s="1" t="s">
        <v>3606</v>
      </c>
      <c r="O277" s="2" t="s">
        <v>474</v>
      </c>
      <c r="Q277" s="2" t="s">
        <v>10</v>
      </c>
      <c r="R277" s="2" t="s">
        <v>529</v>
      </c>
      <c r="T277" s="2" t="s">
        <v>12</v>
      </c>
      <c r="U277" s="3">
        <v>9</v>
      </c>
      <c r="V277" s="3">
        <v>9</v>
      </c>
      <c r="W277" s="4" t="s">
        <v>3595</v>
      </c>
      <c r="X277" s="4" t="s">
        <v>3595</v>
      </c>
      <c r="Y277" s="4" t="s">
        <v>3607</v>
      </c>
      <c r="Z277" s="4" t="s">
        <v>3607</v>
      </c>
      <c r="AA277" s="3">
        <v>179</v>
      </c>
      <c r="AB277" s="3">
        <v>128</v>
      </c>
      <c r="AC277" s="3">
        <v>224</v>
      </c>
      <c r="AD277" s="3">
        <v>1</v>
      </c>
      <c r="AE277" s="3">
        <v>2</v>
      </c>
      <c r="AF277" s="3">
        <v>5</v>
      </c>
      <c r="AG277" s="3">
        <v>6</v>
      </c>
      <c r="AH277" s="3">
        <v>0</v>
      </c>
      <c r="AI277" s="3">
        <v>0</v>
      </c>
      <c r="AJ277" s="3">
        <v>2</v>
      </c>
      <c r="AK277" s="3">
        <v>2</v>
      </c>
      <c r="AL277" s="3">
        <v>4</v>
      </c>
      <c r="AM277" s="3">
        <v>4</v>
      </c>
      <c r="AN277" s="3">
        <v>0</v>
      </c>
      <c r="AO277" s="3">
        <v>1</v>
      </c>
      <c r="AP277" s="3">
        <v>0</v>
      </c>
      <c r="AQ277" s="3">
        <v>0</v>
      </c>
      <c r="AR277" s="2" t="s">
        <v>5</v>
      </c>
      <c r="AS277" s="2" t="s">
        <v>5</v>
      </c>
      <c r="AU277" s="5" t="str">
        <f>HYPERLINK("https://creighton-primo.hosted.exlibrisgroup.com/primo-explore/search?tab=default_tab&amp;search_scope=EVERYTHING&amp;vid=01CRU&amp;lang=en_US&amp;offset=0&amp;query=any,contains,991001433909702656","Catalog Record")</f>
        <v>Catalog Record</v>
      </c>
      <c r="AV277" s="5" t="str">
        <f>HYPERLINK("http://www.worldcat.org/oclc/21402568","WorldCat Record")</f>
        <v>WorldCat Record</v>
      </c>
      <c r="AW277" s="2" t="s">
        <v>3608</v>
      </c>
      <c r="AX277" s="2" t="s">
        <v>3609</v>
      </c>
      <c r="AY277" s="2" t="s">
        <v>3610</v>
      </c>
      <c r="AZ277" s="2" t="s">
        <v>3610</v>
      </c>
      <c r="BA277" s="2" t="s">
        <v>3611</v>
      </c>
      <c r="BB277" s="2" t="s">
        <v>19</v>
      </c>
      <c r="BD277" s="2" t="s">
        <v>3612</v>
      </c>
      <c r="BE277" s="2" t="s">
        <v>3613</v>
      </c>
      <c r="BF277" s="2" t="s">
        <v>3614</v>
      </c>
    </row>
    <row r="278" spans="1:58" ht="50.25" customHeight="1" x14ac:dyDescent="0.25">
      <c r="A278" s="8" t="s">
        <v>5</v>
      </c>
      <c r="B278" s="1" t="s">
        <v>0</v>
      </c>
      <c r="C278" s="1" t="s">
        <v>1</v>
      </c>
      <c r="D278" s="1" t="s">
        <v>3615</v>
      </c>
      <c r="E278" s="1" t="s">
        <v>3616</v>
      </c>
      <c r="F278" s="1" t="s">
        <v>3617</v>
      </c>
      <c r="H278" s="2" t="s">
        <v>5</v>
      </c>
      <c r="I278" s="2" t="s">
        <v>6</v>
      </c>
      <c r="J278" s="2" t="s">
        <v>90</v>
      </c>
      <c r="K278" s="2" t="s">
        <v>5</v>
      </c>
      <c r="L278" s="2" t="s">
        <v>7</v>
      </c>
      <c r="M278" s="1" t="s">
        <v>3618</v>
      </c>
      <c r="N278" s="1" t="s">
        <v>3619</v>
      </c>
      <c r="O278" s="2" t="s">
        <v>259</v>
      </c>
      <c r="Q278" s="2" t="s">
        <v>10</v>
      </c>
      <c r="R278" s="2" t="s">
        <v>11</v>
      </c>
      <c r="T278" s="2" t="s">
        <v>12</v>
      </c>
      <c r="U278" s="3">
        <v>42</v>
      </c>
      <c r="V278" s="3">
        <v>44</v>
      </c>
      <c r="W278" s="4" t="s">
        <v>3620</v>
      </c>
      <c r="X278" s="4" t="s">
        <v>3620</v>
      </c>
      <c r="Y278" s="4" t="s">
        <v>3621</v>
      </c>
      <c r="Z278" s="4" t="s">
        <v>3622</v>
      </c>
      <c r="AA278" s="3">
        <v>953</v>
      </c>
      <c r="AB278" s="3">
        <v>827</v>
      </c>
      <c r="AC278" s="3">
        <v>834</v>
      </c>
      <c r="AD278" s="3">
        <v>6</v>
      </c>
      <c r="AE278" s="3">
        <v>6</v>
      </c>
      <c r="AF278" s="3">
        <v>16</v>
      </c>
      <c r="AG278" s="3">
        <v>16</v>
      </c>
      <c r="AH278" s="3">
        <v>4</v>
      </c>
      <c r="AI278" s="3">
        <v>4</v>
      </c>
      <c r="AJ278" s="3">
        <v>2</v>
      </c>
      <c r="AK278" s="3">
        <v>2</v>
      </c>
      <c r="AL278" s="3">
        <v>9</v>
      </c>
      <c r="AM278" s="3">
        <v>9</v>
      </c>
      <c r="AN278" s="3">
        <v>2</v>
      </c>
      <c r="AO278" s="3">
        <v>2</v>
      </c>
      <c r="AP278" s="3">
        <v>3</v>
      </c>
      <c r="AQ278" s="3">
        <v>3</v>
      </c>
      <c r="AR278" s="2" t="s">
        <v>5</v>
      </c>
      <c r="AS278" s="2" t="s">
        <v>90</v>
      </c>
      <c r="AT278" s="5" t="str">
        <f>HYPERLINK("http://catalog.hathitrust.org/Record/003099223","HathiTrust Record")</f>
        <v>HathiTrust Record</v>
      </c>
      <c r="AU278" s="5" t="str">
        <f>HYPERLINK("https://creighton-primo.hosted.exlibrisgroup.com/primo-explore/search?tab=default_tab&amp;search_scope=EVERYTHING&amp;vid=01CRU&amp;lang=en_US&amp;offset=0&amp;query=any,contains,991001659909702656","Catalog Record")</f>
        <v>Catalog Record</v>
      </c>
      <c r="AV278" s="5" t="str">
        <f>HYPERLINK("http://www.worldcat.org/oclc/28708764","WorldCat Record")</f>
        <v>WorldCat Record</v>
      </c>
      <c r="AW278" s="2" t="s">
        <v>3623</v>
      </c>
      <c r="AX278" s="2" t="s">
        <v>3624</v>
      </c>
      <c r="AY278" s="2" t="s">
        <v>3625</v>
      </c>
      <c r="AZ278" s="2" t="s">
        <v>3625</v>
      </c>
      <c r="BA278" s="2" t="s">
        <v>3626</v>
      </c>
      <c r="BB278" s="2" t="s">
        <v>19</v>
      </c>
      <c r="BD278" s="2" t="s">
        <v>3627</v>
      </c>
      <c r="BE278" s="2" t="s">
        <v>3628</v>
      </c>
      <c r="BF278" s="2" t="s">
        <v>3629</v>
      </c>
    </row>
    <row r="279" spans="1:58" ht="50.25" customHeight="1" x14ac:dyDescent="0.25">
      <c r="A279" s="8" t="s">
        <v>5</v>
      </c>
      <c r="B279" s="1" t="s">
        <v>0</v>
      </c>
      <c r="C279" s="1" t="s">
        <v>1</v>
      </c>
      <c r="D279" s="1" t="s">
        <v>3630</v>
      </c>
      <c r="E279" s="1" t="s">
        <v>3631</v>
      </c>
      <c r="F279" s="1" t="s">
        <v>3632</v>
      </c>
      <c r="G279" s="2" t="s">
        <v>3633</v>
      </c>
      <c r="H279" s="2" t="s">
        <v>5</v>
      </c>
      <c r="I279" s="2" t="s">
        <v>6</v>
      </c>
      <c r="J279" s="2" t="s">
        <v>5</v>
      </c>
      <c r="K279" s="2" t="s">
        <v>5</v>
      </c>
      <c r="L279" s="2" t="s">
        <v>7</v>
      </c>
      <c r="N279" s="1" t="s">
        <v>2949</v>
      </c>
      <c r="O279" s="2" t="s">
        <v>2950</v>
      </c>
      <c r="P279" s="1" t="s">
        <v>3634</v>
      </c>
      <c r="Q279" s="2" t="s">
        <v>10</v>
      </c>
      <c r="R279" s="2" t="s">
        <v>11</v>
      </c>
      <c r="T279" s="2" t="s">
        <v>12</v>
      </c>
      <c r="U279" s="3">
        <v>2</v>
      </c>
      <c r="V279" s="3">
        <v>2</v>
      </c>
      <c r="W279" s="4" t="s">
        <v>3635</v>
      </c>
      <c r="X279" s="4" t="s">
        <v>3635</v>
      </c>
      <c r="Y279" s="4" t="s">
        <v>3636</v>
      </c>
      <c r="Z279" s="4" t="s">
        <v>3636</v>
      </c>
      <c r="AA279" s="3">
        <v>507</v>
      </c>
      <c r="AB279" s="3">
        <v>453</v>
      </c>
      <c r="AC279" s="3">
        <v>667</v>
      </c>
      <c r="AD279" s="3">
        <v>3</v>
      </c>
      <c r="AE279" s="3">
        <v>3</v>
      </c>
      <c r="AF279" s="3">
        <v>5</v>
      </c>
      <c r="AG279" s="3">
        <v>8</v>
      </c>
      <c r="AH279" s="3">
        <v>1</v>
      </c>
      <c r="AI279" s="3">
        <v>1</v>
      </c>
      <c r="AJ279" s="3">
        <v>0</v>
      </c>
      <c r="AK279" s="3">
        <v>2</v>
      </c>
      <c r="AL279" s="3">
        <v>3</v>
      </c>
      <c r="AM279" s="3">
        <v>5</v>
      </c>
      <c r="AN279" s="3">
        <v>1</v>
      </c>
      <c r="AO279" s="3">
        <v>1</v>
      </c>
      <c r="AP279" s="3">
        <v>0</v>
      </c>
      <c r="AQ279" s="3">
        <v>0</v>
      </c>
      <c r="AR279" s="2" t="s">
        <v>5</v>
      </c>
      <c r="AS279" s="2" t="s">
        <v>90</v>
      </c>
      <c r="AT279" s="5" t="str">
        <f>HYPERLINK("http://catalog.hathitrust.org/Record/009149420","HathiTrust Record")</f>
        <v>HathiTrust Record</v>
      </c>
      <c r="AU279" s="5" t="str">
        <f>HYPERLINK("https://creighton-primo.hosted.exlibrisgroup.com/primo-explore/search?tab=default_tab&amp;search_scope=EVERYTHING&amp;vid=01CRU&amp;lang=en_US&amp;offset=0&amp;query=any,contains,991000727219702656","Catalog Record")</f>
        <v>Catalog Record</v>
      </c>
      <c r="AV279" s="5" t="str">
        <f>HYPERLINK("http://www.worldcat.org/oclc/3433278","WorldCat Record")</f>
        <v>WorldCat Record</v>
      </c>
      <c r="AW279" s="2" t="s">
        <v>3637</v>
      </c>
      <c r="AX279" s="2" t="s">
        <v>3638</v>
      </c>
      <c r="AY279" s="2" t="s">
        <v>3639</v>
      </c>
      <c r="AZ279" s="2" t="s">
        <v>3639</v>
      </c>
      <c r="BA279" s="2" t="s">
        <v>3640</v>
      </c>
      <c r="BB279" s="2" t="s">
        <v>19</v>
      </c>
      <c r="BD279" s="2" t="s">
        <v>3641</v>
      </c>
      <c r="BE279" s="2" t="s">
        <v>3642</v>
      </c>
      <c r="BF279" s="2" t="s">
        <v>3643</v>
      </c>
    </row>
    <row r="280" spans="1:58" ht="50.25" customHeight="1" x14ac:dyDescent="0.25">
      <c r="A280" s="8" t="s">
        <v>5</v>
      </c>
      <c r="B280" s="1" t="s">
        <v>0</v>
      </c>
      <c r="C280" s="1" t="s">
        <v>1</v>
      </c>
      <c r="D280" s="1" t="s">
        <v>3644</v>
      </c>
      <c r="E280" s="1" t="s">
        <v>3645</v>
      </c>
      <c r="F280" s="1" t="s">
        <v>3646</v>
      </c>
      <c r="H280" s="2" t="s">
        <v>5</v>
      </c>
      <c r="I280" s="2" t="s">
        <v>6</v>
      </c>
      <c r="J280" s="2" t="s">
        <v>5</v>
      </c>
      <c r="K280" s="2" t="s">
        <v>5</v>
      </c>
      <c r="L280" s="2" t="s">
        <v>7</v>
      </c>
      <c r="N280" s="1" t="s">
        <v>3647</v>
      </c>
      <c r="O280" s="2" t="s">
        <v>109</v>
      </c>
      <c r="Q280" s="2" t="s">
        <v>10</v>
      </c>
      <c r="R280" s="2" t="s">
        <v>1279</v>
      </c>
      <c r="T280" s="2" t="s">
        <v>12</v>
      </c>
      <c r="U280" s="3">
        <v>4</v>
      </c>
      <c r="V280" s="3">
        <v>4</v>
      </c>
      <c r="W280" s="4" t="s">
        <v>3648</v>
      </c>
      <c r="X280" s="4" t="s">
        <v>3648</v>
      </c>
      <c r="Y280" s="4" t="s">
        <v>3649</v>
      </c>
      <c r="Z280" s="4" t="s">
        <v>3649</v>
      </c>
      <c r="AA280" s="3">
        <v>209</v>
      </c>
      <c r="AB280" s="3">
        <v>130</v>
      </c>
      <c r="AC280" s="3">
        <v>136</v>
      </c>
      <c r="AD280" s="3">
        <v>2</v>
      </c>
      <c r="AE280" s="3">
        <v>2</v>
      </c>
      <c r="AF280" s="3">
        <v>8</v>
      </c>
      <c r="AG280" s="3">
        <v>8</v>
      </c>
      <c r="AH280" s="3">
        <v>3</v>
      </c>
      <c r="AI280" s="3">
        <v>3</v>
      </c>
      <c r="AJ280" s="3">
        <v>2</v>
      </c>
      <c r="AK280" s="3">
        <v>2</v>
      </c>
      <c r="AL280" s="3">
        <v>6</v>
      </c>
      <c r="AM280" s="3">
        <v>6</v>
      </c>
      <c r="AN280" s="3">
        <v>1</v>
      </c>
      <c r="AO280" s="3">
        <v>1</v>
      </c>
      <c r="AP280" s="3">
        <v>0</v>
      </c>
      <c r="AQ280" s="3">
        <v>0</v>
      </c>
      <c r="AR280" s="2" t="s">
        <v>5</v>
      </c>
      <c r="AS280" s="2" t="s">
        <v>5</v>
      </c>
      <c r="AU280" s="5" t="str">
        <f>HYPERLINK("https://creighton-primo.hosted.exlibrisgroup.com/primo-explore/search?tab=default_tab&amp;search_scope=EVERYTHING&amp;vid=01CRU&amp;lang=en_US&amp;offset=0&amp;query=any,contains,991000345619702656","Catalog Record")</f>
        <v>Catalog Record</v>
      </c>
      <c r="AV280" s="5" t="str">
        <f>HYPERLINK("http://www.worldcat.org/oclc/50803134","WorldCat Record")</f>
        <v>WorldCat Record</v>
      </c>
      <c r="AW280" s="2" t="s">
        <v>3650</v>
      </c>
      <c r="AX280" s="2" t="s">
        <v>3651</v>
      </c>
      <c r="AY280" s="2" t="s">
        <v>3652</v>
      </c>
      <c r="AZ280" s="2" t="s">
        <v>3652</v>
      </c>
      <c r="BA280" s="2" t="s">
        <v>3653</v>
      </c>
      <c r="BB280" s="2" t="s">
        <v>19</v>
      </c>
      <c r="BD280" s="2" t="s">
        <v>3654</v>
      </c>
      <c r="BE280" s="2" t="s">
        <v>3655</v>
      </c>
      <c r="BF280" s="2" t="s">
        <v>3656</v>
      </c>
    </row>
    <row r="281" spans="1:58" ht="50.25" customHeight="1" x14ac:dyDescent="0.25">
      <c r="A281" s="8" t="s">
        <v>5</v>
      </c>
      <c r="B281" s="1" t="s">
        <v>0</v>
      </c>
      <c r="C281" s="1" t="s">
        <v>1</v>
      </c>
      <c r="D281" s="1" t="s">
        <v>3657</v>
      </c>
      <c r="E281" s="1" t="s">
        <v>3658</v>
      </c>
      <c r="F281" s="1" t="s">
        <v>3659</v>
      </c>
      <c r="H281" s="2" t="s">
        <v>5</v>
      </c>
      <c r="I281" s="2" t="s">
        <v>6</v>
      </c>
      <c r="J281" s="2" t="s">
        <v>5</v>
      </c>
      <c r="K281" s="2" t="s">
        <v>5</v>
      </c>
      <c r="L281" s="2" t="s">
        <v>7</v>
      </c>
      <c r="N281" s="1" t="s">
        <v>3660</v>
      </c>
      <c r="O281" s="2" t="s">
        <v>60</v>
      </c>
      <c r="Q281" s="2" t="s">
        <v>10</v>
      </c>
      <c r="R281" s="2" t="s">
        <v>77</v>
      </c>
      <c r="T281" s="2" t="s">
        <v>12</v>
      </c>
      <c r="U281" s="3">
        <v>0</v>
      </c>
      <c r="V281" s="3">
        <v>0</v>
      </c>
      <c r="W281" s="4" t="s">
        <v>2785</v>
      </c>
      <c r="X281" s="4" t="s">
        <v>2785</v>
      </c>
      <c r="Y281" s="4" t="s">
        <v>2786</v>
      </c>
      <c r="Z281" s="4" t="s">
        <v>2786</v>
      </c>
      <c r="AA281" s="3">
        <v>91</v>
      </c>
      <c r="AB281" s="3">
        <v>51</v>
      </c>
      <c r="AC281" s="3">
        <v>74</v>
      </c>
      <c r="AD281" s="3">
        <v>1</v>
      </c>
      <c r="AE281" s="3">
        <v>1</v>
      </c>
      <c r="AF281" s="3">
        <v>2</v>
      </c>
      <c r="AG281" s="3">
        <v>2</v>
      </c>
      <c r="AH281" s="3">
        <v>1</v>
      </c>
      <c r="AI281" s="3">
        <v>1</v>
      </c>
      <c r="AJ281" s="3">
        <v>1</v>
      </c>
      <c r="AK281" s="3">
        <v>1</v>
      </c>
      <c r="AL281" s="3">
        <v>2</v>
      </c>
      <c r="AM281" s="3">
        <v>2</v>
      </c>
      <c r="AN281" s="3">
        <v>0</v>
      </c>
      <c r="AO281" s="3">
        <v>0</v>
      </c>
      <c r="AP281" s="3">
        <v>0</v>
      </c>
      <c r="AQ281" s="3">
        <v>0</v>
      </c>
      <c r="AR281" s="2" t="s">
        <v>5</v>
      </c>
      <c r="AS281" s="2" t="s">
        <v>5</v>
      </c>
      <c r="AU281" s="5" t="str">
        <f>HYPERLINK("https://creighton-primo.hosted.exlibrisgroup.com/primo-explore/search?tab=default_tab&amp;search_scope=EVERYTHING&amp;vid=01CRU&amp;lang=en_US&amp;offset=0&amp;query=any,contains,991000405509702656","Catalog Record")</f>
        <v>Catalog Record</v>
      </c>
      <c r="AV281" s="5" t="str">
        <f>HYPERLINK("http://www.worldcat.org/oclc/55989013","WorldCat Record")</f>
        <v>WorldCat Record</v>
      </c>
      <c r="AW281" s="2" t="s">
        <v>3661</v>
      </c>
      <c r="AX281" s="2" t="s">
        <v>3662</v>
      </c>
      <c r="AY281" s="2" t="s">
        <v>3663</v>
      </c>
      <c r="AZ281" s="2" t="s">
        <v>3663</v>
      </c>
      <c r="BA281" s="2" t="s">
        <v>3664</v>
      </c>
      <c r="BB281" s="2" t="s">
        <v>19</v>
      </c>
      <c r="BD281" s="2" t="s">
        <v>3665</v>
      </c>
      <c r="BE281" s="2" t="s">
        <v>3666</v>
      </c>
      <c r="BF281" s="2" t="s">
        <v>3667</v>
      </c>
    </row>
    <row r="282" spans="1:58" ht="50.25" customHeight="1" x14ac:dyDescent="0.25">
      <c r="A282" s="8" t="s">
        <v>5</v>
      </c>
      <c r="B282" s="1" t="s">
        <v>0</v>
      </c>
      <c r="C282" s="1" t="s">
        <v>1</v>
      </c>
      <c r="D282" s="1" t="s">
        <v>3668</v>
      </c>
      <c r="E282" s="1" t="s">
        <v>3669</v>
      </c>
      <c r="F282" s="1" t="s">
        <v>3670</v>
      </c>
      <c r="H282" s="2" t="s">
        <v>5</v>
      </c>
      <c r="I282" s="2" t="s">
        <v>6</v>
      </c>
      <c r="J282" s="2" t="s">
        <v>5</v>
      </c>
      <c r="K282" s="2" t="s">
        <v>5</v>
      </c>
      <c r="L282" s="2" t="s">
        <v>7</v>
      </c>
      <c r="N282" s="1" t="s">
        <v>3671</v>
      </c>
      <c r="O282" s="2" t="s">
        <v>28</v>
      </c>
      <c r="Q282" s="2" t="s">
        <v>10</v>
      </c>
      <c r="R282" s="2" t="s">
        <v>581</v>
      </c>
      <c r="T282" s="2" t="s">
        <v>12</v>
      </c>
      <c r="U282" s="3">
        <v>3</v>
      </c>
      <c r="V282" s="3">
        <v>3</v>
      </c>
      <c r="W282" s="4" t="s">
        <v>3672</v>
      </c>
      <c r="X282" s="4" t="s">
        <v>3672</v>
      </c>
      <c r="Y282" s="4" t="s">
        <v>2472</v>
      </c>
      <c r="Z282" s="4" t="s">
        <v>2472</v>
      </c>
      <c r="AA282" s="3">
        <v>160</v>
      </c>
      <c r="AB282" s="3">
        <v>107</v>
      </c>
      <c r="AC282" s="3">
        <v>107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1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2" t="s">
        <v>5</v>
      </c>
      <c r="AS282" s="2" t="s">
        <v>5</v>
      </c>
      <c r="AU282" s="5" t="str">
        <f>HYPERLINK("https://creighton-primo.hosted.exlibrisgroup.com/primo-explore/search?tab=default_tab&amp;search_scope=EVERYTHING&amp;vid=01CRU&amp;lang=en_US&amp;offset=0&amp;query=any,contains,991001299089702656","Catalog Record")</f>
        <v>Catalog Record</v>
      </c>
      <c r="AV282" s="5" t="str">
        <f>HYPERLINK("http://www.worldcat.org/oclc/19777258","WorldCat Record")</f>
        <v>WorldCat Record</v>
      </c>
      <c r="AW282" s="2" t="s">
        <v>3673</v>
      </c>
      <c r="AX282" s="2" t="s">
        <v>3674</v>
      </c>
      <c r="AY282" s="2" t="s">
        <v>3675</v>
      </c>
      <c r="AZ282" s="2" t="s">
        <v>3675</v>
      </c>
      <c r="BA282" s="2" t="s">
        <v>3676</v>
      </c>
      <c r="BB282" s="2" t="s">
        <v>19</v>
      </c>
      <c r="BD282" s="2" t="s">
        <v>3677</v>
      </c>
      <c r="BE282" s="2" t="s">
        <v>3678</v>
      </c>
      <c r="BF282" s="2" t="s">
        <v>3679</v>
      </c>
    </row>
    <row r="283" spans="1:58" ht="50.25" customHeight="1" x14ac:dyDescent="0.25">
      <c r="A283" s="8" t="s">
        <v>5</v>
      </c>
      <c r="B283" s="1" t="s">
        <v>0</v>
      </c>
      <c r="C283" s="1" t="s">
        <v>1</v>
      </c>
      <c r="D283" s="1" t="s">
        <v>3680</v>
      </c>
      <c r="E283" s="1" t="s">
        <v>3681</v>
      </c>
      <c r="F283" s="1" t="s">
        <v>3682</v>
      </c>
      <c r="H283" s="2" t="s">
        <v>5</v>
      </c>
      <c r="I283" s="2" t="s">
        <v>6</v>
      </c>
      <c r="J283" s="2" t="s">
        <v>5</v>
      </c>
      <c r="K283" s="2" t="s">
        <v>5</v>
      </c>
      <c r="L283" s="2" t="s">
        <v>7</v>
      </c>
      <c r="N283" s="1" t="s">
        <v>3683</v>
      </c>
      <c r="O283" s="2" t="s">
        <v>228</v>
      </c>
      <c r="Q283" s="2" t="s">
        <v>10</v>
      </c>
      <c r="R283" s="2" t="s">
        <v>110</v>
      </c>
      <c r="S283" s="1" t="s">
        <v>3684</v>
      </c>
      <c r="T283" s="2" t="s">
        <v>12</v>
      </c>
      <c r="U283" s="3">
        <v>5</v>
      </c>
      <c r="V283" s="3">
        <v>5</v>
      </c>
      <c r="W283" s="4" t="s">
        <v>3685</v>
      </c>
      <c r="X283" s="4" t="s">
        <v>3685</v>
      </c>
      <c r="Y283" s="4" t="s">
        <v>3686</v>
      </c>
      <c r="Z283" s="4" t="s">
        <v>3686</v>
      </c>
      <c r="AA283" s="3">
        <v>51</v>
      </c>
      <c r="AB283" s="3">
        <v>39</v>
      </c>
      <c r="AC283" s="3">
        <v>39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1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2" t="s">
        <v>5</v>
      </c>
      <c r="AS283" s="2" t="s">
        <v>5</v>
      </c>
      <c r="AU283" s="5" t="str">
        <f>HYPERLINK("https://creighton-primo.hosted.exlibrisgroup.com/primo-explore/search?tab=default_tab&amp;search_scope=EVERYTHING&amp;vid=01CRU&amp;lang=en_US&amp;offset=0&amp;query=any,contains,991001123869702656","Catalog Record")</f>
        <v>Catalog Record</v>
      </c>
      <c r="AV283" s="5" t="str">
        <f>HYPERLINK("http://www.worldcat.org/oclc/18667891","WorldCat Record")</f>
        <v>WorldCat Record</v>
      </c>
      <c r="AW283" s="2" t="s">
        <v>3687</v>
      </c>
      <c r="AX283" s="2" t="s">
        <v>3688</v>
      </c>
      <c r="AY283" s="2" t="s">
        <v>3689</v>
      </c>
      <c r="AZ283" s="2" t="s">
        <v>3689</v>
      </c>
      <c r="BA283" s="2" t="s">
        <v>3690</v>
      </c>
      <c r="BB283" s="2" t="s">
        <v>19</v>
      </c>
      <c r="BD283" s="2" t="s">
        <v>3691</v>
      </c>
      <c r="BE283" s="2" t="s">
        <v>3692</v>
      </c>
      <c r="BF283" s="2" t="s">
        <v>3693</v>
      </c>
    </row>
    <row r="284" spans="1:58" ht="50.25" customHeight="1" x14ac:dyDescent="0.25">
      <c r="A284" s="8" t="s">
        <v>5</v>
      </c>
      <c r="B284" s="1" t="s">
        <v>0</v>
      </c>
      <c r="C284" s="1" t="s">
        <v>1</v>
      </c>
      <c r="D284" s="1" t="s">
        <v>3694</v>
      </c>
      <c r="E284" s="1" t="s">
        <v>3695</v>
      </c>
      <c r="F284" s="1" t="s">
        <v>3696</v>
      </c>
      <c r="H284" s="2" t="s">
        <v>5</v>
      </c>
      <c r="I284" s="2" t="s">
        <v>6</v>
      </c>
      <c r="J284" s="2" t="s">
        <v>5</v>
      </c>
      <c r="K284" s="2" t="s">
        <v>5</v>
      </c>
      <c r="L284" s="2" t="s">
        <v>7</v>
      </c>
      <c r="N284" s="1" t="s">
        <v>3697</v>
      </c>
      <c r="O284" s="2" t="s">
        <v>228</v>
      </c>
      <c r="P284" s="1" t="s">
        <v>3698</v>
      </c>
      <c r="Q284" s="2" t="s">
        <v>10</v>
      </c>
      <c r="R284" s="2" t="s">
        <v>29</v>
      </c>
      <c r="T284" s="2" t="s">
        <v>12</v>
      </c>
      <c r="U284" s="3">
        <v>4</v>
      </c>
      <c r="V284" s="3">
        <v>4</v>
      </c>
      <c r="W284" s="4" t="s">
        <v>3699</v>
      </c>
      <c r="X284" s="4" t="s">
        <v>3699</v>
      </c>
      <c r="Y284" s="4" t="s">
        <v>1054</v>
      </c>
      <c r="Z284" s="4" t="s">
        <v>1054</v>
      </c>
      <c r="AA284" s="3">
        <v>92</v>
      </c>
      <c r="AB284" s="3">
        <v>77</v>
      </c>
      <c r="AC284" s="3">
        <v>81</v>
      </c>
      <c r="AD284" s="3">
        <v>1</v>
      </c>
      <c r="AE284" s="3">
        <v>1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2" t="s">
        <v>5</v>
      </c>
      <c r="AS284" s="2" t="s">
        <v>90</v>
      </c>
      <c r="AT284" s="5" t="str">
        <f>HYPERLINK("http://catalog.hathitrust.org/Record/009254944","HathiTrust Record")</f>
        <v>HathiTrust Record</v>
      </c>
      <c r="AU284" s="5" t="str">
        <f>HYPERLINK("https://creighton-primo.hosted.exlibrisgroup.com/primo-explore/search?tab=default_tab&amp;search_scope=EVERYTHING&amp;vid=01CRU&amp;lang=en_US&amp;offset=0&amp;query=any,contains,991001188709702656","Catalog Record")</f>
        <v>Catalog Record</v>
      </c>
      <c r="AV284" s="5" t="str">
        <f>HYPERLINK("http://www.worldcat.org/oclc/16755863","WorldCat Record")</f>
        <v>WorldCat Record</v>
      </c>
      <c r="AW284" s="2" t="s">
        <v>3700</v>
      </c>
      <c r="AX284" s="2" t="s">
        <v>3701</v>
      </c>
      <c r="AY284" s="2" t="s">
        <v>3702</v>
      </c>
      <c r="AZ284" s="2" t="s">
        <v>3702</v>
      </c>
      <c r="BA284" s="2" t="s">
        <v>3703</v>
      </c>
      <c r="BB284" s="2" t="s">
        <v>19</v>
      </c>
      <c r="BD284" s="2" t="s">
        <v>3704</v>
      </c>
      <c r="BE284" s="2" t="s">
        <v>3705</v>
      </c>
      <c r="BF284" s="2" t="s">
        <v>3706</v>
      </c>
    </row>
    <row r="285" spans="1:58" ht="50.25" customHeight="1" x14ac:dyDescent="0.25">
      <c r="A285" s="8" t="s">
        <v>5</v>
      </c>
      <c r="B285" s="1" t="s">
        <v>0</v>
      </c>
      <c r="C285" s="1" t="s">
        <v>1</v>
      </c>
      <c r="D285" s="1" t="s">
        <v>3707</v>
      </c>
      <c r="E285" s="1" t="s">
        <v>3708</v>
      </c>
      <c r="F285" s="1" t="s">
        <v>3709</v>
      </c>
      <c r="H285" s="2" t="s">
        <v>5</v>
      </c>
      <c r="I285" s="2" t="s">
        <v>6</v>
      </c>
      <c r="J285" s="2" t="s">
        <v>5</v>
      </c>
      <c r="K285" s="2" t="s">
        <v>5</v>
      </c>
      <c r="L285" s="2" t="s">
        <v>7</v>
      </c>
      <c r="M285" s="1" t="s">
        <v>3710</v>
      </c>
      <c r="N285" s="1" t="s">
        <v>3711</v>
      </c>
      <c r="O285" s="2" t="s">
        <v>319</v>
      </c>
      <c r="Q285" s="2" t="s">
        <v>10</v>
      </c>
      <c r="R285" s="2" t="s">
        <v>184</v>
      </c>
      <c r="T285" s="2" t="s">
        <v>12</v>
      </c>
      <c r="U285" s="3">
        <v>9</v>
      </c>
      <c r="V285" s="3">
        <v>9</v>
      </c>
      <c r="W285" s="4" t="s">
        <v>3543</v>
      </c>
      <c r="X285" s="4" t="s">
        <v>3543</v>
      </c>
      <c r="Y285" s="4" t="s">
        <v>798</v>
      </c>
      <c r="Z285" s="4" t="s">
        <v>798</v>
      </c>
      <c r="AA285" s="3">
        <v>118</v>
      </c>
      <c r="AB285" s="3">
        <v>98</v>
      </c>
      <c r="AC285" s="3">
        <v>105</v>
      </c>
      <c r="AD285" s="3">
        <v>1</v>
      </c>
      <c r="AE285" s="3">
        <v>1</v>
      </c>
      <c r="AF285" s="3">
        <v>3</v>
      </c>
      <c r="AG285" s="3">
        <v>3</v>
      </c>
      <c r="AH285" s="3">
        <v>0</v>
      </c>
      <c r="AI285" s="3">
        <v>0</v>
      </c>
      <c r="AJ285" s="3">
        <v>1</v>
      </c>
      <c r="AK285" s="3">
        <v>1</v>
      </c>
      <c r="AL285" s="3">
        <v>3</v>
      </c>
      <c r="AM285" s="3">
        <v>3</v>
      </c>
      <c r="AN285" s="3">
        <v>0</v>
      </c>
      <c r="AO285" s="3">
        <v>0</v>
      </c>
      <c r="AP285" s="3">
        <v>0</v>
      </c>
      <c r="AQ285" s="3">
        <v>0</v>
      </c>
      <c r="AR285" s="2" t="s">
        <v>5</v>
      </c>
      <c r="AS285" s="2" t="s">
        <v>90</v>
      </c>
      <c r="AT285" s="5" t="str">
        <f>HYPERLINK("http://catalog.hathitrust.org/Record/004524276","HathiTrust Record")</f>
        <v>HathiTrust Record</v>
      </c>
      <c r="AU285" s="5" t="str">
        <f>HYPERLINK("https://creighton-primo.hosted.exlibrisgroup.com/primo-explore/search?tab=default_tab&amp;search_scope=EVERYTHING&amp;vid=01CRU&amp;lang=en_US&amp;offset=0&amp;query=any,contains,991001486479702656","Catalog Record")</f>
        <v>Catalog Record</v>
      </c>
      <c r="AV285" s="5" t="str">
        <f>HYPERLINK("http://www.worldcat.org/oclc/28003313","WorldCat Record")</f>
        <v>WorldCat Record</v>
      </c>
      <c r="AW285" s="2" t="s">
        <v>3712</v>
      </c>
      <c r="AX285" s="2" t="s">
        <v>3713</v>
      </c>
      <c r="AY285" s="2" t="s">
        <v>3714</v>
      </c>
      <c r="AZ285" s="2" t="s">
        <v>3714</v>
      </c>
      <c r="BA285" s="2" t="s">
        <v>3715</v>
      </c>
      <c r="BB285" s="2" t="s">
        <v>19</v>
      </c>
      <c r="BD285" s="2" t="s">
        <v>3716</v>
      </c>
      <c r="BE285" s="2" t="s">
        <v>3717</v>
      </c>
      <c r="BF285" s="2" t="s">
        <v>3718</v>
      </c>
    </row>
    <row r="286" spans="1:58" ht="50.25" customHeight="1" x14ac:dyDescent="0.25">
      <c r="A286" s="8" t="s">
        <v>5</v>
      </c>
      <c r="B286" s="1" t="s">
        <v>0</v>
      </c>
      <c r="C286" s="1" t="s">
        <v>1</v>
      </c>
      <c r="D286" s="1" t="s">
        <v>3719</v>
      </c>
      <c r="E286" s="1" t="s">
        <v>3720</v>
      </c>
      <c r="F286" s="1" t="s">
        <v>3721</v>
      </c>
      <c r="H286" s="2" t="s">
        <v>5</v>
      </c>
      <c r="I286" s="2" t="s">
        <v>6</v>
      </c>
      <c r="J286" s="2" t="s">
        <v>5</v>
      </c>
      <c r="K286" s="2" t="s">
        <v>5</v>
      </c>
      <c r="L286" s="2" t="s">
        <v>7</v>
      </c>
      <c r="M286" s="1" t="s">
        <v>3722</v>
      </c>
      <c r="N286" s="1" t="s">
        <v>3723</v>
      </c>
      <c r="O286" s="2" t="s">
        <v>60</v>
      </c>
      <c r="Q286" s="2" t="s">
        <v>10</v>
      </c>
      <c r="R286" s="2" t="s">
        <v>77</v>
      </c>
      <c r="T286" s="2" t="s">
        <v>12</v>
      </c>
      <c r="U286" s="3">
        <v>0</v>
      </c>
      <c r="V286" s="3">
        <v>0</v>
      </c>
      <c r="W286" s="4" t="s">
        <v>3724</v>
      </c>
      <c r="X286" s="4" t="s">
        <v>3724</v>
      </c>
      <c r="Y286" s="4" t="s">
        <v>3725</v>
      </c>
      <c r="Z286" s="4" t="s">
        <v>3725</v>
      </c>
      <c r="AA286" s="3">
        <v>164</v>
      </c>
      <c r="AB286" s="3">
        <v>98</v>
      </c>
      <c r="AC286" s="3">
        <v>98</v>
      </c>
      <c r="AD286" s="3">
        <v>1</v>
      </c>
      <c r="AE286" s="3">
        <v>1</v>
      </c>
      <c r="AF286" s="3">
        <v>1</v>
      </c>
      <c r="AG286" s="3">
        <v>1</v>
      </c>
      <c r="AH286" s="3">
        <v>0</v>
      </c>
      <c r="AI286" s="3">
        <v>0</v>
      </c>
      <c r="AJ286" s="3">
        <v>1</v>
      </c>
      <c r="AK286" s="3">
        <v>1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2" t="s">
        <v>5</v>
      </c>
      <c r="AS286" s="2" t="s">
        <v>5</v>
      </c>
      <c r="AU286" s="5" t="str">
        <f>HYPERLINK("https://creighton-primo.hosted.exlibrisgroup.com/primo-explore/search?tab=default_tab&amp;search_scope=EVERYTHING&amp;vid=01CRU&amp;lang=en_US&amp;offset=0&amp;query=any,contains,991000453149702656","Catalog Record")</f>
        <v>Catalog Record</v>
      </c>
      <c r="AV286" s="5" t="str">
        <f>HYPERLINK("http://www.worldcat.org/oclc/55892746","WorldCat Record")</f>
        <v>WorldCat Record</v>
      </c>
      <c r="AW286" s="2" t="s">
        <v>3726</v>
      </c>
      <c r="AX286" s="2" t="s">
        <v>3727</v>
      </c>
      <c r="AY286" s="2" t="s">
        <v>3728</v>
      </c>
      <c r="AZ286" s="2" t="s">
        <v>3728</v>
      </c>
      <c r="BA286" s="2" t="s">
        <v>3729</v>
      </c>
      <c r="BB286" s="2" t="s">
        <v>19</v>
      </c>
      <c r="BD286" s="2" t="s">
        <v>3730</v>
      </c>
      <c r="BE286" s="2" t="s">
        <v>3731</v>
      </c>
      <c r="BF286" s="2" t="s">
        <v>3732</v>
      </c>
    </row>
    <row r="287" spans="1:58" ht="50.25" customHeight="1" x14ac:dyDescent="0.25">
      <c r="A287" s="8" t="s">
        <v>5</v>
      </c>
      <c r="B287" s="1" t="s">
        <v>0</v>
      </c>
      <c r="C287" s="1" t="s">
        <v>1</v>
      </c>
      <c r="D287" s="1" t="s">
        <v>3733</v>
      </c>
      <c r="E287" s="1" t="s">
        <v>3734</v>
      </c>
      <c r="F287" s="1" t="s">
        <v>3735</v>
      </c>
      <c r="H287" s="2" t="s">
        <v>5</v>
      </c>
      <c r="I287" s="2" t="s">
        <v>6</v>
      </c>
      <c r="J287" s="2" t="s">
        <v>90</v>
      </c>
      <c r="K287" s="2" t="s">
        <v>5</v>
      </c>
      <c r="L287" s="2" t="s">
        <v>7</v>
      </c>
      <c r="N287" s="1" t="s">
        <v>3736</v>
      </c>
      <c r="O287" s="2" t="s">
        <v>141</v>
      </c>
      <c r="Q287" s="2" t="s">
        <v>10</v>
      </c>
      <c r="R287" s="2" t="s">
        <v>29</v>
      </c>
      <c r="S287" s="1" t="s">
        <v>3737</v>
      </c>
      <c r="T287" s="2" t="s">
        <v>12</v>
      </c>
      <c r="U287" s="3">
        <v>11</v>
      </c>
      <c r="V287" s="3">
        <v>11</v>
      </c>
      <c r="W287" s="4" t="s">
        <v>3738</v>
      </c>
      <c r="X287" s="4" t="s">
        <v>3738</v>
      </c>
      <c r="Y287" s="4" t="s">
        <v>2938</v>
      </c>
      <c r="Z287" s="4" t="s">
        <v>2938</v>
      </c>
      <c r="AA287" s="3">
        <v>405</v>
      </c>
      <c r="AB287" s="3">
        <v>333</v>
      </c>
      <c r="AC287" s="3">
        <v>335</v>
      </c>
      <c r="AD287" s="3">
        <v>5</v>
      </c>
      <c r="AE287" s="3">
        <v>5</v>
      </c>
      <c r="AF287" s="3">
        <v>17</v>
      </c>
      <c r="AG287" s="3">
        <v>17</v>
      </c>
      <c r="AH287" s="3">
        <v>3</v>
      </c>
      <c r="AI287" s="3">
        <v>3</v>
      </c>
      <c r="AJ287" s="3">
        <v>6</v>
      </c>
      <c r="AK287" s="3">
        <v>6</v>
      </c>
      <c r="AL287" s="3">
        <v>9</v>
      </c>
      <c r="AM287" s="3">
        <v>9</v>
      </c>
      <c r="AN287" s="3">
        <v>3</v>
      </c>
      <c r="AO287" s="3">
        <v>3</v>
      </c>
      <c r="AP287" s="3">
        <v>0</v>
      </c>
      <c r="AQ287" s="3">
        <v>0</v>
      </c>
      <c r="AR287" s="2" t="s">
        <v>5</v>
      </c>
      <c r="AS287" s="2" t="s">
        <v>90</v>
      </c>
      <c r="AT287" s="5" t="str">
        <f>HYPERLINK("http://catalog.hathitrust.org/Record/000477004","HathiTrust Record")</f>
        <v>HathiTrust Record</v>
      </c>
      <c r="AU287" s="5" t="str">
        <f>HYPERLINK("https://creighton-primo.hosted.exlibrisgroup.com/primo-explore/search?tab=default_tab&amp;search_scope=EVERYTHING&amp;vid=01CRU&amp;lang=en_US&amp;offset=0&amp;query=any,contains,991000729689702656","Catalog Record")</f>
        <v>Catalog Record</v>
      </c>
      <c r="AV287" s="5" t="str">
        <f>HYPERLINK("http://www.worldcat.org/oclc/12422136","WorldCat Record")</f>
        <v>WorldCat Record</v>
      </c>
      <c r="AW287" s="2" t="s">
        <v>3739</v>
      </c>
      <c r="AX287" s="2" t="s">
        <v>3740</v>
      </c>
      <c r="AY287" s="2" t="s">
        <v>3741</v>
      </c>
      <c r="AZ287" s="2" t="s">
        <v>3741</v>
      </c>
      <c r="BA287" s="2" t="s">
        <v>3742</v>
      </c>
      <c r="BB287" s="2" t="s">
        <v>19</v>
      </c>
      <c r="BD287" s="2" t="s">
        <v>3743</v>
      </c>
      <c r="BE287" s="2" t="s">
        <v>3744</v>
      </c>
      <c r="BF287" s="2" t="s">
        <v>3745</v>
      </c>
    </row>
    <row r="288" spans="1:58" ht="50.25" customHeight="1" x14ac:dyDescent="0.25">
      <c r="A288" s="8" t="s">
        <v>5</v>
      </c>
      <c r="B288" s="1" t="s">
        <v>0</v>
      </c>
      <c r="C288" s="1" t="s">
        <v>1</v>
      </c>
      <c r="D288" s="1" t="s">
        <v>3746</v>
      </c>
      <c r="E288" s="1" t="s">
        <v>3747</v>
      </c>
      <c r="F288" s="1" t="s">
        <v>3748</v>
      </c>
      <c r="H288" s="2" t="s">
        <v>5</v>
      </c>
      <c r="I288" s="2" t="s">
        <v>6</v>
      </c>
      <c r="J288" s="2" t="s">
        <v>90</v>
      </c>
      <c r="K288" s="2" t="s">
        <v>5</v>
      </c>
      <c r="L288" s="2" t="s">
        <v>7</v>
      </c>
      <c r="M288" s="1" t="s">
        <v>3749</v>
      </c>
      <c r="N288" s="1" t="s">
        <v>3750</v>
      </c>
      <c r="O288" s="2" t="s">
        <v>596</v>
      </c>
      <c r="Q288" s="2" t="s">
        <v>10</v>
      </c>
      <c r="R288" s="2" t="s">
        <v>29</v>
      </c>
      <c r="T288" s="2" t="s">
        <v>12</v>
      </c>
      <c r="U288" s="3">
        <v>21</v>
      </c>
      <c r="V288" s="3">
        <v>21</v>
      </c>
      <c r="W288" s="4" t="s">
        <v>3751</v>
      </c>
      <c r="X288" s="4" t="s">
        <v>3751</v>
      </c>
      <c r="Y288" s="4" t="s">
        <v>2938</v>
      </c>
      <c r="Z288" s="4" t="s">
        <v>2938</v>
      </c>
      <c r="AA288" s="3">
        <v>420</v>
      </c>
      <c r="AB288" s="3">
        <v>345</v>
      </c>
      <c r="AC288" s="3">
        <v>347</v>
      </c>
      <c r="AD288" s="3">
        <v>5</v>
      </c>
      <c r="AE288" s="3">
        <v>5</v>
      </c>
      <c r="AF288" s="3">
        <v>16</v>
      </c>
      <c r="AG288" s="3">
        <v>16</v>
      </c>
      <c r="AH288" s="3">
        <v>3</v>
      </c>
      <c r="AI288" s="3">
        <v>3</v>
      </c>
      <c r="AJ288" s="3">
        <v>4</v>
      </c>
      <c r="AK288" s="3">
        <v>4</v>
      </c>
      <c r="AL288" s="3">
        <v>8</v>
      </c>
      <c r="AM288" s="3">
        <v>8</v>
      </c>
      <c r="AN288" s="3">
        <v>3</v>
      </c>
      <c r="AO288" s="3">
        <v>3</v>
      </c>
      <c r="AP288" s="3">
        <v>0</v>
      </c>
      <c r="AQ288" s="3">
        <v>0</v>
      </c>
      <c r="AR288" s="2" t="s">
        <v>5</v>
      </c>
      <c r="AS288" s="2" t="s">
        <v>90</v>
      </c>
      <c r="AT288" s="5" t="str">
        <f>HYPERLINK("http://catalog.hathitrust.org/Record/000595453","HathiTrust Record")</f>
        <v>HathiTrust Record</v>
      </c>
      <c r="AU288" s="5" t="str">
        <f>HYPERLINK("https://creighton-primo.hosted.exlibrisgroup.com/primo-explore/search?tab=default_tab&amp;search_scope=EVERYTHING&amp;vid=01CRU&amp;lang=en_US&amp;offset=0&amp;query=any,contains,991001266849702656","Catalog Record")</f>
        <v>Catalog Record</v>
      </c>
      <c r="AV288" s="5" t="str">
        <f>HYPERLINK("http://www.worldcat.org/oclc/14098310","WorldCat Record")</f>
        <v>WorldCat Record</v>
      </c>
      <c r="AW288" s="2" t="s">
        <v>3752</v>
      </c>
      <c r="AX288" s="2" t="s">
        <v>3753</v>
      </c>
      <c r="AY288" s="2" t="s">
        <v>3754</v>
      </c>
      <c r="AZ288" s="2" t="s">
        <v>3754</v>
      </c>
      <c r="BA288" s="2" t="s">
        <v>3755</v>
      </c>
      <c r="BB288" s="2" t="s">
        <v>19</v>
      </c>
      <c r="BD288" s="2" t="s">
        <v>3756</v>
      </c>
      <c r="BE288" s="2" t="s">
        <v>3757</v>
      </c>
      <c r="BF288" s="2" t="s">
        <v>3758</v>
      </c>
    </row>
    <row r="289" spans="1:58" ht="50.25" customHeight="1" x14ac:dyDescent="0.25">
      <c r="A289" s="8" t="s">
        <v>5</v>
      </c>
      <c r="B289" s="1" t="s">
        <v>0</v>
      </c>
      <c r="C289" s="1" t="s">
        <v>1</v>
      </c>
      <c r="D289" s="1" t="s">
        <v>3759</v>
      </c>
      <c r="E289" s="1" t="s">
        <v>3760</v>
      </c>
      <c r="F289" s="1" t="s">
        <v>3761</v>
      </c>
      <c r="H289" s="2" t="s">
        <v>5</v>
      </c>
      <c r="I289" s="2" t="s">
        <v>6</v>
      </c>
      <c r="J289" s="2" t="s">
        <v>5</v>
      </c>
      <c r="K289" s="2" t="s">
        <v>5</v>
      </c>
      <c r="L289" s="2" t="s">
        <v>7</v>
      </c>
      <c r="N289" s="1" t="s">
        <v>3762</v>
      </c>
      <c r="O289" s="2" t="s">
        <v>259</v>
      </c>
      <c r="Q289" s="2" t="s">
        <v>10</v>
      </c>
      <c r="R289" s="2" t="s">
        <v>77</v>
      </c>
      <c r="T289" s="2" t="s">
        <v>12</v>
      </c>
      <c r="U289" s="3">
        <v>8</v>
      </c>
      <c r="V289" s="3">
        <v>8</v>
      </c>
      <c r="W289" s="4" t="s">
        <v>3763</v>
      </c>
      <c r="X289" s="4" t="s">
        <v>3763</v>
      </c>
      <c r="Y289" s="4" t="s">
        <v>3764</v>
      </c>
      <c r="Z289" s="4" t="s">
        <v>3764</v>
      </c>
      <c r="AA289" s="3">
        <v>113</v>
      </c>
      <c r="AB289" s="3">
        <v>60</v>
      </c>
      <c r="AC289" s="3">
        <v>60</v>
      </c>
      <c r="AD289" s="3">
        <v>1</v>
      </c>
      <c r="AE289" s="3">
        <v>1</v>
      </c>
      <c r="AF289" s="3">
        <v>2</v>
      </c>
      <c r="AG289" s="3">
        <v>2</v>
      </c>
      <c r="AH289" s="3">
        <v>1</v>
      </c>
      <c r="AI289" s="3">
        <v>1</v>
      </c>
      <c r="AJ289" s="3">
        <v>1</v>
      </c>
      <c r="AK289" s="3">
        <v>1</v>
      </c>
      <c r="AL289" s="3">
        <v>1</v>
      </c>
      <c r="AM289" s="3">
        <v>1</v>
      </c>
      <c r="AN289" s="3">
        <v>0</v>
      </c>
      <c r="AO289" s="3">
        <v>0</v>
      </c>
      <c r="AP289" s="3">
        <v>0</v>
      </c>
      <c r="AQ289" s="3">
        <v>0</v>
      </c>
      <c r="AR289" s="2" t="s">
        <v>5</v>
      </c>
      <c r="AS289" s="2" t="s">
        <v>5</v>
      </c>
      <c r="AU289" s="5" t="str">
        <f>HYPERLINK("https://creighton-primo.hosted.exlibrisgroup.com/primo-explore/search?tab=default_tab&amp;search_scope=EVERYTHING&amp;vid=01CRU&amp;lang=en_US&amp;offset=0&amp;query=any,contains,991001393309702656","Catalog Record")</f>
        <v>Catalog Record</v>
      </c>
      <c r="AV289" s="5" t="str">
        <f>HYPERLINK("http://www.worldcat.org/oclc/30157559","WorldCat Record")</f>
        <v>WorldCat Record</v>
      </c>
      <c r="AW289" s="2" t="s">
        <v>3765</v>
      </c>
      <c r="AX289" s="2" t="s">
        <v>3766</v>
      </c>
      <c r="AY289" s="2" t="s">
        <v>3767</v>
      </c>
      <c r="AZ289" s="2" t="s">
        <v>3767</v>
      </c>
      <c r="BA289" s="2" t="s">
        <v>3768</v>
      </c>
      <c r="BB289" s="2" t="s">
        <v>19</v>
      </c>
      <c r="BD289" s="2" t="s">
        <v>3769</v>
      </c>
      <c r="BE289" s="2" t="s">
        <v>3770</v>
      </c>
      <c r="BF289" s="2" t="s">
        <v>3771</v>
      </c>
    </row>
    <row r="290" spans="1:58" ht="50.25" customHeight="1" x14ac:dyDescent="0.25">
      <c r="A290" s="8" t="s">
        <v>5</v>
      </c>
      <c r="B290" s="1" t="s">
        <v>0</v>
      </c>
      <c r="C290" s="1" t="s">
        <v>1</v>
      </c>
      <c r="D290" s="1" t="s">
        <v>3772</v>
      </c>
      <c r="E290" s="1" t="s">
        <v>3773</v>
      </c>
      <c r="F290" s="1" t="s">
        <v>3774</v>
      </c>
      <c r="H290" s="2" t="s">
        <v>5</v>
      </c>
      <c r="I290" s="2" t="s">
        <v>6</v>
      </c>
      <c r="J290" s="2" t="s">
        <v>5</v>
      </c>
      <c r="K290" s="2" t="s">
        <v>5</v>
      </c>
      <c r="L290" s="2" t="s">
        <v>7</v>
      </c>
      <c r="M290" s="1" t="s">
        <v>3775</v>
      </c>
      <c r="N290" s="1" t="s">
        <v>3776</v>
      </c>
      <c r="O290" s="2" t="s">
        <v>274</v>
      </c>
      <c r="Q290" s="2" t="s">
        <v>10</v>
      </c>
      <c r="R290" s="2" t="s">
        <v>581</v>
      </c>
      <c r="T290" s="2" t="s">
        <v>12</v>
      </c>
      <c r="U290" s="3">
        <v>6</v>
      </c>
      <c r="V290" s="3">
        <v>6</v>
      </c>
      <c r="W290" s="4" t="s">
        <v>3777</v>
      </c>
      <c r="X290" s="4" t="s">
        <v>3777</v>
      </c>
      <c r="Y290" s="4" t="s">
        <v>3778</v>
      </c>
      <c r="Z290" s="4" t="s">
        <v>3778</v>
      </c>
      <c r="AA290" s="3">
        <v>76</v>
      </c>
      <c r="AB290" s="3">
        <v>51</v>
      </c>
      <c r="AC290" s="3">
        <v>51</v>
      </c>
      <c r="AD290" s="3">
        <v>1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2" t="s">
        <v>5</v>
      </c>
      <c r="AS290" s="2" t="s">
        <v>5</v>
      </c>
      <c r="AU290" s="5" t="str">
        <f>HYPERLINK("https://creighton-primo.hosted.exlibrisgroup.com/primo-explore/search?tab=default_tab&amp;search_scope=EVERYTHING&amp;vid=01CRU&amp;lang=en_US&amp;offset=0&amp;query=any,contains,991001015269702656","Catalog Record")</f>
        <v>Catalog Record</v>
      </c>
      <c r="AV290" s="5" t="str">
        <f>HYPERLINK("http://www.worldcat.org/oclc/22733451","WorldCat Record")</f>
        <v>WorldCat Record</v>
      </c>
      <c r="AW290" s="2" t="s">
        <v>3779</v>
      </c>
      <c r="AX290" s="2" t="s">
        <v>3780</v>
      </c>
      <c r="AY290" s="2" t="s">
        <v>3781</v>
      </c>
      <c r="AZ290" s="2" t="s">
        <v>3781</v>
      </c>
      <c r="BA290" s="2" t="s">
        <v>3782</v>
      </c>
      <c r="BB290" s="2" t="s">
        <v>19</v>
      </c>
      <c r="BD290" s="2" t="s">
        <v>3783</v>
      </c>
      <c r="BE290" s="2" t="s">
        <v>3784</v>
      </c>
      <c r="BF290" s="2" t="s">
        <v>3785</v>
      </c>
    </row>
    <row r="291" spans="1:58" ht="50.25" customHeight="1" x14ac:dyDescent="0.25">
      <c r="A291" s="8" t="s">
        <v>5</v>
      </c>
      <c r="B291" s="1" t="s">
        <v>0</v>
      </c>
      <c r="C291" s="1" t="s">
        <v>1</v>
      </c>
      <c r="D291" s="1" t="s">
        <v>3786</v>
      </c>
      <c r="E291" s="1" t="s">
        <v>3787</v>
      </c>
      <c r="F291" s="1" t="s">
        <v>3788</v>
      </c>
      <c r="G291" s="2" t="s">
        <v>3789</v>
      </c>
      <c r="H291" s="2" t="s">
        <v>5</v>
      </c>
      <c r="I291" s="2" t="s">
        <v>6</v>
      </c>
      <c r="J291" s="2" t="s">
        <v>5</v>
      </c>
      <c r="K291" s="2" t="s">
        <v>5</v>
      </c>
      <c r="L291" s="2" t="s">
        <v>7</v>
      </c>
      <c r="N291" s="1" t="s">
        <v>3683</v>
      </c>
      <c r="O291" s="2" t="s">
        <v>228</v>
      </c>
      <c r="Q291" s="2" t="s">
        <v>10</v>
      </c>
      <c r="R291" s="2" t="s">
        <v>110</v>
      </c>
      <c r="S291" s="1" t="s">
        <v>3790</v>
      </c>
      <c r="T291" s="2" t="s">
        <v>12</v>
      </c>
      <c r="U291" s="3">
        <v>13</v>
      </c>
      <c r="V291" s="3">
        <v>13</v>
      </c>
      <c r="W291" s="4" t="s">
        <v>3738</v>
      </c>
      <c r="X291" s="4" t="s">
        <v>3738</v>
      </c>
      <c r="Y291" s="4" t="s">
        <v>3686</v>
      </c>
      <c r="Z291" s="4" t="s">
        <v>3686</v>
      </c>
      <c r="AA291" s="3">
        <v>65</v>
      </c>
      <c r="AB291" s="3">
        <v>53</v>
      </c>
      <c r="AC291" s="3">
        <v>58</v>
      </c>
      <c r="AD291" s="3">
        <v>1</v>
      </c>
      <c r="AE291" s="3">
        <v>1</v>
      </c>
      <c r="AF291" s="3">
        <v>1</v>
      </c>
      <c r="AG291" s="3">
        <v>1</v>
      </c>
      <c r="AH291" s="3">
        <v>0</v>
      </c>
      <c r="AI291" s="3">
        <v>0</v>
      </c>
      <c r="AJ291" s="3">
        <v>1</v>
      </c>
      <c r="AK291" s="3">
        <v>1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2" t="s">
        <v>5</v>
      </c>
      <c r="AS291" s="2" t="s">
        <v>5</v>
      </c>
      <c r="AU291" s="5" t="str">
        <f>HYPERLINK("https://creighton-primo.hosted.exlibrisgroup.com/primo-explore/search?tab=default_tab&amp;search_scope=EVERYTHING&amp;vid=01CRU&amp;lang=en_US&amp;offset=0&amp;query=any,contains,991001118939702656","Catalog Record")</f>
        <v>Catalog Record</v>
      </c>
      <c r="AV291" s="5" t="str">
        <f>HYPERLINK("http://www.worldcat.org/oclc/17868574","WorldCat Record")</f>
        <v>WorldCat Record</v>
      </c>
      <c r="AW291" s="2" t="s">
        <v>3791</v>
      </c>
      <c r="AX291" s="2" t="s">
        <v>3792</v>
      </c>
      <c r="AY291" s="2" t="s">
        <v>3793</v>
      </c>
      <c r="AZ291" s="2" t="s">
        <v>3793</v>
      </c>
      <c r="BA291" s="2" t="s">
        <v>3794</v>
      </c>
      <c r="BB291" s="2" t="s">
        <v>19</v>
      </c>
      <c r="BD291" s="2" t="s">
        <v>3795</v>
      </c>
      <c r="BE291" s="2" t="s">
        <v>3796</v>
      </c>
      <c r="BF291" s="2" t="s">
        <v>3797</v>
      </c>
    </row>
    <row r="292" spans="1:58" ht="50.25" customHeight="1" x14ac:dyDescent="0.25">
      <c r="A292" s="8" t="s">
        <v>5</v>
      </c>
      <c r="B292" s="1" t="s">
        <v>0</v>
      </c>
      <c r="C292" s="1" t="s">
        <v>1</v>
      </c>
      <c r="D292" s="1" t="s">
        <v>3798</v>
      </c>
      <c r="E292" s="1" t="s">
        <v>3799</v>
      </c>
      <c r="F292" s="1" t="s">
        <v>3800</v>
      </c>
      <c r="H292" s="2" t="s">
        <v>5</v>
      </c>
      <c r="I292" s="2" t="s">
        <v>6</v>
      </c>
      <c r="J292" s="2" t="s">
        <v>5</v>
      </c>
      <c r="K292" s="2" t="s">
        <v>5</v>
      </c>
      <c r="L292" s="2" t="s">
        <v>7</v>
      </c>
      <c r="M292" s="1" t="s">
        <v>3801</v>
      </c>
      <c r="N292" s="1" t="s">
        <v>3802</v>
      </c>
      <c r="O292" s="2" t="s">
        <v>28</v>
      </c>
      <c r="P292" s="1" t="s">
        <v>320</v>
      </c>
      <c r="Q292" s="2" t="s">
        <v>10</v>
      </c>
      <c r="R292" s="2" t="s">
        <v>61</v>
      </c>
      <c r="T292" s="2" t="s">
        <v>12</v>
      </c>
      <c r="U292" s="3">
        <v>29</v>
      </c>
      <c r="V292" s="3">
        <v>29</v>
      </c>
      <c r="W292" s="4" t="s">
        <v>3803</v>
      </c>
      <c r="X292" s="4" t="s">
        <v>3803</v>
      </c>
      <c r="Y292" s="4" t="s">
        <v>3804</v>
      </c>
      <c r="Z292" s="4" t="s">
        <v>3804</v>
      </c>
      <c r="AA292" s="3">
        <v>420</v>
      </c>
      <c r="AB292" s="3">
        <v>395</v>
      </c>
      <c r="AC292" s="3">
        <v>402</v>
      </c>
      <c r="AD292" s="3">
        <v>2</v>
      </c>
      <c r="AE292" s="3">
        <v>2</v>
      </c>
      <c r="AF292" s="3">
        <v>1</v>
      </c>
      <c r="AG292" s="3">
        <v>1</v>
      </c>
      <c r="AH292" s="3">
        <v>1</v>
      </c>
      <c r="AI292" s="3">
        <v>1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2" t="s">
        <v>5</v>
      </c>
      <c r="AS292" s="2" t="s">
        <v>90</v>
      </c>
      <c r="AT292" s="5" t="str">
        <f>HYPERLINK("http://catalog.hathitrust.org/Record/001301973","HathiTrust Record")</f>
        <v>HathiTrust Record</v>
      </c>
      <c r="AU292" s="5" t="str">
        <f>HYPERLINK("https://creighton-primo.hosted.exlibrisgroup.com/primo-explore/search?tab=default_tab&amp;search_scope=EVERYTHING&amp;vid=01CRU&amp;lang=en_US&amp;offset=0&amp;query=any,contains,991001239309702656","Catalog Record")</f>
        <v>Catalog Record</v>
      </c>
      <c r="AV292" s="5" t="str">
        <f>HYPERLINK("http://www.worldcat.org/oclc/18682628","WorldCat Record")</f>
        <v>WorldCat Record</v>
      </c>
      <c r="AW292" s="2" t="s">
        <v>3805</v>
      </c>
      <c r="AX292" s="2" t="s">
        <v>3806</v>
      </c>
      <c r="AY292" s="2" t="s">
        <v>3807</v>
      </c>
      <c r="AZ292" s="2" t="s">
        <v>3807</v>
      </c>
      <c r="BA292" s="2" t="s">
        <v>3808</v>
      </c>
      <c r="BB292" s="2" t="s">
        <v>19</v>
      </c>
      <c r="BD292" s="2" t="s">
        <v>3809</v>
      </c>
      <c r="BE292" s="2" t="s">
        <v>3810</v>
      </c>
      <c r="BF292" s="2" t="s">
        <v>3811</v>
      </c>
    </row>
    <row r="293" spans="1:58" ht="50.25" customHeight="1" x14ac:dyDescent="0.25">
      <c r="A293" s="8" t="s">
        <v>5</v>
      </c>
      <c r="B293" s="1" t="s">
        <v>0</v>
      </c>
      <c r="C293" s="1" t="s">
        <v>1</v>
      </c>
      <c r="D293" s="1" t="s">
        <v>3812</v>
      </c>
      <c r="E293" s="1" t="s">
        <v>3813</v>
      </c>
      <c r="F293" s="1" t="s">
        <v>3814</v>
      </c>
      <c r="H293" s="2" t="s">
        <v>5</v>
      </c>
      <c r="I293" s="2" t="s">
        <v>6</v>
      </c>
      <c r="J293" s="2" t="s">
        <v>5</v>
      </c>
      <c r="K293" s="2" t="s">
        <v>5</v>
      </c>
      <c r="L293" s="2" t="s">
        <v>7</v>
      </c>
      <c r="M293" s="1" t="s">
        <v>3815</v>
      </c>
      <c r="N293" s="1" t="s">
        <v>3816</v>
      </c>
      <c r="O293" s="2" t="s">
        <v>213</v>
      </c>
      <c r="Q293" s="2" t="s">
        <v>10</v>
      </c>
      <c r="R293" s="2" t="s">
        <v>11</v>
      </c>
      <c r="T293" s="2" t="s">
        <v>12</v>
      </c>
      <c r="U293" s="3">
        <v>28</v>
      </c>
      <c r="V293" s="3">
        <v>28</v>
      </c>
      <c r="W293" s="4" t="s">
        <v>3817</v>
      </c>
      <c r="X293" s="4" t="s">
        <v>3817</v>
      </c>
      <c r="Y293" s="4" t="s">
        <v>3818</v>
      </c>
      <c r="Z293" s="4" t="s">
        <v>3818</v>
      </c>
      <c r="AA293" s="3">
        <v>187</v>
      </c>
      <c r="AB293" s="3">
        <v>148</v>
      </c>
      <c r="AC293" s="3">
        <v>154</v>
      </c>
      <c r="AD293" s="3">
        <v>1</v>
      </c>
      <c r="AE293" s="3">
        <v>1</v>
      </c>
      <c r="AF293" s="3">
        <v>2</v>
      </c>
      <c r="AG293" s="3">
        <v>2</v>
      </c>
      <c r="AH293" s="3">
        <v>0</v>
      </c>
      <c r="AI293" s="3">
        <v>0</v>
      </c>
      <c r="AJ293" s="3">
        <v>2</v>
      </c>
      <c r="AK293" s="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2" t="s">
        <v>5</v>
      </c>
      <c r="AS293" s="2" t="s">
        <v>5</v>
      </c>
      <c r="AU293" s="5" t="str">
        <f>HYPERLINK("https://creighton-primo.hosted.exlibrisgroup.com/primo-explore/search?tab=default_tab&amp;search_scope=EVERYTHING&amp;vid=01CRU&amp;lang=en_US&amp;offset=0&amp;query=any,contains,991001344689702656","Catalog Record")</f>
        <v>Catalog Record</v>
      </c>
      <c r="AV293" s="5" t="str">
        <f>HYPERLINK("http://www.worldcat.org/oclc/25372115","WorldCat Record")</f>
        <v>WorldCat Record</v>
      </c>
      <c r="AW293" s="2" t="s">
        <v>3819</v>
      </c>
      <c r="AX293" s="2" t="s">
        <v>3820</v>
      </c>
      <c r="AY293" s="2" t="s">
        <v>3821</v>
      </c>
      <c r="AZ293" s="2" t="s">
        <v>3821</v>
      </c>
      <c r="BA293" s="2" t="s">
        <v>3822</v>
      </c>
      <c r="BB293" s="2" t="s">
        <v>19</v>
      </c>
      <c r="BD293" s="2" t="s">
        <v>3823</v>
      </c>
      <c r="BE293" s="2" t="s">
        <v>3824</v>
      </c>
      <c r="BF293" s="2" t="s">
        <v>3825</v>
      </c>
    </row>
    <row r="294" spans="1:58" ht="50.25" customHeight="1" x14ac:dyDescent="0.25">
      <c r="A294" s="8" t="s">
        <v>5</v>
      </c>
      <c r="B294" s="1" t="s">
        <v>0</v>
      </c>
      <c r="C294" s="1" t="s">
        <v>1</v>
      </c>
      <c r="D294" s="1" t="s">
        <v>3826</v>
      </c>
      <c r="E294" s="1" t="s">
        <v>3827</v>
      </c>
      <c r="F294" s="1" t="s">
        <v>3828</v>
      </c>
      <c r="H294" s="2" t="s">
        <v>5</v>
      </c>
      <c r="I294" s="2" t="s">
        <v>6</v>
      </c>
      <c r="J294" s="2" t="s">
        <v>5</v>
      </c>
      <c r="K294" s="2" t="s">
        <v>5</v>
      </c>
      <c r="L294" s="2" t="s">
        <v>7</v>
      </c>
      <c r="N294" s="1" t="s">
        <v>3829</v>
      </c>
      <c r="O294" s="2" t="s">
        <v>228</v>
      </c>
      <c r="Q294" s="2" t="s">
        <v>10</v>
      </c>
      <c r="R294" s="2" t="s">
        <v>29</v>
      </c>
      <c r="T294" s="2" t="s">
        <v>12</v>
      </c>
      <c r="U294" s="3">
        <v>7</v>
      </c>
      <c r="V294" s="3">
        <v>7</v>
      </c>
      <c r="W294" s="4" t="s">
        <v>3300</v>
      </c>
      <c r="X294" s="4" t="s">
        <v>3300</v>
      </c>
      <c r="Y294" s="4" t="s">
        <v>3830</v>
      </c>
      <c r="Z294" s="4" t="s">
        <v>3830</v>
      </c>
      <c r="AA294" s="3">
        <v>430</v>
      </c>
      <c r="AB294" s="3">
        <v>352</v>
      </c>
      <c r="AC294" s="3">
        <v>357</v>
      </c>
      <c r="AD294" s="3">
        <v>1</v>
      </c>
      <c r="AE294" s="3">
        <v>1</v>
      </c>
      <c r="AF294" s="3">
        <v>10</v>
      </c>
      <c r="AG294" s="3">
        <v>10</v>
      </c>
      <c r="AH294" s="3">
        <v>5</v>
      </c>
      <c r="AI294" s="3">
        <v>5</v>
      </c>
      <c r="AJ294" s="3">
        <v>2</v>
      </c>
      <c r="AK294" s="3">
        <v>2</v>
      </c>
      <c r="AL294" s="3">
        <v>4</v>
      </c>
      <c r="AM294" s="3">
        <v>4</v>
      </c>
      <c r="AN294" s="3">
        <v>0</v>
      </c>
      <c r="AO294" s="3">
        <v>0</v>
      </c>
      <c r="AP294" s="3">
        <v>1</v>
      </c>
      <c r="AQ294" s="3">
        <v>1</v>
      </c>
      <c r="AR294" s="2" t="s">
        <v>5</v>
      </c>
      <c r="AS294" s="2" t="s">
        <v>5</v>
      </c>
      <c r="AU294" s="5" t="str">
        <f>HYPERLINK("https://creighton-primo.hosted.exlibrisgroup.com/primo-explore/search?tab=default_tab&amp;search_scope=EVERYTHING&amp;vid=01CRU&amp;lang=en_US&amp;offset=0&amp;query=any,contains,991001253219702656","Catalog Record")</f>
        <v>Catalog Record</v>
      </c>
      <c r="AV294" s="5" t="str">
        <f>HYPERLINK("http://www.worldcat.org/oclc/16801285","WorldCat Record")</f>
        <v>WorldCat Record</v>
      </c>
      <c r="AW294" s="2" t="s">
        <v>3831</v>
      </c>
      <c r="AX294" s="2" t="s">
        <v>3832</v>
      </c>
      <c r="AY294" s="2" t="s">
        <v>3833</v>
      </c>
      <c r="AZ294" s="2" t="s">
        <v>3833</v>
      </c>
      <c r="BA294" s="2" t="s">
        <v>3834</v>
      </c>
      <c r="BB294" s="2" t="s">
        <v>19</v>
      </c>
      <c r="BD294" s="2" t="s">
        <v>3835</v>
      </c>
      <c r="BE294" s="2" t="s">
        <v>3836</v>
      </c>
      <c r="BF294" s="2" t="s">
        <v>3837</v>
      </c>
    </row>
    <row r="295" spans="1:58" ht="50.25" customHeight="1" x14ac:dyDescent="0.25">
      <c r="A295" s="8" t="s">
        <v>5</v>
      </c>
      <c r="B295" s="1" t="s">
        <v>0</v>
      </c>
      <c r="C295" s="1" t="s">
        <v>1</v>
      </c>
      <c r="D295" s="1" t="s">
        <v>3838</v>
      </c>
      <c r="E295" s="1" t="s">
        <v>3839</v>
      </c>
      <c r="F295" s="1" t="s">
        <v>3840</v>
      </c>
      <c r="H295" s="2" t="s">
        <v>5</v>
      </c>
      <c r="I295" s="2" t="s">
        <v>6</v>
      </c>
      <c r="J295" s="2" t="s">
        <v>5</v>
      </c>
      <c r="K295" s="2" t="s">
        <v>5</v>
      </c>
      <c r="L295" s="2" t="s">
        <v>6</v>
      </c>
      <c r="N295" s="1" t="s">
        <v>3841</v>
      </c>
      <c r="O295" s="2" t="s">
        <v>349</v>
      </c>
      <c r="Q295" s="2" t="s">
        <v>10</v>
      </c>
      <c r="R295" s="2" t="s">
        <v>77</v>
      </c>
      <c r="T295" s="2" t="s">
        <v>12</v>
      </c>
      <c r="U295" s="3">
        <v>7</v>
      </c>
      <c r="V295" s="3">
        <v>7</v>
      </c>
      <c r="W295" s="4" t="s">
        <v>624</v>
      </c>
      <c r="X295" s="4" t="s">
        <v>624</v>
      </c>
      <c r="Y295" s="4" t="s">
        <v>3842</v>
      </c>
      <c r="Z295" s="4" t="s">
        <v>3842</v>
      </c>
      <c r="AA295" s="3">
        <v>95</v>
      </c>
      <c r="AB295" s="3">
        <v>66</v>
      </c>
      <c r="AC295" s="3">
        <v>1050</v>
      </c>
      <c r="AD295" s="3">
        <v>1</v>
      </c>
      <c r="AE295" s="3">
        <v>14</v>
      </c>
      <c r="AF295" s="3">
        <v>3</v>
      </c>
      <c r="AG295" s="3">
        <v>43</v>
      </c>
      <c r="AH295" s="3">
        <v>0</v>
      </c>
      <c r="AI295" s="3">
        <v>12</v>
      </c>
      <c r="AJ295" s="3">
        <v>2</v>
      </c>
      <c r="AK295" s="3">
        <v>11</v>
      </c>
      <c r="AL295" s="3">
        <v>2</v>
      </c>
      <c r="AM295" s="3">
        <v>13</v>
      </c>
      <c r="AN295" s="3">
        <v>0</v>
      </c>
      <c r="AO295" s="3">
        <v>12</v>
      </c>
      <c r="AP295" s="3">
        <v>0</v>
      </c>
      <c r="AQ295" s="3">
        <v>2</v>
      </c>
      <c r="AR295" s="2" t="s">
        <v>5</v>
      </c>
      <c r="AS295" s="2" t="s">
        <v>5</v>
      </c>
      <c r="AU295" s="5" t="str">
        <f>HYPERLINK("https://creighton-primo.hosted.exlibrisgroup.com/primo-explore/search?tab=default_tab&amp;search_scope=EVERYTHING&amp;vid=01CRU&amp;lang=en_US&amp;offset=0&amp;query=any,contains,991000320549702656","Catalog Record")</f>
        <v>Catalog Record</v>
      </c>
      <c r="AV295" s="5" t="str">
        <f>HYPERLINK("http://www.worldcat.org/oclc/166887293","WorldCat Record")</f>
        <v>WorldCat Record</v>
      </c>
      <c r="AW295" s="2" t="s">
        <v>3843</v>
      </c>
      <c r="AX295" s="2" t="s">
        <v>3844</v>
      </c>
      <c r="AY295" s="2" t="s">
        <v>3845</v>
      </c>
      <c r="AZ295" s="2" t="s">
        <v>3845</v>
      </c>
      <c r="BA295" s="2" t="s">
        <v>3846</v>
      </c>
      <c r="BB295" s="2" t="s">
        <v>19</v>
      </c>
      <c r="BD295" s="2" t="s">
        <v>3847</v>
      </c>
      <c r="BE295" s="2" t="s">
        <v>3848</v>
      </c>
      <c r="BF295" s="2" t="s">
        <v>3849</v>
      </c>
    </row>
    <row r="296" spans="1:58" ht="50.25" customHeight="1" x14ac:dyDescent="0.25">
      <c r="A296" s="8" t="s">
        <v>5</v>
      </c>
      <c r="B296" s="1" t="s">
        <v>0</v>
      </c>
      <c r="C296" s="1" t="s">
        <v>1</v>
      </c>
      <c r="D296" s="1" t="s">
        <v>3850</v>
      </c>
      <c r="E296" s="1" t="s">
        <v>3851</v>
      </c>
      <c r="F296" s="1" t="s">
        <v>3852</v>
      </c>
      <c r="H296" s="2" t="s">
        <v>5</v>
      </c>
      <c r="I296" s="2" t="s">
        <v>6</v>
      </c>
      <c r="J296" s="2" t="s">
        <v>5</v>
      </c>
      <c r="K296" s="2" t="s">
        <v>5</v>
      </c>
      <c r="L296" s="2" t="s">
        <v>7</v>
      </c>
      <c r="N296" s="1" t="s">
        <v>3671</v>
      </c>
      <c r="O296" s="2" t="s">
        <v>28</v>
      </c>
      <c r="Q296" s="2" t="s">
        <v>10</v>
      </c>
      <c r="R296" s="2" t="s">
        <v>29</v>
      </c>
      <c r="T296" s="2" t="s">
        <v>12</v>
      </c>
      <c r="U296" s="3">
        <v>5</v>
      </c>
      <c r="V296" s="3">
        <v>5</v>
      </c>
      <c r="W296" s="4" t="s">
        <v>997</v>
      </c>
      <c r="X296" s="4" t="s">
        <v>997</v>
      </c>
      <c r="Y296" s="4" t="s">
        <v>3853</v>
      </c>
      <c r="Z296" s="4" t="s">
        <v>3853</v>
      </c>
      <c r="AA296" s="3">
        <v>197</v>
      </c>
      <c r="AB296" s="3">
        <v>145</v>
      </c>
      <c r="AC296" s="3">
        <v>158</v>
      </c>
      <c r="AD296" s="3">
        <v>1</v>
      </c>
      <c r="AE296" s="3">
        <v>1</v>
      </c>
      <c r="AF296" s="3">
        <v>5</v>
      </c>
      <c r="AG296" s="3">
        <v>5</v>
      </c>
      <c r="AH296" s="3">
        <v>0</v>
      </c>
      <c r="AI296" s="3">
        <v>0</v>
      </c>
      <c r="AJ296" s="3">
        <v>2</v>
      </c>
      <c r="AK296" s="3">
        <v>2</v>
      </c>
      <c r="AL296" s="3">
        <v>3</v>
      </c>
      <c r="AM296" s="3">
        <v>3</v>
      </c>
      <c r="AN296" s="3">
        <v>0</v>
      </c>
      <c r="AO296" s="3">
        <v>0</v>
      </c>
      <c r="AP296" s="3">
        <v>0</v>
      </c>
      <c r="AQ296" s="3">
        <v>0</v>
      </c>
      <c r="AR296" s="2" t="s">
        <v>5</v>
      </c>
      <c r="AS296" s="2" t="s">
        <v>5</v>
      </c>
      <c r="AU296" s="5" t="str">
        <f>HYPERLINK("https://creighton-primo.hosted.exlibrisgroup.com/primo-explore/search?tab=default_tab&amp;search_scope=EVERYTHING&amp;vid=01CRU&amp;lang=en_US&amp;offset=0&amp;query=any,contains,991001449709702656","Catalog Record")</f>
        <v>Catalog Record</v>
      </c>
      <c r="AV296" s="5" t="str">
        <f>HYPERLINK("http://www.worldcat.org/oclc/18290039","WorldCat Record")</f>
        <v>WorldCat Record</v>
      </c>
      <c r="AW296" s="2" t="s">
        <v>3854</v>
      </c>
      <c r="AX296" s="2" t="s">
        <v>3855</v>
      </c>
      <c r="AY296" s="2" t="s">
        <v>3856</v>
      </c>
      <c r="AZ296" s="2" t="s">
        <v>3856</v>
      </c>
      <c r="BA296" s="2" t="s">
        <v>3857</v>
      </c>
      <c r="BB296" s="2" t="s">
        <v>19</v>
      </c>
      <c r="BD296" s="2" t="s">
        <v>3858</v>
      </c>
      <c r="BE296" s="2" t="s">
        <v>3859</v>
      </c>
      <c r="BF296" s="2" t="s">
        <v>3860</v>
      </c>
    </row>
    <row r="297" spans="1:58" ht="50.25" customHeight="1" x14ac:dyDescent="0.25">
      <c r="A297" s="8" t="s">
        <v>5</v>
      </c>
      <c r="B297" s="1" t="s">
        <v>0</v>
      </c>
      <c r="C297" s="1" t="s">
        <v>1</v>
      </c>
      <c r="D297" s="1" t="s">
        <v>3861</v>
      </c>
      <c r="E297" s="1" t="s">
        <v>3862</v>
      </c>
      <c r="F297" s="1" t="s">
        <v>3863</v>
      </c>
      <c r="H297" s="2" t="s">
        <v>5</v>
      </c>
      <c r="I297" s="2" t="s">
        <v>6</v>
      </c>
      <c r="J297" s="2" t="s">
        <v>5</v>
      </c>
      <c r="K297" s="2" t="s">
        <v>5</v>
      </c>
      <c r="L297" s="2" t="s">
        <v>7</v>
      </c>
      <c r="N297" s="1" t="s">
        <v>3864</v>
      </c>
      <c r="O297" s="2" t="s">
        <v>9</v>
      </c>
      <c r="P297" s="1" t="s">
        <v>3865</v>
      </c>
      <c r="Q297" s="2" t="s">
        <v>10</v>
      </c>
      <c r="R297" s="2" t="s">
        <v>110</v>
      </c>
      <c r="T297" s="2" t="s">
        <v>12</v>
      </c>
      <c r="U297" s="3">
        <v>1</v>
      </c>
      <c r="V297" s="3">
        <v>1</v>
      </c>
      <c r="W297" s="4" t="s">
        <v>3866</v>
      </c>
      <c r="X297" s="4" t="s">
        <v>3866</v>
      </c>
      <c r="Y297" s="4" t="s">
        <v>127</v>
      </c>
      <c r="Z297" s="4" t="s">
        <v>127</v>
      </c>
      <c r="AA297" s="3">
        <v>281</v>
      </c>
      <c r="AB297" s="3">
        <v>188</v>
      </c>
      <c r="AC297" s="3">
        <v>237</v>
      </c>
      <c r="AD297" s="3">
        <v>1</v>
      </c>
      <c r="AE297" s="3">
        <v>1</v>
      </c>
      <c r="AF297" s="3">
        <v>4</v>
      </c>
      <c r="AG297" s="3">
        <v>8</v>
      </c>
      <c r="AH297" s="3">
        <v>1</v>
      </c>
      <c r="AI297" s="3">
        <v>1</v>
      </c>
      <c r="AJ297" s="3">
        <v>1</v>
      </c>
      <c r="AK297" s="3">
        <v>4</v>
      </c>
      <c r="AL297" s="3">
        <v>2</v>
      </c>
      <c r="AM297" s="3">
        <v>4</v>
      </c>
      <c r="AN297" s="3">
        <v>0</v>
      </c>
      <c r="AO297" s="3">
        <v>0</v>
      </c>
      <c r="AP297" s="3">
        <v>0</v>
      </c>
      <c r="AQ297" s="3">
        <v>0</v>
      </c>
      <c r="AR297" s="2" t="s">
        <v>5</v>
      </c>
      <c r="AS297" s="2" t="s">
        <v>5</v>
      </c>
      <c r="AU297" s="5" t="str">
        <f>HYPERLINK("https://creighton-primo.hosted.exlibrisgroup.com/primo-explore/search?tab=default_tab&amp;search_scope=EVERYTHING&amp;vid=01CRU&amp;lang=en_US&amp;offset=0&amp;query=any,contains,991000561099702656","Catalog Record")</f>
        <v>Catalog Record</v>
      </c>
      <c r="AV297" s="5" t="str">
        <f>HYPERLINK("http://www.worldcat.org/oclc/61262344","WorldCat Record")</f>
        <v>WorldCat Record</v>
      </c>
      <c r="AW297" s="2" t="s">
        <v>3867</v>
      </c>
      <c r="AX297" s="2" t="s">
        <v>3868</v>
      </c>
      <c r="AY297" s="2" t="s">
        <v>3869</v>
      </c>
      <c r="AZ297" s="2" t="s">
        <v>3869</v>
      </c>
      <c r="BA297" s="2" t="s">
        <v>3870</v>
      </c>
      <c r="BB297" s="2" t="s">
        <v>19</v>
      </c>
      <c r="BD297" s="2" t="s">
        <v>3871</v>
      </c>
      <c r="BE297" s="2" t="s">
        <v>3872</v>
      </c>
      <c r="BF297" s="2" t="s">
        <v>3873</v>
      </c>
    </row>
    <row r="298" spans="1:58" ht="50.25" customHeight="1" x14ac:dyDescent="0.25">
      <c r="A298" s="8" t="s">
        <v>5</v>
      </c>
      <c r="B298" s="1" t="s">
        <v>0</v>
      </c>
      <c r="C298" s="1" t="s">
        <v>1</v>
      </c>
      <c r="D298" s="1" t="s">
        <v>3874</v>
      </c>
      <c r="E298" s="1" t="s">
        <v>3875</v>
      </c>
      <c r="F298" s="1" t="s">
        <v>3876</v>
      </c>
      <c r="H298" s="2" t="s">
        <v>5</v>
      </c>
      <c r="I298" s="2" t="s">
        <v>6</v>
      </c>
      <c r="J298" s="2" t="s">
        <v>5</v>
      </c>
      <c r="K298" s="2" t="s">
        <v>5</v>
      </c>
      <c r="L298" s="2" t="s">
        <v>7</v>
      </c>
      <c r="M298" s="1" t="s">
        <v>3877</v>
      </c>
      <c r="N298" s="1" t="s">
        <v>3878</v>
      </c>
      <c r="O298" s="2" t="s">
        <v>1138</v>
      </c>
      <c r="Q298" s="2" t="s">
        <v>10</v>
      </c>
      <c r="R298" s="2" t="s">
        <v>77</v>
      </c>
      <c r="T298" s="2" t="s">
        <v>12</v>
      </c>
      <c r="U298" s="3">
        <v>4</v>
      </c>
      <c r="V298" s="3">
        <v>4</v>
      </c>
      <c r="W298" s="4" t="s">
        <v>3879</v>
      </c>
      <c r="X298" s="4" t="s">
        <v>3879</v>
      </c>
      <c r="Y298" s="4" t="s">
        <v>2938</v>
      </c>
      <c r="Z298" s="4" t="s">
        <v>2938</v>
      </c>
      <c r="AA298" s="3">
        <v>272</v>
      </c>
      <c r="AB298" s="3">
        <v>202</v>
      </c>
      <c r="AC298" s="3">
        <v>204</v>
      </c>
      <c r="AD298" s="3">
        <v>1</v>
      </c>
      <c r="AE298" s="3">
        <v>1</v>
      </c>
      <c r="AF298" s="3">
        <v>2</v>
      </c>
      <c r="AG298" s="3">
        <v>2</v>
      </c>
      <c r="AH298" s="3">
        <v>0</v>
      </c>
      <c r="AI298" s="3">
        <v>0</v>
      </c>
      <c r="AJ298" s="3">
        <v>2</v>
      </c>
      <c r="AK298" s="3">
        <v>2</v>
      </c>
      <c r="AL298" s="3">
        <v>1</v>
      </c>
      <c r="AM298" s="3">
        <v>1</v>
      </c>
      <c r="AN298" s="3">
        <v>0</v>
      </c>
      <c r="AO298" s="3">
        <v>0</v>
      </c>
      <c r="AP298" s="3">
        <v>0</v>
      </c>
      <c r="AQ298" s="3">
        <v>0</v>
      </c>
      <c r="AR298" s="2" t="s">
        <v>5</v>
      </c>
      <c r="AS298" s="2" t="s">
        <v>90</v>
      </c>
      <c r="AT298" s="5" t="str">
        <f>HYPERLINK("http://catalog.hathitrust.org/Record/000109024","HathiTrust Record")</f>
        <v>HathiTrust Record</v>
      </c>
      <c r="AU298" s="5" t="str">
        <f>HYPERLINK("https://creighton-primo.hosted.exlibrisgroup.com/primo-explore/search?tab=default_tab&amp;search_scope=EVERYTHING&amp;vid=01CRU&amp;lang=en_US&amp;offset=0&amp;query=any,contains,991000729779702656","Catalog Record")</f>
        <v>Catalog Record</v>
      </c>
      <c r="AV298" s="5" t="str">
        <f>HYPERLINK("http://www.worldcat.org/oclc/9002760","WorldCat Record")</f>
        <v>WorldCat Record</v>
      </c>
      <c r="AW298" s="2" t="s">
        <v>3880</v>
      </c>
      <c r="AX298" s="2" t="s">
        <v>3881</v>
      </c>
      <c r="AY298" s="2" t="s">
        <v>3882</v>
      </c>
      <c r="AZ298" s="2" t="s">
        <v>3882</v>
      </c>
      <c r="BA298" s="2" t="s">
        <v>3883</v>
      </c>
      <c r="BB298" s="2" t="s">
        <v>19</v>
      </c>
      <c r="BD298" s="2" t="s">
        <v>3884</v>
      </c>
      <c r="BE298" s="2" t="s">
        <v>3885</v>
      </c>
      <c r="BF298" s="2" t="s">
        <v>3886</v>
      </c>
    </row>
    <row r="299" spans="1:58" ht="50.25" customHeight="1" x14ac:dyDescent="0.25">
      <c r="A299" s="8" t="s">
        <v>5</v>
      </c>
      <c r="B299" s="1" t="s">
        <v>0</v>
      </c>
      <c r="C299" s="1" t="s">
        <v>1</v>
      </c>
      <c r="D299" s="1" t="s">
        <v>3887</v>
      </c>
      <c r="E299" s="1" t="s">
        <v>3888</v>
      </c>
      <c r="F299" s="1" t="s">
        <v>3889</v>
      </c>
      <c r="H299" s="2" t="s">
        <v>5</v>
      </c>
      <c r="I299" s="2" t="s">
        <v>6</v>
      </c>
      <c r="J299" s="2" t="s">
        <v>5</v>
      </c>
      <c r="K299" s="2" t="s">
        <v>5</v>
      </c>
      <c r="L299" s="2" t="s">
        <v>7</v>
      </c>
      <c r="M299" s="1" t="s">
        <v>3890</v>
      </c>
      <c r="N299" s="1" t="s">
        <v>2962</v>
      </c>
      <c r="O299" s="2" t="s">
        <v>2963</v>
      </c>
      <c r="P299" s="1" t="s">
        <v>3891</v>
      </c>
      <c r="Q299" s="2" t="s">
        <v>10</v>
      </c>
      <c r="R299" s="2" t="s">
        <v>29</v>
      </c>
      <c r="T299" s="2" t="s">
        <v>12</v>
      </c>
      <c r="U299" s="3">
        <v>1</v>
      </c>
      <c r="V299" s="3">
        <v>1</v>
      </c>
      <c r="W299" s="4" t="s">
        <v>3892</v>
      </c>
      <c r="X299" s="4" t="s">
        <v>3892</v>
      </c>
      <c r="Y299" s="4" t="s">
        <v>3393</v>
      </c>
      <c r="Z299" s="4" t="s">
        <v>3393</v>
      </c>
      <c r="AA299" s="3">
        <v>345</v>
      </c>
      <c r="AB299" s="3">
        <v>279</v>
      </c>
      <c r="AC299" s="3">
        <v>816</v>
      </c>
      <c r="AD299" s="3">
        <v>1</v>
      </c>
      <c r="AE299" s="3">
        <v>7</v>
      </c>
      <c r="AF299" s="3">
        <v>2</v>
      </c>
      <c r="AG299" s="3">
        <v>27</v>
      </c>
      <c r="AH299" s="3">
        <v>0</v>
      </c>
      <c r="AI299" s="3">
        <v>9</v>
      </c>
      <c r="AJ299" s="3">
        <v>2</v>
      </c>
      <c r="AK299" s="3">
        <v>9</v>
      </c>
      <c r="AL299" s="3">
        <v>1</v>
      </c>
      <c r="AM299" s="3">
        <v>8</v>
      </c>
      <c r="AN299" s="3">
        <v>0</v>
      </c>
      <c r="AO299" s="3">
        <v>5</v>
      </c>
      <c r="AP299" s="3">
        <v>0</v>
      </c>
      <c r="AQ299" s="3">
        <v>1</v>
      </c>
      <c r="AR299" s="2" t="s">
        <v>5</v>
      </c>
      <c r="AS299" s="2" t="s">
        <v>90</v>
      </c>
      <c r="AT299" s="5" t="str">
        <f>HYPERLINK("http://catalog.hathitrust.org/Record/000106349","HathiTrust Record")</f>
        <v>HathiTrust Record</v>
      </c>
      <c r="AU299" s="5" t="str">
        <f>HYPERLINK("https://creighton-primo.hosted.exlibrisgroup.com/primo-explore/search?tab=default_tab&amp;search_scope=EVERYTHING&amp;vid=01CRU&amp;lang=en_US&amp;offset=0&amp;query=any,contains,991000729969702656","Catalog Record")</f>
        <v>Catalog Record</v>
      </c>
      <c r="AV299" s="5" t="str">
        <f>HYPERLINK("http://www.worldcat.org/oclc/8475977","WorldCat Record")</f>
        <v>WorldCat Record</v>
      </c>
      <c r="AW299" s="2" t="s">
        <v>3893</v>
      </c>
      <c r="AX299" s="2" t="s">
        <v>3894</v>
      </c>
      <c r="AY299" s="2" t="s">
        <v>3895</v>
      </c>
      <c r="AZ299" s="2" t="s">
        <v>3895</v>
      </c>
      <c r="BA299" s="2" t="s">
        <v>3896</v>
      </c>
      <c r="BB299" s="2" t="s">
        <v>19</v>
      </c>
      <c r="BD299" s="2" t="s">
        <v>3897</v>
      </c>
      <c r="BE299" s="2" t="s">
        <v>3898</v>
      </c>
      <c r="BF299" s="2" t="s">
        <v>3899</v>
      </c>
    </row>
    <row r="300" spans="1:58" ht="50.25" customHeight="1" x14ac:dyDescent="0.25">
      <c r="A300" s="8" t="s">
        <v>5</v>
      </c>
      <c r="B300" s="1" t="s">
        <v>0</v>
      </c>
      <c r="C300" s="1" t="s">
        <v>1</v>
      </c>
      <c r="D300" s="1" t="s">
        <v>3900</v>
      </c>
      <c r="E300" s="1" t="s">
        <v>3901</v>
      </c>
      <c r="F300" s="1" t="s">
        <v>3902</v>
      </c>
      <c r="H300" s="2" t="s">
        <v>5</v>
      </c>
      <c r="I300" s="2" t="s">
        <v>6</v>
      </c>
      <c r="J300" s="2" t="s">
        <v>5</v>
      </c>
      <c r="K300" s="2" t="s">
        <v>5</v>
      </c>
      <c r="L300" s="2" t="s">
        <v>7</v>
      </c>
      <c r="N300" s="1" t="s">
        <v>3903</v>
      </c>
      <c r="O300" s="2" t="s">
        <v>198</v>
      </c>
      <c r="Q300" s="2" t="s">
        <v>10</v>
      </c>
      <c r="R300" s="2" t="s">
        <v>2850</v>
      </c>
      <c r="T300" s="2" t="s">
        <v>12</v>
      </c>
      <c r="U300" s="3">
        <v>3</v>
      </c>
      <c r="V300" s="3">
        <v>3</v>
      </c>
      <c r="W300" s="4" t="s">
        <v>3904</v>
      </c>
      <c r="X300" s="4" t="s">
        <v>3904</v>
      </c>
      <c r="Y300" s="4" t="s">
        <v>889</v>
      </c>
      <c r="Z300" s="4" t="s">
        <v>889</v>
      </c>
      <c r="AA300" s="3">
        <v>229</v>
      </c>
      <c r="AB300" s="3">
        <v>198</v>
      </c>
      <c r="AC300" s="3">
        <v>281</v>
      </c>
      <c r="AD300" s="3">
        <v>1</v>
      </c>
      <c r="AE300" s="3">
        <v>1</v>
      </c>
      <c r="AF300" s="3">
        <v>3</v>
      </c>
      <c r="AG300" s="3">
        <v>6</v>
      </c>
      <c r="AH300" s="3">
        <v>0</v>
      </c>
      <c r="AI300" s="3">
        <v>1</v>
      </c>
      <c r="AJ300" s="3">
        <v>2</v>
      </c>
      <c r="AK300" s="3">
        <v>2</v>
      </c>
      <c r="AL300" s="3">
        <v>2</v>
      </c>
      <c r="AM300" s="3">
        <v>2</v>
      </c>
      <c r="AN300" s="3">
        <v>0</v>
      </c>
      <c r="AO300" s="3">
        <v>0</v>
      </c>
      <c r="AP300" s="3">
        <v>0</v>
      </c>
      <c r="AQ300" s="3">
        <v>2</v>
      </c>
      <c r="AR300" s="2" t="s">
        <v>5</v>
      </c>
      <c r="AS300" s="2" t="s">
        <v>5</v>
      </c>
      <c r="AU300" s="5" t="str">
        <f>HYPERLINK("https://creighton-primo.hosted.exlibrisgroup.com/primo-explore/search?tab=default_tab&amp;search_scope=EVERYTHING&amp;vid=01CRU&amp;lang=en_US&amp;offset=0&amp;query=any,contains,991000729929702656","Catalog Record")</f>
        <v>Catalog Record</v>
      </c>
      <c r="AV300" s="5" t="str">
        <f>HYPERLINK("http://www.worldcat.org/oclc/10606041","WorldCat Record")</f>
        <v>WorldCat Record</v>
      </c>
      <c r="AW300" s="2" t="s">
        <v>3905</v>
      </c>
      <c r="AX300" s="2" t="s">
        <v>3906</v>
      </c>
      <c r="AY300" s="2" t="s">
        <v>3907</v>
      </c>
      <c r="AZ300" s="2" t="s">
        <v>3907</v>
      </c>
      <c r="BA300" s="2" t="s">
        <v>3908</v>
      </c>
      <c r="BB300" s="2" t="s">
        <v>19</v>
      </c>
      <c r="BD300" s="2" t="s">
        <v>3909</v>
      </c>
      <c r="BE300" s="2" t="s">
        <v>3910</v>
      </c>
      <c r="BF300" s="2" t="s">
        <v>3911</v>
      </c>
    </row>
    <row r="301" spans="1:58" ht="50.25" customHeight="1" x14ac:dyDescent="0.25">
      <c r="A301" s="8" t="s">
        <v>5</v>
      </c>
      <c r="B301" s="1" t="s">
        <v>0</v>
      </c>
      <c r="C301" s="1" t="s">
        <v>1</v>
      </c>
      <c r="D301" s="1" t="s">
        <v>3912</v>
      </c>
      <c r="E301" s="1" t="s">
        <v>3913</v>
      </c>
      <c r="F301" s="1" t="s">
        <v>3914</v>
      </c>
      <c r="H301" s="2" t="s">
        <v>5</v>
      </c>
      <c r="I301" s="2" t="s">
        <v>6</v>
      </c>
      <c r="J301" s="2" t="s">
        <v>5</v>
      </c>
      <c r="K301" s="2" t="s">
        <v>5</v>
      </c>
      <c r="L301" s="2" t="s">
        <v>6</v>
      </c>
      <c r="M301" s="1" t="s">
        <v>3915</v>
      </c>
      <c r="N301" s="1" t="s">
        <v>3916</v>
      </c>
      <c r="O301" s="2" t="s">
        <v>169</v>
      </c>
      <c r="Q301" s="2" t="s">
        <v>10</v>
      </c>
      <c r="R301" s="2" t="s">
        <v>529</v>
      </c>
      <c r="T301" s="2" t="s">
        <v>12</v>
      </c>
      <c r="U301" s="3">
        <v>1</v>
      </c>
      <c r="V301" s="3">
        <v>1</v>
      </c>
      <c r="W301" s="4" t="s">
        <v>3917</v>
      </c>
      <c r="X301" s="4" t="s">
        <v>3917</v>
      </c>
      <c r="Y301" s="4" t="s">
        <v>3918</v>
      </c>
      <c r="Z301" s="4" t="s">
        <v>3918</v>
      </c>
      <c r="AA301" s="3">
        <v>541</v>
      </c>
      <c r="AB301" s="3">
        <v>485</v>
      </c>
      <c r="AC301" s="3">
        <v>1598</v>
      </c>
      <c r="AD301" s="3">
        <v>3</v>
      </c>
      <c r="AE301" s="3">
        <v>15</v>
      </c>
      <c r="AF301" s="3">
        <v>7</v>
      </c>
      <c r="AG301" s="3">
        <v>35</v>
      </c>
      <c r="AH301" s="3">
        <v>3</v>
      </c>
      <c r="AI301" s="3">
        <v>12</v>
      </c>
      <c r="AJ301" s="3">
        <v>0</v>
      </c>
      <c r="AK301" s="3">
        <v>6</v>
      </c>
      <c r="AL301" s="3">
        <v>3</v>
      </c>
      <c r="AM301" s="3">
        <v>9</v>
      </c>
      <c r="AN301" s="3">
        <v>2</v>
      </c>
      <c r="AO301" s="3">
        <v>13</v>
      </c>
      <c r="AP301" s="3">
        <v>0</v>
      </c>
      <c r="AQ301" s="3">
        <v>1</v>
      </c>
      <c r="AR301" s="2" t="s">
        <v>5</v>
      </c>
      <c r="AS301" s="2" t="s">
        <v>5</v>
      </c>
      <c r="AU301" s="5" t="str">
        <f>HYPERLINK("https://creighton-primo.hosted.exlibrisgroup.com/primo-explore/search?tab=default_tab&amp;search_scope=EVERYTHING&amp;vid=01CRU&amp;lang=en_US&amp;offset=0&amp;query=any,contains,991001441369702656","Catalog Record")</f>
        <v>Catalog Record</v>
      </c>
      <c r="AV301" s="5" t="str">
        <f>HYPERLINK("http://www.worldcat.org/oclc/37341468","WorldCat Record")</f>
        <v>WorldCat Record</v>
      </c>
      <c r="AW301" s="2" t="s">
        <v>3919</v>
      </c>
      <c r="AX301" s="2" t="s">
        <v>3920</v>
      </c>
      <c r="AY301" s="2" t="s">
        <v>3921</v>
      </c>
      <c r="AZ301" s="2" t="s">
        <v>3921</v>
      </c>
      <c r="BA301" s="2" t="s">
        <v>3922</v>
      </c>
      <c r="BB301" s="2" t="s">
        <v>19</v>
      </c>
      <c r="BD301" s="2" t="s">
        <v>3923</v>
      </c>
      <c r="BE301" s="2" t="s">
        <v>3924</v>
      </c>
      <c r="BF301" s="2" t="s">
        <v>3925</v>
      </c>
    </row>
    <row r="302" spans="1:58" ht="50.25" customHeight="1" x14ac:dyDescent="0.25">
      <c r="A302" s="8" t="s">
        <v>5</v>
      </c>
      <c r="B302" s="1" t="s">
        <v>0</v>
      </c>
      <c r="C302" s="1" t="s">
        <v>1</v>
      </c>
      <c r="D302" s="1" t="s">
        <v>3926</v>
      </c>
      <c r="E302" s="1" t="s">
        <v>3927</v>
      </c>
      <c r="F302" s="1" t="s">
        <v>3928</v>
      </c>
      <c r="H302" s="2" t="s">
        <v>5</v>
      </c>
      <c r="I302" s="2" t="s">
        <v>6</v>
      </c>
      <c r="J302" s="2" t="s">
        <v>5</v>
      </c>
      <c r="K302" s="2" t="s">
        <v>5</v>
      </c>
      <c r="L302" s="2" t="s">
        <v>7</v>
      </c>
      <c r="M302" s="1" t="s">
        <v>3929</v>
      </c>
      <c r="N302" s="1" t="s">
        <v>3930</v>
      </c>
      <c r="O302" s="2" t="s">
        <v>274</v>
      </c>
      <c r="Q302" s="2" t="s">
        <v>10</v>
      </c>
      <c r="R302" s="2" t="s">
        <v>1279</v>
      </c>
      <c r="T302" s="2" t="s">
        <v>12</v>
      </c>
      <c r="U302" s="3">
        <v>37</v>
      </c>
      <c r="V302" s="3">
        <v>37</v>
      </c>
      <c r="W302" s="4" t="s">
        <v>3931</v>
      </c>
      <c r="X302" s="4" t="s">
        <v>3931</v>
      </c>
      <c r="Y302" s="4" t="s">
        <v>3932</v>
      </c>
      <c r="Z302" s="4" t="s">
        <v>3932</v>
      </c>
      <c r="AA302" s="3">
        <v>267</v>
      </c>
      <c r="AB302" s="3">
        <v>233</v>
      </c>
      <c r="AC302" s="3">
        <v>262</v>
      </c>
      <c r="AD302" s="3">
        <v>2</v>
      </c>
      <c r="AE302" s="3">
        <v>2</v>
      </c>
      <c r="AF302" s="3">
        <v>8</v>
      </c>
      <c r="AG302" s="3">
        <v>8</v>
      </c>
      <c r="AH302" s="3">
        <v>4</v>
      </c>
      <c r="AI302" s="3">
        <v>4</v>
      </c>
      <c r="AJ302" s="3">
        <v>2</v>
      </c>
      <c r="AK302" s="3">
        <v>2</v>
      </c>
      <c r="AL302" s="3">
        <v>5</v>
      </c>
      <c r="AM302" s="3">
        <v>5</v>
      </c>
      <c r="AN302" s="3">
        <v>1</v>
      </c>
      <c r="AO302" s="3">
        <v>1</v>
      </c>
      <c r="AP302" s="3">
        <v>0</v>
      </c>
      <c r="AQ302" s="3">
        <v>0</v>
      </c>
      <c r="AR302" s="2" t="s">
        <v>5</v>
      </c>
      <c r="AS302" s="2" t="s">
        <v>5</v>
      </c>
      <c r="AU302" s="5" t="str">
        <f>HYPERLINK("https://creighton-primo.hosted.exlibrisgroup.com/primo-explore/search?tab=default_tab&amp;search_scope=EVERYTHING&amp;vid=01CRU&amp;lang=en_US&amp;offset=0&amp;query=any,contains,991001345059702656","Catalog Record")</f>
        <v>Catalog Record</v>
      </c>
      <c r="AV302" s="5" t="str">
        <f>HYPERLINK("http://www.worldcat.org/oclc/23383915","WorldCat Record")</f>
        <v>WorldCat Record</v>
      </c>
      <c r="AW302" s="2" t="s">
        <v>3933</v>
      </c>
      <c r="AX302" s="2" t="s">
        <v>3934</v>
      </c>
      <c r="AY302" s="2" t="s">
        <v>3935</v>
      </c>
      <c r="AZ302" s="2" t="s">
        <v>3935</v>
      </c>
      <c r="BA302" s="2" t="s">
        <v>3936</v>
      </c>
      <c r="BB302" s="2" t="s">
        <v>19</v>
      </c>
      <c r="BD302" s="2" t="s">
        <v>3937</v>
      </c>
      <c r="BE302" s="2" t="s">
        <v>3938</v>
      </c>
      <c r="BF302" s="2" t="s">
        <v>3939</v>
      </c>
    </row>
    <row r="303" spans="1:58" ht="50.25" customHeight="1" x14ac:dyDescent="0.25">
      <c r="A303" s="8" t="s">
        <v>5</v>
      </c>
      <c r="B303" s="1" t="s">
        <v>0</v>
      </c>
      <c r="C303" s="1" t="s">
        <v>1</v>
      </c>
      <c r="D303" s="1" t="s">
        <v>3940</v>
      </c>
      <c r="E303" s="1" t="s">
        <v>3941</v>
      </c>
      <c r="F303" s="1" t="s">
        <v>3942</v>
      </c>
      <c r="H303" s="2" t="s">
        <v>5</v>
      </c>
      <c r="I303" s="2" t="s">
        <v>6</v>
      </c>
      <c r="J303" s="2" t="s">
        <v>5</v>
      </c>
      <c r="K303" s="2" t="s">
        <v>5</v>
      </c>
      <c r="L303" s="2" t="s">
        <v>7</v>
      </c>
      <c r="N303" s="1" t="s">
        <v>3943</v>
      </c>
      <c r="O303" s="2" t="s">
        <v>1095</v>
      </c>
      <c r="Q303" s="2" t="s">
        <v>10</v>
      </c>
      <c r="R303" s="2" t="s">
        <v>1279</v>
      </c>
      <c r="T303" s="2" t="s">
        <v>12</v>
      </c>
      <c r="U303" s="3">
        <v>19</v>
      </c>
      <c r="V303" s="3">
        <v>19</v>
      </c>
      <c r="W303" s="4" t="s">
        <v>3944</v>
      </c>
      <c r="X303" s="4" t="s">
        <v>3944</v>
      </c>
      <c r="Y303" s="4" t="s">
        <v>3544</v>
      </c>
      <c r="Z303" s="4" t="s">
        <v>3544</v>
      </c>
      <c r="AA303" s="3">
        <v>233</v>
      </c>
      <c r="AB303" s="3">
        <v>193</v>
      </c>
      <c r="AC303" s="3">
        <v>202</v>
      </c>
      <c r="AD303" s="3">
        <v>1</v>
      </c>
      <c r="AE303" s="3">
        <v>1</v>
      </c>
      <c r="AF303" s="3">
        <v>7</v>
      </c>
      <c r="AG303" s="3">
        <v>7</v>
      </c>
      <c r="AH303" s="3">
        <v>4</v>
      </c>
      <c r="AI303" s="3">
        <v>4</v>
      </c>
      <c r="AJ303" s="3">
        <v>2</v>
      </c>
      <c r="AK303" s="3">
        <v>2</v>
      </c>
      <c r="AL303" s="3">
        <v>3</v>
      </c>
      <c r="AM303" s="3">
        <v>3</v>
      </c>
      <c r="AN303" s="3">
        <v>0</v>
      </c>
      <c r="AO303" s="3">
        <v>0</v>
      </c>
      <c r="AP303" s="3">
        <v>0</v>
      </c>
      <c r="AQ303" s="3">
        <v>0</v>
      </c>
      <c r="AR303" s="2" t="s">
        <v>5</v>
      </c>
      <c r="AS303" s="2" t="s">
        <v>90</v>
      </c>
      <c r="AT303" s="5" t="str">
        <f>HYPERLINK("http://catalog.hathitrust.org/Record/002896377","HathiTrust Record")</f>
        <v>HathiTrust Record</v>
      </c>
      <c r="AU303" s="5" t="str">
        <f>HYPERLINK("https://creighton-primo.hosted.exlibrisgroup.com/primo-explore/search?tab=default_tab&amp;search_scope=EVERYTHING&amp;vid=01CRU&amp;lang=en_US&amp;offset=0&amp;query=any,contains,991000849139702656","Catalog Record")</f>
        <v>Catalog Record</v>
      </c>
      <c r="AV303" s="5" t="str">
        <f>HYPERLINK("http://www.worldcat.org/oclc/30508806","WorldCat Record")</f>
        <v>WorldCat Record</v>
      </c>
      <c r="AW303" s="2" t="s">
        <v>3945</v>
      </c>
      <c r="AX303" s="2" t="s">
        <v>3946</v>
      </c>
      <c r="AY303" s="2" t="s">
        <v>3947</v>
      </c>
      <c r="AZ303" s="2" t="s">
        <v>3947</v>
      </c>
      <c r="BA303" s="2" t="s">
        <v>3948</v>
      </c>
      <c r="BB303" s="2" t="s">
        <v>19</v>
      </c>
      <c r="BD303" s="2" t="s">
        <v>3949</v>
      </c>
      <c r="BE303" s="2" t="s">
        <v>3950</v>
      </c>
      <c r="BF303" s="2" t="s">
        <v>3951</v>
      </c>
    </row>
    <row r="304" spans="1:58" ht="50.25" customHeight="1" x14ac:dyDescent="0.25">
      <c r="A304" s="8" t="s">
        <v>5</v>
      </c>
      <c r="B304" s="1" t="s">
        <v>0</v>
      </c>
      <c r="C304" s="1" t="s">
        <v>1</v>
      </c>
      <c r="D304" s="1" t="s">
        <v>3952</v>
      </c>
      <c r="E304" s="1" t="s">
        <v>3953</v>
      </c>
      <c r="F304" s="1" t="s">
        <v>3954</v>
      </c>
      <c r="H304" s="2" t="s">
        <v>5</v>
      </c>
      <c r="I304" s="2" t="s">
        <v>6</v>
      </c>
      <c r="J304" s="2" t="s">
        <v>5</v>
      </c>
      <c r="K304" s="2" t="s">
        <v>5</v>
      </c>
      <c r="L304" s="2" t="s">
        <v>7</v>
      </c>
      <c r="M304" s="1" t="s">
        <v>3955</v>
      </c>
      <c r="N304" s="1" t="s">
        <v>3956</v>
      </c>
      <c r="O304" s="2" t="s">
        <v>474</v>
      </c>
      <c r="Q304" s="2" t="s">
        <v>10</v>
      </c>
      <c r="R304" s="2" t="s">
        <v>3957</v>
      </c>
      <c r="T304" s="2" t="s">
        <v>12</v>
      </c>
      <c r="U304" s="3">
        <v>28</v>
      </c>
      <c r="V304" s="3">
        <v>28</v>
      </c>
      <c r="W304" s="4" t="s">
        <v>3958</v>
      </c>
      <c r="X304" s="4" t="s">
        <v>3958</v>
      </c>
      <c r="Y304" s="4" t="s">
        <v>3959</v>
      </c>
      <c r="Z304" s="4" t="s">
        <v>3959</v>
      </c>
      <c r="AA304" s="3">
        <v>27</v>
      </c>
      <c r="AB304" s="3">
        <v>20</v>
      </c>
      <c r="AC304" s="3">
        <v>20</v>
      </c>
      <c r="AD304" s="3">
        <v>1</v>
      </c>
      <c r="AE304" s="3">
        <v>1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2" t="s">
        <v>5</v>
      </c>
      <c r="AS304" s="2" t="s">
        <v>5</v>
      </c>
      <c r="AU304" s="5" t="str">
        <f>HYPERLINK("https://creighton-primo.hosted.exlibrisgroup.com/primo-explore/search?tab=default_tab&amp;search_scope=EVERYTHING&amp;vid=01CRU&amp;lang=en_US&amp;offset=0&amp;query=any,contains,991001509439702656","Catalog Record")</f>
        <v>Catalog Record</v>
      </c>
      <c r="AV304" s="5" t="str">
        <f>HYPERLINK("http://www.worldcat.org/oclc/26910047","WorldCat Record")</f>
        <v>WorldCat Record</v>
      </c>
      <c r="AW304" s="2" t="s">
        <v>3960</v>
      </c>
      <c r="AX304" s="2" t="s">
        <v>3961</v>
      </c>
      <c r="AY304" s="2" t="s">
        <v>3962</v>
      </c>
      <c r="AZ304" s="2" t="s">
        <v>3962</v>
      </c>
      <c r="BA304" s="2" t="s">
        <v>3963</v>
      </c>
      <c r="BB304" s="2" t="s">
        <v>19</v>
      </c>
      <c r="BD304" s="2" t="s">
        <v>3964</v>
      </c>
      <c r="BE304" s="2" t="s">
        <v>3965</v>
      </c>
      <c r="BF304" s="2" t="s">
        <v>3966</v>
      </c>
    </row>
    <row r="305" spans="1:58" ht="50.25" customHeight="1" x14ac:dyDescent="0.25">
      <c r="A305" s="8" t="s">
        <v>5</v>
      </c>
      <c r="B305" s="1" t="s">
        <v>0</v>
      </c>
      <c r="C305" s="1" t="s">
        <v>1</v>
      </c>
      <c r="D305" s="1" t="s">
        <v>3967</v>
      </c>
      <c r="E305" s="1" t="s">
        <v>3968</v>
      </c>
      <c r="F305" s="1" t="s">
        <v>3969</v>
      </c>
      <c r="H305" s="2" t="s">
        <v>5</v>
      </c>
      <c r="I305" s="2" t="s">
        <v>6</v>
      </c>
      <c r="J305" s="2" t="s">
        <v>5</v>
      </c>
      <c r="K305" s="2" t="s">
        <v>5</v>
      </c>
      <c r="L305" s="2" t="s">
        <v>7</v>
      </c>
      <c r="N305" s="1" t="s">
        <v>3970</v>
      </c>
      <c r="O305" s="2" t="s">
        <v>3971</v>
      </c>
      <c r="Q305" s="2" t="s">
        <v>10</v>
      </c>
      <c r="R305" s="2" t="s">
        <v>2850</v>
      </c>
      <c r="T305" s="2" t="s">
        <v>12</v>
      </c>
      <c r="U305" s="3">
        <v>0</v>
      </c>
      <c r="V305" s="3">
        <v>0</v>
      </c>
      <c r="W305" s="4" t="s">
        <v>3972</v>
      </c>
      <c r="X305" s="4" t="s">
        <v>3972</v>
      </c>
      <c r="Y305" s="4" t="s">
        <v>3973</v>
      </c>
      <c r="Z305" s="4" t="s">
        <v>3973</v>
      </c>
      <c r="AA305" s="3">
        <v>136</v>
      </c>
      <c r="AB305" s="3">
        <v>86</v>
      </c>
      <c r="AC305" s="3">
        <v>110</v>
      </c>
      <c r="AD305" s="3">
        <v>2</v>
      </c>
      <c r="AE305" s="3">
        <v>2</v>
      </c>
      <c r="AF305" s="3">
        <v>2</v>
      </c>
      <c r="AG305" s="3">
        <v>2</v>
      </c>
      <c r="AH305" s="3">
        <v>1</v>
      </c>
      <c r="AI305" s="3">
        <v>1</v>
      </c>
      <c r="AJ305" s="3">
        <v>0</v>
      </c>
      <c r="AK305" s="3">
        <v>0</v>
      </c>
      <c r="AL305" s="3">
        <v>1</v>
      </c>
      <c r="AM305" s="3">
        <v>1</v>
      </c>
      <c r="AN305" s="3">
        <v>1</v>
      </c>
      <c r="AO305" s="3">
        <v>1</v>
      </c>
      <c r="AP305" s="3">
        <v>0</v>
      </c>
      <c r="AQ305" s="3">
        <v>0</v>
      </c>
      <c r="AR305" s="2" t="s">
        <v>5</v>
      </c>
      <c r="AS305" s="2" t="s">
        <v>5</v>
      </c>
      <c r="AU305" s="5" t="str">
        <f>HYPERLINK("https://creighton-primo.hosted.exlibrisgroup.com/primo-explore/search?tab=default_tab&amp;search_scope=EVERYTHING&amp;vid=01CRU&amp;lang=en_US&amp;offset=0&amp;query=any,contains,991000365929702656","Catalog Record")</f>
        <v>Catalog Record</v>
      </c>
      <c r="AV305" s="5" t="str">
        <f>HYPERLINK("http://www.worldcat.org/oclc/50479303","WorldCat Record")</f>
        <v>WorldCat Record</v>
      </c>
      <c r="AW305" s="2" t="s">
        <v>3974</v>
      </c>
      <c r="AX305" s="2" t="s">
        <v>3975</v>
      </c>
      <c r="AY305" s="2" t="s">
        <v>3976</v>
      </c>
      <c r="AZ305" s="2" t="s">
        <v>3976</v>
      </c>
      <c r="BA305" s="2" t="s">
        <v>3977</v>
      </c>
      <c r="BB305" s="2" t="s">
        <v>19</v>
      </c>
      <c r="BD305" s="2" t="s">
        <v>3978</v>
      </c>
      <c r="BE305" s="2" t="s">
        <v>3979</v>
      </c>
      <c r="BF305" s="2" t="s">
        <v>3980</v>
      </c>
    </row>
    <row r="306" spans="1:58" ht="50.25" customHeight="1" x14ac:dyDescent="0.25">
      <c r="A306" s="8" t="s">
        <v>5</v>
      </c>
      <c r="B306" s="1" t="s">
        <v>0</v>
      </c>
      <c r="C306" s="1" t="s">
        <v>1</v>
      </c>
      <c r="D306" s="1" t="s">
        <v>3981</v>
      </c>
      <c r="E306" s="1" t="s">
        <v>3982</v>
      </c>
      <c r="F306" s="1" t="s">
        <v>3983</v>
      </c>
      <c r="H306" s="2" t="s">
        <v>5</v>
      </c>
      <c r="I306" s="2" t="s">
        <v>6</v>
      </c>
      <c r="J306" s="2" t="s">
        <v>90</v>
      </c>
      <c r="K306" s="2" t="s">
        <v>5</v>
      </c>
      <c r="L306" s="2" t="s">
        <v>7</v>
      </c>
      <c r="N306" s="1" t="s">
        <v>3984</v>
      </c>
      <c r="O306" s="2" t="s">
        <v>228</v>
      </c>
      <c r="Q306" s="2" t="s">
        <v>10</v>
      </c>
      <c r="R306" s="2" t="s">
        <v>29</v>
      </c>
      <c r="T306" s="2" t="s">
        <v>12</v>
      </c>
      <c r="U306" s="3">
        <v>31</v>
      </c>
      <c r="V306" s="3">
        <v>31</v>
      </c>
      <c r="W306" s="4" t="s">
        <v>3985</v>
      </c>
      <c r="X306" s="4" t="s">
        <v>3985</v>
      </c>
      <c r="Y306" s="4" t="s">
        <v>3686</v>
      </c>
      <c r="Z306" s="4" t="s">
        <v>3686</v>
      </c>
      <c r="AA306" s="3">
        <v>221</v>
      </c>
      <c r="AB306" s="3">
        <v>183</v>
      </c>
      <c r="AC306" s="3">
        <v>191</v>
      </c>
      <c r="AD306" s="3">
        <v>2</v>
      </c>
      <c r="AE306" s="3">
        <v>2</v>
      </c>
      <c r="AF306" s="3">
        <v>4</v>
      </c>
      <c r="AG306" s="3">
        <v>4</v>
      </c>
      <c r="AH306" s="3">
        <v>3</v>
      </c>
      <c r="AI306" s="3">
        <v>3</v>
      </c>
      <c r="AJ306" s="3">
        <v>1</v>
      </c>
      <c r="AK306" s="3">
        <v>1</v>
      </c>
      <c r="AL306" s="3">
        <v>3</v>
      </c>
      <c r="AM306" s="3">
        <v>3</v>
      </c>
      <c r="AN306" s="3">
        <v>0</v>
      </c>
      <c r="AO306" s="3">
        <v>0</v>
      </c>
      <c r="AP306" s="3">
        <v>0</v>
      </c>
      <c r="AQ306" s="3">
        <v>0</v>
      </c>
      <c r="AR306" s="2" t="s">
        <v>5</v>
      </c>
      <c r="AS306" s="2" t="s">
        <v>90</v>
      </c>
      <c r="AT306" s="5" t="str">
        <f>HYPERLINK("http://catalog.hathitrust.org/Record/000941601","HathiTrust Record")</f>
        <v>HathiTrust Record</v>
      </c>
      <c r="AU306" s="5" t="str">
        <f>HYPERLINK("https://creighton-primo.hosted.exlibrisgroup.com/primo-explore/search?tab=default_tab&amp;search_scope=EVERYTHING&amp;vid=01CRU&amp;lang=en_US&amp;offset=0&amp;query=any,contains,991001118979702656","Catalog Record")</f>
        <v>Catalog Record</v>
      </c>
      <c r="AV306" s="5" t="str">
        <f>HYPERLINK("http://www.worldcat.org/oclc/18134221","WorldCat Record")</f>
        <v>WorldCat Record</v>
      </c>
      <c r="AW306" s="2" t="s">
        <v>3986</v>
      </c>
      <c r="AX306" s="2" t="s">
        <v>3987</v>
      </c>
      <c r="AY306" s="2" t="s">
        <v>3988</v>
      </c>
      <c r="AZ306" s="2" t="s">
        <v>3988</v>
      </c>
      <c r="BA306" s="2" t="s">
        <v>3989</v>
      </c>
      <c r="BB306" s="2" t="s">
        <v>19</v>
      </c>
      <c r="BD306" s="2" t="s">
        <v>3990</v>
      </c>
      <c r="BE306" s="2" t="s">
        <v>3991</v>
      </c>
      <c r="BF306" s="2" t="s">
        <v>3992</v>
      </c>
    </row>
    <row r="307" spans="1:58" ht="50.25" customHeight="1" x14ac:dyDescent="0.25">
      <c r="A307" s="8" t="s">
        <v>5</v>
      </c>
      <c r="B307" s="1" t="s">
        <v>0</v>
      </c>
      <c r="C307" s="1" t="s">
        <v>1</v>
      </c>
      <c r="D307" s="1" t="s">
        <v>3993</v>
      </c>
      <c r="E307" s="1" t="s">
        <v>3994</v>
      </c>
      <c r="F307" s="1" t="s">
        <v>3995</v>
      </c>
      <c r="H307" s="2" t="s">
        <v>5</v>
      </c>
      <c r="I307" s="2" t="s">
        <v>6</v>
      </c>
      <c r="J307" s="2" t="s">
        <v>5</v>
      </c>
      <c r="K307" s="2" t="s">
        <v>5</v>
      </c>
      <c r="L307" s="2" t="s">
        <v>7</v>
      </c>
      <c r="N307" s="1" t="s">
        <v>3996</v>
      </c>
      <c r="O307" s="2" t="s">
        <v>141</v>
      </c>
      <c r="Q307" s="2" t="s">
        <v>10</v>
      </c>
      <c r="R307" s="2" t="s">
        <v>29</v>
      </c>
      <c r="T307" s="2" t="s">
        <v>12</v>
      </c>
      <c r="U307" s="3">
        <v>11</v>
      </c>
      <c r="V307" s="3">
        <v>11</v>
      </c>
      <c r="W307" s="4" t="s">
        <v>1468</v>
      </c>
      <c r="X307" s="4" t="s">
        <v>1468</v>
      </c>
      <c r="Y307" s="4" t="s">
        <v>3997</v>
      </c>
      <c r="Z307" s="4" t="s">
        <v>3997</v>
      </c>
      <c r="AA307" s="3">
        <v>521</v>
      </c>
      <c r="AB307" s="3">
        <v>443</v>
      </c>
      <c r="AC307" s="3">
        <v>449</v>
      </c>
      <c r="AD307" s="3">
        <v>5</v>
      </c>
      <c r="AE307" s="3">
        <v>5</v>
      </c>
      <c r="AF307" s="3">
        <v>17</v>
      </c>
      <c r="AG307" s="3">
        <v>17</v>
      </c>
      <c r="AH307" s="3">
        <v>4</v>
      </c>
      <c r="AI307" s="3">
        <v>4</v>
      </c>
      <c r="AJ307" s="3">
        <v>4</v>
      </c>
      <c r="AK307" s="3">
        <v>4</v>
      </c>
      <c r="AL307" s="3">
        <v>8</v>
      </c>
      <c r="AM307" s="3">
        <v>8</v>
      </c>
      <c r="AN307" s="3">
        <v>4</v>
      </c>
      <c r="AO307" s="3">
        <v>4</v>
      </c>
      <c r="AP307" s="3">
        <v>1</v>
      </c>
      <c r="AQ307" s="3">
        <v>1</v>
      </c>
      <c r="AR307" s="2" t="s">
        <v>5</v>
      </c>
      <c r="AS307" s="2" t="s">
        <v>5</v>
      </c>
      <c r="AU307" s="5" t="str">
        <f>HYPERLINK("https://creighton-primo.hosted.exlibrisgroup.com/primo-explore/search?tab=default_tab&amp;search_scope=EVERYTHING&amp;vid=01CRU&amp;lang=en_US&amp;offset=0&amp;query=any,contains,991000730189702656","Catalog Record")</f>
        <v>Catalog Record</v>
      </c>
      <c r="AV307" s="5" t="str">
        <f>HYPERLINK("http://www.worldcat.org/oclc/13010066","WorldCat Record")</f>
        <v>WorldCat Record</v>
      </c>
      <c r="AW307" s="2" t="s">
        <v>3998</v>
      </c>
      <c r="AX307" s="2" t="s">
        <v>3999</v>
      </c>
      <c r="AY307" s="2" t="s">
        <v>4000</v>
      </c>
      <c r="AZ307" s="2" t="s">
        <v>4000</v>
      </c>
      <c r="BA307" s="2" t="s">
        <v>4001</v>
      </c>
      <c r="BB307" s="2" t="s">
        <v>19</v>
      </c>
      <c r="BD307" s="2" t="s">
        <v>4002</v>
      </c>
      <c r="BE307" s="2" t="s">
        <v>4003</v>
      </c>
      <c r="BF307" s="2" t="s">
        <v>4004</v>
      </c>
    </row>
    <row r="308" spans="1:58" ht="50.25" customHeight="1" x14ac:dyDescent="0.25">
      <c r="A308" s="8" t="s">
        <v>5</v>
      </c>
      <c r="B308" s="1" t="s">
        <v>0</v>
      </c>
      <c r="C308" s="1" t="s">
        <v>1</v>
      </c>
      <c r="D308" s="1" t="s">
        <v>4005</v>
      </c>
      <c r="E308" s="1" t="s">
        <v>4006</v>
      </c>
      <c r="F308" s="1" t="s">
        <v>4007</v>
      </c>
      <c r="H308" s="2" t="s">
        <v>5</v>
      </c>
      <c r="I308" s="2" t="s">
        <v>6</v>
      </c>
      <c r="J308" s="2" t="s">
        <v>5</v>
      </c>
      <c r="K308" s="2" t="s">
        <v>5</v>
      </c>
      <c r="L308" s="2" t="s">
        <v>6</v>
      </c>
      <c r="N308" s="1" t="s">
        <v>4008</v>
      </c>
      <c r="O308" s="2" t="s">
        <v>60</v>
      </c>
      <c r="Q308" s="2" t="s">
        <v>10</v>
      </c>
      <c r="R308" s="2" t="s">
        <v>184</v>
      </c>
      <c r="S308" s="1" t="s">
        <v>4009</v>
      </c>
      <c r="T308" s="2" t="s">
        <v>12</v>
      </c>
      <c r="U308" s="3">
        <v>2</v>
      </c>
      <c r="V308" s="3">
        <v>2</v>
      </c>
      <c r="W308" s="4" t="s">
        <v>4010</v>
      </c>
      <c r="X308" s="4" t="s">
        <v>4010</v>
      </c>
      <c r="Y308" s="4" t="s">
        <v>3506</v>
      </c>
      <c r="Z308" s="4" t="s">
        <v>3506</v>
      </c>
      <c r="AA308" s="3">
        <v>376</v>
      </c>
      <c r="AB308" s="3">
        <v>331</v>
      </c>
      <c r="AC308" s="3">
        <v>1287</v>
      </c>
      <c r="AD308" s="3">
        <v>2</v>
      </c>
      <c r="AE308" s="3">
        <v>14</v>
      </c>
      <c r="AF308" s="3">
        <v>18</v>
      </c>
      <c r="AG308" s="3">
        <v>54</v>
      </c>
      <c r="AH308" s="3">
        <v>4</v>
      </c>
      <c r="AI308" s="3">
        <v>16</v>
      </c>
      <c r="AJ308" s="3">
        <v>6</v>
      </c>
      <c r="AK308" s="3">
        <v>11</v>
      </c>
      <c r="AL308" s="3">
        <v>7</v>
      </c>
      <c r="AM308" s="3">
        <v>19</v>
      </c>
      <c r="AN308" s="3">
        <v>1</v>
      </c>
      <c r="AO308" s="3">
        <v>12</v>
      </c>
      <c r="AP308" s="3">
        <v>5</v>
      </c>
      <c r="AQ308" s="3">
        <v>6</v>
      </c>
      <c r="AR308" s="2" t="s">
        <v>5</v>
      </c>
      <c r="AS308" s="2" t="s">
        <v>5</v>
      </c>
      <c r="AU308" s="5" t="str">
        <f>HYPERLINK("https://creighton-primo.hosted.exlibrisgroup.com/primo-explore/search?tab=default_tab&amp;search_scope=EVERYTHING&amp;vid=01CRU&amp;lang=en_US&amp;offset=0&amp;query=any,contains,991000642239702656","Catalog Record")</f>
        <v>Catalog Record</v>
      </c>
      <c r="AV308" s="5" t="str">
        <f>HYPERLINK("http://www.worldcat.org/oclc/54778429","WorldCat Record")</f>
        <v>WorldCat Record</v>
      </c>
      <c r="AW308" s="2" t="s">
        <v>4011</v>
      </c>
      <c r="AX308" s="2" t="s">
        <v>4012</v>
      </c>
      <c r="AY308" s="2" t="s">
        <v>4013</v>
      </c>
      <c r="AZ308" s="2" t="s">
        <v>4013</v>
      </c>
      <c r="BA308" s="2" t="s">
        <v>4014</v>
      </c>
      <c r="BB308" s="2" t="s">
        <v>19</v>
      </c>
      <c r="BD308" s="2" t="s">
        <v>4015</v>
      </c>
      <c r="BE308" s="2" t="s">
        <v>4016</v>
      </c>
      <c r="BF308" s="2" t="s">
        <v>4017</v>
      </c>
    </row>
    <row r="309" spans="1:58" ht="50.25" customHeight="1" x14ac:dyDescent="0.25">
      <c r="A309" s="8" t="s">
        <v>5</v>
      </c>
      <c r="B309" s="1" t="s">
        <v>0</v>
      </c>
      <c r="C309" s="1" t="s">
        <v>1</v>
      </c>
      <c r="D309" s="1" t="s">
        <v>4018</v>
      </c>
      <c r="E309" s="1" t="s">
        <v>4019</v>
      </c>
      <c r="F309" s="1" t="s">
        <v>4020</v>
      </c>
      <c r="H309" s="2" t="s">
        <v>5</v>
      </c>
      <c r="I309" s="2" t="s">
        <v>6</v>
      </c>
      <c r="J309" s="2" t="s">
        <v>5</v>
      </c>
      <c r="K309" s="2" t="s">
        <v>5</v>
      </c>
      <c r="L309" s="2" t="s">
        <v>7</v>
      </c>
      <c r="N309" s="1" t="s">
        <v>4021</v>
      </c>
      <c r="O309" s="2" t="s">
        <v>2963</v>
      </c>
      <c r="Q309" s="2" t="s">
        <v>10</v>
      </c>
      <c r="R309" s="2" t="s">
        <v>29</v>
      </c>
      <c r="S309" s="1" t="s">
        <v>4022</v>
      </c>
      <c r="T309" s="2" t="s">
        <v>12</v>
      </c>
      <c r="U309" s="3">
        <v>4</v>
      </c>
      <c r="V309" s="3">
        <v>4</v>
      </c>
      <c r="W309" s="4" t="s">
        <v>4023</v>
      </c>
      <c r="X309" s="4" t="s">
        <v>4023</v>
      </c>
      <c r="Y309" s="4" t="s">
        <v>889</v>
      </c>
      <c r="Z309" s="4" t="s">
        <v>889</v>
      </c>
      <c r="AA309" s="3">
        <v>320</v>
      </c>
      <c r="AB309" s="3">
        <v>276</v>
      </c>
      <c r="AC309" s="3">
        <v>289</v>
      </c>
      <c r="AD309" s="3">
        <v>1</v>
      </c>
      <c r="AE309" s="3">
        <v>1</v>
      </c>
      <c r="AF309" s="3">
        <v>8</v>
      </c>
      <c r="AG309" s="3">
        <v>8</v>
      </c>
      <c r="AH309" s="3">
        <v>5</v>
      </c>
      <c r="AI309" s="3">
        <v>5</v>
      </c>
      <c r="AJ309" s="3">
        <v>2</v>
      </c>
      <c r="AK309" s="3">
        <v>2</v>
      </c>
      <c r="AL309" s="3">
        <v>3</v>
      </c>
      <c r="AM309" s="3">
        <v>3</v>
      </c>
      <c r="AN309" s="3">
        <v>0</v>
      </c>
      <c r="AO309" s="3">
        <v>0</v>
      </c>
      <c r="AP309" s="3">
        <v>0</v>
      </c>
      <c r="AQ309" s="3">
        <v>0</v>
      </c>
      <c r="AR309" s="2" t="s">
        <v>5</v>
      </c>
      <c r="AS309" s="2" t="s">
        <v>90</v>
      </c>
      <c r="AT309" s="5" t="str">
        <f>HYPERLINK("http://catalog.hathitrust.org/Record/000114817","HathiTrust Record")</f>
        <v>HathiTrust Record</v>
      </c>
      <c r="AU309" s="5" t="str">
        <f>HYPERLINK("https://creighton-primo.hosted.exlibrisgroup.com/primo-explore/search?tab=default_tab&amp;search_scope=EVERYTHING&amp;vid=01CRU&amp;lang=en_US&amp;offset=0&amp;query=any,contains,991000730509702656","Catalog Record")</f>
        <v>Catalog Record</v>
      </c>
      <c r="AV309" s="5" t="str">
        <f>HYPERLINK("http://www.worldcat.org/oclc/8051405","WorldCat Record")</f>
        <v>WorldCat Record</v>
      </c>
      <c r="AW309" s="2" t="s">
        <v>4024</v>
      </c>
      <c r="AX309" s="2" t="s">
        <v>4025</v>
      </c>
      <c r="AY309" s="2" t="s">
        <v>4026</v>
      </c>
      <c r="AZ309" s="2" t="s">
        <v>4026</v>
      </c>
      <c r="BA309" s="2" t="s">
        <v>4027</v>
      </c>
      <c r="BB309" s="2" t="s">
        <v>19</v>
      </c>
      <c r="BD309" s="2" t="s">
        <v>4028</v>
      </c>
      <c r="BE309" s="2" t="s">
        <v>4029</v>
      </c>
      <c r="BF309" s="2" t="s">
        <v>4030</v>
      </c>
    </row>
    <row r="310" spans="1:58" ht="50.25" customHeight="1" x14ac:dyDescent="0.25">
      <c r="A310" s="8" t="s">
        <v>5</v>
      </c>
      <c r="B310" s="1" t="s">
        <v>0</v>
      </c>
      <c r="C310" s="1" t="s">
        <v>1</v>
      </c>
      <c r="D310" s="1" t="s">
        <v>4031</v>
      </c>
      <c r="E310" s="1" t="s">
        <v>4032</v>
      </c>
      <c r="F310" s="1" t="s">
        <v>4033</v>
      </c>
      <c r="H310" s="2" t="s">
        <v>5</v>
      </c>
      <c r="I310" s="2" t="s">
        <v>6</v>
      </c>
      <c r="J310" s="2" t="s">
        <v>5</v>
      </c>
      <c r="K310" s="2" t="s">
        <v>5</v>
      </c>
      <c r="L310" s="2" t="s">
        <v>7</v>
      </c>
      <c r="M310" s="1" t="s">
        <v>4034</v>
      </c>
      <c r="N310" s="1" t="s">
        <v>4035</v>
      </c>
      <c r="O310" s="2" t="s">
        <v>228</v>
      </c>
      <c r="Q310" s="2" t="s">
        <v>10</v>
      </c>
      <c r="R310" s="2" t="s">
        <v>11</v>
      </c>
      <c r="S310" s="1" t="s">
        <v>4036</v>
      </c>
      <c r="T310" s="2" t="s">
        <v>12</v>
      </c>
      <c r="U310" s="3">
        <v>4</v>
      </c>
      <c r="V310" s="3">
        <v>4</v>
      </c>
      <c r="W310" s="4" t="s">
        <v>4037</v>
      </c>
      <c r="X310" s="4" t="s">
        <v>4037</v>
      </c>
      <c r="Y310" s="4" t="s">
        <v>4038</v>
      </c>
      <c r="Z310" s="4" t="s">
        <v>4038</v>
      </c>
      <c r="AA310" s="3">
        <v>535</v>
      </c>
      <c r="AB310" s="3">
        <v>516</v>
      </c>
      <c r="AC310" s="3">
        <v>518</v>
      </c>
      <c r="AD310" s="3">
        <v>3</v>
      </c>
      <c r="AE310" s="3">
        <v>3</v>
      </c>
      <c r="AF310" s="3">
        <v>35</v>
      </c>
      <c r="AG310" s="3">
        <v>35</v>
      </c>
      <c r="AH310" s="3">
        <v>6</v>
      </c>
      <c r="AI310" s="3">
        <v>6</v>
      </c>
      <c r="AJ310" s="3">
        <v>4</v>
      </c>
      <c r="AK310" s="3">
        <v>4</v>
      </c>
      <c r="AL310" s="3">
        <v>14</v>
      </c>
      <c r="AM310" s="3">
        <v>14</v>
      </c>
      <c r="AN310" s="3">
        <v>2</v>
      </c>
      <c r="AO310" s="3">
        <v>2</v>
      </c>
      <c r="AP310" s="3">
        <v>15</v>
      </c>
      <c r="AQ310" s="3">
        <v>15</v>
      </c>
      <c r="AR310" s="2" t="s">
        <v>5</v>
      </c>
      <c r="AS310" s="2" t="s">
        <v>90</v>
      </c>
      <c r="AT310" s="5" t="str">
        <f>HYPERLINK("http://catalog.hathitrust.org/Record/001086278","HathiTrust Record")</f>
        <v>HathiTrust Record</v>
      </c>
      <c r="AU310" s="5" t="str">
        <f>HYPERLINK("https://creighton-primo.hosted.exlibrisgroup.com/primo-explore/search?tab=default_tab&amp;search_scope=EVERYTHING&amp;vid=01CRU&amp;lang=en_US&amp;offset=0&amp;query=any,contains,991001298449702656","Catalog Record")</f>
        <v>Catalog Record</v>
      </c>
      <c r="AV310" s="5" t="str">
        <f>HYPERLINK("http://www.worldcat.org/oclc/18522786","WorldCat Record")</f>
        <v>WorldCat Record</v>
      </c>
      <c r="AW310" s="2" t="s">
        <v>4039</v>
      </c>
      <c r="AX310" s="2" t="s">
        <v>4040</v>
      </c>
      <c r="AY310" s="2" t="s">
        <v>4041</v>
      </c>
      <c r="AZ310" s="2" t="s">
        <v>4041</v>
      </c>
      <c r="BA310" s="2" t="s">
        <v>4042</v>
      </c>
      <c r="BB310" s="2" t="s">
        <v>19</v>
      </c>
      <c r="BD310" s="2" t="s">
        <v>4043</v>
      </c>
      <c r="BE310" s="2" t="s">
        <v>4044</v>
      </c>
      <c r="BF310" s="2" t="s">
        <v>4045</v>
      </c>
    </row>
    <row r="311" spans="1:58" ht="50.25" customHeight="1" x14ac:dyDescent="0.25">
      <c r="A311" s="8" t="s">
        <v>5</v>
      </c>
      <c r="B311" s="1" t="s">
        <v>0</v>
      </c>
      <c r="C311" s="1" t="s">
        <v>1</v>
      </c>
      <c r="D311" s="1" t="s">
        <v>4046</v>
      </c>
      <c r="E311" s="1" t="s">
        <v>4047</v>
      </c>
      <c r="F311" s="1" t="s">
        <v>4048</v>
      </c>
      <c r="H311" s="2" t="s">
        <v>5</v>
      </c>
      <c r="I311" s="2" t="s">
        <v>6</v>
      </c>
      <c r="J311" s="2" t="s">
        <v>5</v>
      </c>
      <c r="K311" s="2" t="s">
        <v>5</v>
      </c>
      <c r="L311" s="2" t="s">
        <v>7</v>
      </c>
      <c r="M311" s="1" t="s">
        <v>4049</v>
      </c>
      <c r="N311" s="1" t="s">
        <v>995</v>
      </c>
      <c r="O311" s="2" t="s">
        <v>141</v>
      </c>
      <c r="Q311" s="2" t="s">
        <v>10</v>
      </c>
      <c r="R311" s="2" t="s">
        <v>29</v>
      </c>
      <c r="T311" s="2" t="s">
        <v>12</v>
      </c>
      <c r="U311" s="3">
        <v>6</v>
      </c>
      <c r="V311" s="3">
        <v>6</v>
      </c>
      <c r="W311" s="4" t="s">
        <v>733</v>
      </c>
      <c r="X311" s="4" t="s">
        <v>733</v>
      </c>
      <c r="Y311" s="4" t="s">
        <v>4050</v>
      </c>
      <c r="Z311" s="4" t="s">
        <v>4050</v>
      </c>
      <c r="AA311" s="3">
        <v>241</v>
      </c>
      <c r="AB311" s="3">
        <v>190</v>
      </c>
      <c r="AC311" s="3">
        <v>192</v>
      </c>
      <c r="AD311" s="3">
        <v>1</v>
      </c>
      <c r="AE311" s="3">
        <v>1</v>
      </c>
      <c r="AF311" s="3">
        <v>12</v>
      </c>
      <c r="AG311" s="3">
        <v>12</v>
      </c>
      <c r="AH311" s="3">
        <v>7</v>
      </c>
      <c r="AI311" s="3">
        <v>7</v>
      </c>
      <c r="AJ311" s="3">
        <v>1</v>
      </c>
      <c r="AK311" s="3">
        <v>1</v>
      </c>
      <c r="AL311" s="3">
        <v>6</v>
      </c>
      <c r="AM311" s="3">
        <v>6</v>
      </c>
      <c r="AN311" s="3">
        <v>0</v>
      </c>
      <c r="AO311" s="3">
        <v>0</v>
      </c>
      <c r="AP311" s="3">
        <v>0</v>
      </c>
      <c r="AQ311" s="3">
        <v>0</v>
      </c>
      <c r="AR311" s="2" t="s">
        <v>5</v>
      </c>
      <c r="AS311" s="2" t="s">
        <v>90</v>
      </c>
      <c r="AT311" s="5" t="str">
        <f>HYPERLINK("http://catalog.hathitrust.org/Record/000835998","HathiTrust Record")</f>
        <v>HathiTrust Record</v>
      </c>
      <c r="AU311" s="5" t="str">
        <f>HYPERLINK("https://creighton-primo.hosted.exlibrisgroup.com/primo-explore/search?tab=default_tab&amp;search_scope=EVERYTHING&amp;vid=01CRU&amp;lang=en_US&amp;offset=0&amp;query=any,contains,991001315549702656","Catalog Record")</f>
        <v>Catalog Record</v>
      </c>
      <c r="AV311" s="5" t="str">
        <f>HYPERLINK("http://www.worldcat.org/oclc/13903222","WorldCat Record")</f>
        <v>WorldCat Record</v>
      </c>
      <c r="AW311" s="2" t="s">
        <v>4051</v>
      </c>
      <c r="AX311" s="2" t="s">
        <v>4052</v>
      </c>
      <c r="AY311" s="2" t="s">
        <v>4053</v>
      </c>
      <c r="AZ311" s="2" t="s">
        <v>4053</v>
      </c>
      <c r="BA311" s="2" t="s">
        <v>4054</v>
      </c>
      <c r="BB311" s="2" t="s">
        <v>19</v>
      </c>
      <c r="BD311" s="2" t="s">
        <v>4055</v>
      </c>
      <c r="BE311" s="2" t="s">
        <v>4056</v>
      </c>
      <c r="BF311" s="2" t="s">
        <v>4057</v>
      </c>
    </row>
    <row r="312" spans="1:58" ht="50.25" customHeight="1" x14ac:dyDescent="0.25">
      <c r="A312" s="8" t="s">
        <v>5</v>
      </c>
      <c r="B312" s="1" t="s">
        <v>0</v>
      </c>
      <c r="C312" s="1" t="s">
        <v>1</v>
      </c>
      <c r="D312" s="1" t="s">
        <v>4058</v>
      </c>
      <c r="E312" s="1" t="s">
        <v>4059</v>
      </c>
      <c r="F312" s="1" t="s">
        <v>4060</v>
      </c>
      <c r="H312" s="2" t="s">
        <v>5</v>
      </c>
      <c r="I312" s="2" t="s">
        <v>6</v>
      </c>
      <c r="J312" s="2" t="s">
        <v>5</v>
      </c>
      <c r="K312" s="2" t="s">
        <v>5</v>
      </c>
      <c r="L312" s="2" t="s">
        <v>7</v>
      </c>
      <c r="M312" s="1" t="s">
        <v>4061</v>
      </c>
      <c r="N312" s="1" t="s">
        <v>4062</v>
      </c>
      <c r="O312" s="2" t="s">
        <v>155</v>
      </c>
      <c r="Q312" s="2" t="s">
        <v>10</v>
      </c>
      <c r="R312" s="2" t="s">
        <v>1279</v>
      </c>
      <c r="T312" s="2" t="s">
        <v>12</v>
      </c>
      <c r="U312" s="3">
        <v>2</v>
      </c>
      <c r="V312" s="3">
        <v>2</v>
      </c>
      <c r="W312" s="4" t="s">
        <v>4063</v>
      </c>
      <c r="X312" s="4" t="s">
        <v>4063</v>
      </c>
      <c r="Y312" s="4" t="s">
        <v>4064</v>
      </c>
      <c r="Z312" s="4" t="s">
        <v>4064</v>
      </c>
      <c r="AA312" s="3">
        <v>279</v>
      </c>
      <c r="AB312" s="3">
        <v>233</v>
      </c>
      <c r="AC312" s="3">
        <v>240</v>
      </c>
      <c r="AD312" s="3">
        <v>3</v>
      </c>
      <c r="AE312" s="3">
        <v>3</v>
      </c>
      <c r="AF312" s="3">
        <v>15</v>
      </c>
      <c r="AG312" s="3">
        <v>15</v>
      </c>
      <c r="AH312" s="3">
        <v>5</v>
      </c>
      <c r="AI312" s="3">
        <v>5</v>
      </c>
      <c r="AJ312" s="3">
        <v>5</v>
      </c>
      <c r="AK312" s="3">
        <v>5</v>
      </c>
      <c r="AL312" s="3">
        <v>9</v>
      </c>
      <c r="AM312" s="3">
        <v>9</v>
      </c>
      <c r="AN312" s="3">
        <v>2</v>
      </c>
      <c r="AO312" s="3">
        <v>2</v>
      </c>
      <c r="AP312" s="3">
        <v>0</v>
      </c>
      <c r="AQ312" s="3">
        <v>0</v>
      </c>
      <c r="AR312" s="2" t="s">
        <v>5</v>
      </c>
      <c r="AS312" s="2" t="s">
        <v>90</v>
      </c>
      <c r="AT312" s="5" t="str">
        <f>HYPERLINK("http://catalog.hathitrust.org/Record/003163702","HathiTrust Record")</f>
        <v>HathiTrust Record</v>
      </c>
      <c r="AU312" s="5" t="str">
        <f>HYPERLINK("https://creighton-primo.hosted.exlibrisgroup.com/primo-explore/search?tab=default_tab&amp;search_scope=EVERYTHING&amp;vid=01CRU&amp;lang=en_US&amp;offset=0&amp;query=any,contains,991001255719702656","Catalog Record")</f>
        <v>Catalog Record</v>
      </c>
      <c r="AV312" s="5" t="str">
        <f>HYPERLINK("http://www.worldcat.org/oclc/35925630","WorldCat Record")</f>
        <v>WorldCat Record</v>
      </c>
      <c r="AW312" s="2" t="s">
        <v>4065</v>
      </c>
      <c r="AX312" s="2" t="s">
        <v>4066</v>
      </c>
      <c r="AY312" s="2" t="s">
        <v>4067</v>
      </c>
      <c r="AZ312" s="2" t="s">
        <v>4067</v>
      </c>
      <c r="BA312" s="2" t="s">
        <v>4068</v>
      </c>
      <c r="BB312" s="2" t="s">
        <v>19</v>
      </c>
      <c r="BD312" s="2" t="s">
        <v>4069</v>
      </c>
      <c r="BE312" s="2" t="s">
        <v>4070</v>
      </c>
      <c r="BF312" s="2" t="s">
        <v>4071</v>
      </c>
    </row>
    <row r="313" spans="1:58" ht="50.25" customHeight="1" x14ac:dyDescent="0.25">
      <c r="A313" s="8" t="s">
        <v>5</v>
      </c>
      <c r="B313" s="1" t="s">
        <v>0</v>
      </c>
      <c r="C313" s="1" t="s">
        <v>1</v>
      </c>
      <c r="D313" s="1" t="s">
        <v>4072</v>
      </c>
      <c r="E313" s="1" t="s">
        <v>4073</v>
      </c>
      <c r="F313" s="1" t="s">
        <v>4074</v>
      </c>
      <c r="H313" s="2" t="s">
        <v>5</v>
      </c>
      <c r="I313" s="2" t="s">
        <v>6</v>
      </c>
      <c r="J313" s="2" t="s">
        <v>5</v>
      </c>
      <c r="K313" s="2" t="s">
        <v>5</v>
      </c>
      <c r="L313" s="2" t="s">
        <v>7</v>
      </c>
      <c r="M313" s="1" t="s">
        <v>4075</v>
      </c>
      <c r="N313" s="1" t="s">
        <v>4076</v>
      </c>
      <c r="O313" s="2" t="s">
        <v>155</v>
      </c>
      <c r="Q313" s="2" t="s">
        <v>10</v>
      </c>
      <c r="R313" s="2" t="s">
        <v>581</v>
      </c>
      <c r="T313" s="2" t="s">
        <v>12</v>
      </c>
      <c r="U313" s="3">
        <v>1</v>
      </c>
      <c r="V313" s="3">
        <v>1</v>
      </c>
      <c r="W313" s="4" t="s">
        <v>4077</v>
      </c>
      <c r="X313" s="4" t="s">
        <v>4077</v>
      </c>
      <c r="Y313" s="4" t="s">
        <v>4078</v>
      </c>
      <c r="Z313" s="4" t="s">
        <v>4078</v>
      </c>
      <c r="AA313" s="3">
        <v>130</v>
      </c>
      <c r="AB313" s="3">
        <v>111</v>
      </c>
      <c r="AC313" s="3">
        <v>111</v>
      </c>
      <c r="AD313" s="3">
        <v>2</v>
      </c>
      <c r="AE313" s="3">
        <v>2</v>
      </c>
      <c r="AF313" s="3">
        <v>5</v>
      </c>
      <c r="AG313" s="3">
        <v>5</v>
      </c>
      <c r="AH313" s="3">
        <v>3</v>
      </c>
      <c r="AI313" s="3">
        <v>3</v>
      </c>
      <c r="AJ313" s="3">
        <v>0</v>
      </c>
      <c r="AK313" s="3">
        <v>0</v>
      </c>
      <c r="AL313" s="3">
        <v>2</v>
      </c>
      <c r="AM313" s="3">
        <v>2</v>
      </c>
      <c r="AN313" s="3">
        <v>1</v>
      </c>
      <c r="AO313" s="3">
        <v>1</v>
      </c>
      <c r="AP313" s="3">
        <v>0</v>
      </c>
      <c r="AQ313" s="3">
        <v>0</v>
      </c>
      <c r="AR313" s="2" t="s">
        <v>5</v>
      </c>
      <c r="AS313" s="2" t="s">
        <v>5</v>
      </c>
      <c r="AU313" s="5" t="str">
        <f>HYPERLINK("https://creighton-primo.hosted.exlibrisgroup.com/primo-explore/search?tab=default_tab&amp;search_scope=EVERYTHING&amp;vid=01CRU&amp;lang=en_US&amp;offset=0&amp;query=any,contains,991001530269702656","Catalog Record")</f>
        <v>Catalog Record</v>
      </c>
      <c r="AV313" s="5" t="str">
        <f>HYPERLINK("http://www.worldcat.org/oclc/37476849","WorldCat Record")</f>
        <v>WorldCat Record</v>
      </c>
      <c r="AW313" s="2" t="s">
        <v>4079</v>
      </c>
      <c r="AX313" s="2" t="s">
        <v>4080</v>
      </c>
      <c r="AY313" s="2" t="s">
        <v>4081</v>
      </c>
      <c r="AZ313" s="2" t="s">
        <v>4081</v>
      </c>
      <c r="BA313" s="2" t="s">
        <v>4082</v>
      </c>
      <c r="BB313" s="2" t="s">
        <v>19</v>
      </c>
      <c r="BD313" s="2" t="s">
        <v>4083</v>
      </c>
      <c r="BE313" s="2" t="s">
        <v>4084</v>
      </c>
      <c r="BF313" s="2" t="s">
        <v>4085</v>
      </c>
    </row>
    <row r="314" spans="1:58" ht="50.25" customHeight="1" x14ac:dyDescent="0.25">
      <c r="A314" s="8" t="s">
        <v>5</v>
      </c>
      <c r="B314" s="1" t="s">
        <v>0</v>
      </c>
      <c r="C314" s="1" t="s">
        <v>1</v>
      </c>
      <c r="D314" s="1" t="s">
        <v>4086</v>
      </c>
      <c r="E314" s="1" t="s">
        <v>4087</v>
      </c>
      <c r="F314" s="1" t="s">
        <v>4088</v>
      </c>
      <c r="H314" s="2" t="s">
        <v>5</v>
      </c>
      <c r="I314" s="2" t="s">
        <v>6</v>
      </c>
      <c r="J314" s="2" t="s">
        <v>5</v>
      </c>
      <c r="K314" s="2" t="s">
        <v>90</v>
      </c>
      <c r="L314" s="2" t="s">
        <v>7</v>
      </c>
      <c r="M314" s="1" t="s">
        <v>4089</v>
      </c>
      <c r="N314" s="1" t="s">
        <v>4090</v>
      </c>
      <c r="O314" s="2" t="s">
        <v>3003</v>
      </c>
      <c r="P314" s="1" t="s">
        <v>4091</v>
      </c>
      <c r="Q314" s="2" t="s">
        <v>10</v>
      </c>
      <c r="R314" s="2" t="s">
        <v>29</v>
      </c>
      <c r="T314" s="2" t="s">
        <v>12</v>
      </c>
      <c r="U314" s="3">
        <v>5</v>
      </c>
      <c r="V314" s="3">
        <v>5</v>
      </c>
      <c r="W314" s="4" t="s">
        <v>997</v>
      </c>
      <c r="X314" s="4" t="s">
        <v>997</v>
      </c>
      <c r="Y314" s="4" t="s">
        <v>519</v>
      </c>
      <c r="Z314" s="4" t="s">
        <v>519</v>
      </c>
      <c r="AA314" s="3">
        <v>63</v>
      </c>
      <c r="AB314" s="3">
        <v>49</v>
      </c>
      <c r="AC314" s="3">
        <v>598</v>
      </c>
      <c r="AD314" s="3">
        <v>2</v>
      </c>
      <c r="AE314" s="3">
        <v>3</v>
      </c>
      <c r="AF314" s="3">
        <v>1</v>
      </c>
      <c r="AG314" s="3">
        <v>15</v>
      </c>
      <c r="AH314" s="3">
        <v>0</v>
      </c>
      <c r="AI314" s="3">
        <v>5</v>
      </c>
      <c r="AJ314" s="3">
        <v>0</v>
      </c>
      <c r="AK314" s="3">
        <v>5</v>
      </c>
      <c r="AL314" s="3">
        <v>1</v>
      </c>
      <c r="AM314" s="3">
        <v>11</v>
      </c>
      <c r="AN314" s="3">
        <v>0</v>
      </c>
      <c r="AO314" s="3">
        <v>1</v>
      </c>
      <c r="AP314" s="3">
        <v>0</v>
      </c>
      <c r="AQ314" s="3">
        <v>0</v>
      </c>
      <c r="AR314" s="2" t="s">
        <v>5</v>
      </c>
      <c r="AS314" s="2" t="s">
        <v>5</v>
      </c>
      <c r="AU314" s="5" t="str">
        <f>HYPERLINK("https://creighton-primo.hosted.exlibrisgroup.com/primo-explore/search?tab=default_tab&amp;search_scope=EVERYTHING&amp;vid=01CRU&amp;lang=en_US&amp;offset=0&amp;query=any,contains,991000754199702656","Catalog Record")</f>
        <v>Catalog Record</v>
      </c>
      <c r="AV314" s="5" t="str">
        <f>HYPERLINK("http://www.worldcat.org/oclc/9111139","WorldCat Record")</f>
        <v>WorldCat Record</v>
      </c>
      <c r="AW314" s="2" t="s">
        <v>4092</v>
      </c>
      <c r="AX314" s="2" t="s">
        <v>4093</v>
      </c>
      <c r="AY314" s="2" t="s">
        <v>4094</v>
      </c>
      <c r="AZ314" s="2" t="s">
        <v>4094</v>
      </c>
      <c r="BA314" s="2" t="s">
        <v>4095</v>
      </c>
      <c r="BB314" s="2" t="s">
        <v>19</v>
      </c>
      <c r="BD314" s="2" t="s">
        <v>4096</v>
      </c>
      <c r="BE314" s="2" t="s">
        <v>4097</v>
      </c>
      <c r="BF314" s="2" t="s">
        <v>4098</v>
      </c>
    </row>
    <row r="315" spans="1:58" ht="50.25" customHeight="1" x14ac:dyDescent="0.25">
      <c r="A315" s="8" t="s">
        <v>5</v>
      </c>
      <c r="B315" s="1" t="s">
        <v>0</v>
      </c>
      <c r="C315" s="1" t="s">
        <v>1</v>
      </c>
      <c r="D315" s="1" t="s">
        <v>4099</v>
      </c>
      <c r="E315" s="1" t="s">
        <v>4100</v>
      </c>
      <c r="F315" s="1" t="s">
        <v>4101</v>
      </c>
      <c r="H315" s="2" t="s">
        <v>5</v>
      </c>
      <c r="I315" s="2" t="s">
        <v>6</v>
      </c>
      <c r="J315" s="2" t="s">
        <v>5</v>
      </c>
      <c r="K315" s="2" t="s">
        <v>5</v>
      </c>
      <c r="L315" s="2" t="s">
        <v>7</v>
      </c>
      <c r="N315" s="1" t="s">
        <v>2197</v>
      </c>
      <c r="O315" s="2" t="s">
        <v>389</v>
      </c>
      <c r="Q315" s="2" t="s">
        <v>10</v>
      </c>
      <c r="R315" s="2" t="s">
        <v>11</v>
      </c>
      <c r="T315" s="2" t="s">
        <v>12</v>
      </c>
      <c r="U315" s="3">
        <v>3</v>
      </c>
      <c r="V315" s="3">
        <v>3</v>
      </c>
      <c r="W315" s="4" t="s">
        <v>4102</v>
      </c>
      <c r="X315" s="4" t="s">
        <v>4102</v>
      </c>
      <c r="Y315" s="4" t="s">
        <v>336</v>
      </c>
      <c r="Z315" s="4" t="s">
        <v>336</v>
      </c>
      <c r="AA315" s="3">
        <v>185</v>
      </c>
      <c r="AB315" s="3">
        <v>154</v>
      </c>
      <c r="AC315" s="3">
        <v>180</v>
      </c>
      <c r="AD315" s="3">
        <v>2</v>
      </c>
      <c r="AE315" s="3">
        <v>2</v>
      </c>
      <c r="AF315" s="3">
        <v>4</v>
      </c>
      <c r="AG315" s="3">
        <v>6</v>
      </c>
      <c r="AH315" s="3">
        <v>1</v>
      </c>
      <c r="AI315" s="3">
        <v>2</v>
      </c>
      <c r="AJ315" s="3">
        <v>1</v>
      </c>
      <c r="AK315" s="3">
        <v>2</v>
      </c>
      <c r="AL315" s="3">
        <v>2</v>
      </c>
      <c r="AM315" s="3">
        <v>3</v>
      </c>
      <c r="AN315" s="3">
        <v>1</v>
      </c>
      <c r="AO315" s="3">
        <v>1</v>
      </c>
      <c r="AP315" s="3">
        <v>0</v>
      </c>
      <c r="AQ315" s="3">
        <v>0</v>
      </c>
      <c r="AR315" s="2" t="s">
        <v>5</v>
      </c>
      <c r="AS315" s="2" t="s">
        <v>5</v>
      </c>
      <c r="AU315" s="5" t="str">
        <f>HYPERLINK("https://creighton-primo.hosted.exlibrisgroup.com/primo-explore/search?tab=default_tab&amp;search_scope=EVERYTHING&amp;vid=01CRU&amp;lang=en_US&amp;offset=0&amp;query=any,contains,991000370459702656","Catalog Record")</f>
        <v>Catalog Record</v>
      </c>
      <c r="AV315" s="5" t="str">
        <f>HYPERLINK("http://www.worldcat.org/oclc/49584036","WorldCat Record")</f>
        <v>WorldCat Record</v>
      </c>
      <c r="AW315" s="2" t="s">
        <v>4103</v>
      </c>
      <c r="AX315" s="2" t="s">
        <v>4104</v>
      </c>
      <c r="AY315" s="2" t="s">
        <v>4105</v>
      </c>
      <c r="AZ315" s="2" t="s">
        <v>4105</v>
      </c>
      <c r="BA315" s="2" t="s">
        <v>4106</v>
      </c>
      <c r="BB315" s="2" t="s">
        <v>19</v>
      </c>
      <c r="BD315" s="2" t="s">
        <v>4107</v>
      </c>
      <c r="BE315" s="2" t="s">
        <v>4108</v>
      </c>
      <c r="BF315" s="2" t="s">
        <v>4109</v>
      </c>
    </row>
    <row r="316" spans="1:58" ht="50.25" customHeight="1" x14ac:dyDescent="0.25">
      <c r="A316" s="8" t="s">
        <v>5</v>
      </c>
      <c r="B316" s="1" t="s">
        <v>0</v>
      </c>
      <c r="C316" s="1" t="s">
        <v>1</v>
      </c>
      <c r="D316" s="1" t="s">
        <v>4110</v>
      </c>
      <c r="E316" s="1" t="s">
        <v>4111</v>
      </c>
      <c r="F316" s="1" t="s">
        <v>4112</v>
      </c>
      <c r="H316" s="2" t="s">
        <v>5</v>
      </c>
      <c r="I316" s="2" t="s">
        <v>6</v>
      </c>
      <c r="J316" s="2" t="s">
        <v>5</v>
      </c>
      <c r="K316" s="2" t="s">
        <v>5</v>
      </c>
      <c r="L316" s="2" t="s">
        <v>7</v>
      </c>
      <c r="N316" s="1" t="s">
        <v>4113</v>
      </c>
      <c r="O316" s="2" t="s">
        <v>389</v>
      </c>
      <c r="P316" s="1" t="s">
        <v>568</v>
      </c>
      <c r="Q316" s="2" t="s">
        <v>10</v>
      </c>
      <c r="R316" s="2" t="s">
        <v>77</v>
      </c>
      <c r="T316" s="2" t="s">
        <v>12</v>
      </c>
      <c r="U316" s="3">
        <v>2</v>
      </c>
      <c r="V316" s="3">
        <v>2</v>
      </c>
      <c r="W316" s="4" t="s">
        <v>4114</v>
      </c>
      <c r="X316" s="4" t="s">
        <v>4114</v>
      </c>
      <c r="Y316" s="4" t="s">
        <v>1754</v>
      </c>
      <c r="Z316" s="4" t="s">
        <v>1754</v>
      </c>
      <c r="AA316" s="3">
        <v>261</v>
      </c>
      <c r="AB316" s="3">
        <v>114</v>
      </c>
      <c r="AC316" s="3">
        <v>433</v>
      </c>
      <c r="AD316" s="3">
        <v>1</v>
      </c>
      <c r="AE316" s="3">
        <v>1</v>
      </c>
      <c r="AF316" s="3">
        <v>2</v>
      </c>
      <c r="AG316" s="3">
        <v>13</v>
      </c>
      <c r="AH316" s="3">
        <v>0</v>
      </c>
      <c r="AI316" s="3">
        <v>3</v>
      </c>
      <c r="AJ316" s="3">
        <v>1</v>
      </c>
      <c r="AK316" s="3">
        <v>5</v>
      </c>
      <c r="AL316" s="3">
        <v>2</v>
      </c>
      <c r="AM316" s="3">
        <v>10</v>
      </c>
      <c r="AN316" s="3">
        <v>0</v>
      </c>
      <c r="AO316" s="3">
        <v>0</v>
      </c>
      <c r="AP316" s="3">
        <v>0</v>
      </c>
      <c r="AQ316" s="3">
        <v>0</v>
      </c>
      <c r="AR316" s="2" t="s">
        <v>5</v>
      </c>
      <c r="AS316" s="2" t="s">
        <v>5</v>
      </c>
      <c r="AU316" s="5" t="str">
        <f>HYPERLINK("https://creighton-primo.hosted.exlibrisgroup.com/primo-explore/search?tab=default_tab&amp;search_scope=EVERYTHING&amp;vid=01CRU&amp;lang=en_US&amp;offset=0&amp;query=any,contains,991000386209702656","Catalog Record")</f>
        <v>Catalog Record</v>
      </c>
      <c r="AV316" s="5" t="str">
        <f>HYPERLINK("http://www.worldcat.org/oclc/50403935","WorldCat Record")</f>
        <v>WorldCat Record</v>
      </c>
      <c r="AW316" s="2" t="s">
        <v>4115</v>
      </c>
      <c r="AX316" s="2" t="s">
        <v>4116</v>
      </c>
      <c r="AY316" s="2" t="s">
        <v>4117</v>
      </c>
      <c r="AZ316" s="2" t="s">
        <v>4117</v>
      </c>
      <c r="BA316" s="2" t="s">
        <v>4118</v>
      </c>
      <c r="BB316" s="2" t="s">
        <v>19</v>
      </c>
      <c r="BD316" s="2" t="s">
        <v>4119</v>
      </c>
      <c r="BE316" s="2" t="s">
        <v>4120</v>
      </c>
      <c r="BF316" s="2" t="s">
        <v>4121</v>
      </c>
    </row>
    <row r="317" spans="1:58" ht="50.25" customHeight="1" x14ac:dyDescent="0.25">
      <c r="A317" s="8" t="s">
        <v>5</v>
      </c>
      <c r="B317" s="1" t="s">
        <v>0</v>
      </c>
      <c r="C317" s="1" t="s">
        <v>1</v>
      </c>
      <c r="D317" s="1" t="s">
        <v>4122</v>
      </c>
      <c r="E317" s="1" t="s">
        <v>4123</v>
      </c>
      <c r="F317" s="1" t="s">
        <v>4124</v>
      </c>
      <c r="H317" s="2" t="s">
        <v>5</v>
      </c>
      <c r="I317" s="2" t="s">
        <v>6</v>
      </c>
      <c r="J317" s="2" t="s">
        <v>5</v>
      </c>
      <c r="K317" s="2" t="s">
        <v>5</v>
      </c>
      <c r="L317" s="2" t="s">
        <v>7</v>
      </c>
      <c r="N317" s="1" t="s">
        <v>4125</v>
      </c>
      <c r="O317" s="2" t="s">
        <v>28</v>
      </c>
      <c r="Q317" s="2" t="s">
        <v>10</v>
      </c>
      <c r="R317" s="2" t="s">
        <v>11</v>
      </c>
      <c r="T317" s="2" t="s">
        <v>12</v>
      </c>
      <c r="U317" s="3">
        <v>4</v>
      </c>
      <c r="V317" s="3">
        <v>4</v>
      </c>
      <c r="W317" s="4" t="s">
        <v>3648</v>
      </c>
      <c r="X317" s="4" t="s">
        <v>3648</v>
      </c>
      <c r="Y317" s="4" t="s">
        <v>4126</v>
      </c>
      <c r="Z317" s="4" t="s">
        <v>4126</v>
      </c>
      <c r="AA317" s="3">
        <v>254</v>
      </c>
      <c r="AB317" s="3">
        <v>208</v>
      </c>
      <c r="AC317" s="3">
        <v>215</v>
      </c>
      <c r="AD317" s="3">
        <v>3</v>
      </c>
      <c r="AE317" s="3">
        <v>3</v>
      </c>
      <c r="AF317" s="3">
        <v>13</v>
      </c>
      <c r="AG317" s="3">
        <v>13</v>
      </c>
      <c r="AH317" s="3">
        <v>3</v>
      </c>
      <c r="AI317" s="3">
        <v>3</v>
      </c>
      <c r="AJ317" s="3">
        <v>4</v>
      </c>
      <c r="AK317" s="3">
        <v>4</v>
      </c>
      <c r="AL317" s="3">
        <v>8</v>
      </c>
      <c r="AM317" s="3">
        <v>8</v>
      </c>
      <c r="AN317" s="3">
        <v>2</v>
      </c>
      <c r="AO317" s="3">
        <v>2</v>
      </c>
      <c r="AP317" s="3">
        <v>1</v>
      </c>
      <c r="AQ317" s="3">
        <v>1</v>
      </c>
      <c r="AR317" s="2" t="s">
        <v>5</v>
      </c>
      <c r="AS317" s="2" t="s">
        <v>90</v>
      </c>
      <c r="AT317" s="5" t="str">
        <f>HYPERLINK("http://catalog.hathitrust.org/Record/004453697","HathiTrust Record")</f>
        <v>HathiTrust Record</v>
      </c>
      <c r="AU317" s="5" t="str">
        <f>HYPERLINK("https://creighton-primo.hosted.exlibrisgroup.com/primo-explore/search?tab=default_tab&amp;search_scope=EVERYTHING&amp;vid=01CRU&amp;lang=en_US&amp;offset=0&amp;query=any,contains,991001401069702656","Catalog Record")</f>
        <v>Catalog Record</v>
      </c>
      <c r="AV317" s="5" t="str">
        <f>HYPERLINK("http://www.worldcat.org/oclc/19590063","WorldCat Record")</f>
        <v>WorldCat Record</v>
      </c>
      <c r="AW317" s="2" t="s">
        <v>4127</v>
      </c>
      <c r="AX317" s="2" t="s">
        <v>4128</v>
      </c>
      <c r="AY317" s="2" t="s">
        <v>4129</v>
      </c>
      <c r="AZ317" s="2" t="s">
        <v>4129</v>
      </c>
      <c r="BA317" s="2" t="s">
        <v>4130</v>
      </c>
      <c r="BB317" s="2" t="s">
        <v>19</v>
      </c>
      <c r="BD317" s="2" t="s">
        <v>4131</v>
      </c>
      <c r="BE317" s="2" t="s">
        <v>4132</v>
      </c>
      <c r="BF317" s="2" t="s">
        <v>4133</v>
      </c>
    </row>
    <row r="318" spans="1:58" ht="50.25" customHeight="1" x14ac:dyDescent="0.25">
      <c r="A318" s="8" t="s">
        <v>5</v>
      </c>
      <c r="B318" s="1" t="s">
        <v>0</v>
      </c>
      <c r="C318" s="1" t="s">
        <v>1</v>
      </c>
      <c r="D318" s="1" t="s">
        <v>4134</v>
      </c>
      <c r="E318" s="1" t="s">
        <v>4135</v>
      </c>
      <c r="F318" s="1" t="s">
        <v>4136</v>
      </c>
      <c r="H318" s="2" t="s">
        <v>5</v>
      </c>
      <c r="I318" s="2" t="s">
        <v>6</v>
      </c>
      <c r="J318" s="2" t="s">
        <v>5</v>
      </c>
      <c r="K318" s="2" t="s">
        <v>5</v>
      </c>
      <c r="L318" s="2" t="s">
        <v>7</v>
      </c>
      <c r="N318" s="1" t="s">
        <v>4137</v>
      </c>
      <c r="O318" s="2" t="s">
        <v>389</v>
      </c>
      <c r="Q318" s="2" t="s">
        <v>10</v>
      </c>
      <c r="R318" s="2" t="s">
        <v>77</v>
      </c>
      <c r="T318" s="2" t="s">
        <v>12</v>
      </c>
      <c r="U318" s="3">
        <v>0</v>
      </c>
      <c r="V318" s="3">
        <v>0</v>
      </c>
      <c r="W318" s="4" t="s">
        <v>292</v>
      </c>
      <c r="X318" s="4" t="s">
        <v>292</v>
      </c>
      <c r="Y318" s="4" t="s">
        <v>292</v>
      </c>
      <c r="Z318" s="4" t="s">
        <v>292</v>
      </c>
      <c r="AA318" s="3">
        <v>74</v>
      </c>
      <c r="AB318" s="3">
        <v>35</v>
      </c>
      <c r="AC318" s="3">
        <v>387</v>
      </c>
      <c r="AD318" s="3">
        <v>1</v>
      </c>
      <c r="AE318" s="3">
        <v>1</v>
      </c>
      <c r="AF318" s="3">
        <v>0</v>
      </c>
      <c r="AG318" s="3">
        <v>5</v>
      </c>
      <c r="AH318" s="3">
        <v>0</v>
      </c>
      <c r="AI318" s="3">
        <v>2</v>
      </c>
      <c r="AJ318" s="3">
        <v>0</v>
      </c>
      <c r="AK318" s="3">
        <v>1</v>
      </c>
      <c r="AL318" s="3">
        <v>0</v>
      </c>
      <c r="AM318" s="3">
        <v>2</v>
      </c>
      <c r="AN318" s="3">
        <v>0</v>
      </c>
      <c r="AO318" s="3">
        <v>0</v>
      </c>
      <c r="AP318" s="3">
        <v>0</v>
      </c>
      <c r="AQ318" s="3">
        <v>0</v>
      </c>
      <c r="AR318" s="2" t="s">
        <v>5</v>
      </c>
      <c r="AS318" s="2" t="s">
        <v>5</v>
      </c>
      <c r="AU318" s="5" t="str">
        <f>HYPERLINK("https://creighton-primo.hosted.exlibrisgroup.com/primo-explore/search?tab=default_tab&amp;search_scope=EVERYTHING&amp;vid=01CRU&amp;lang=en_US&amp;offset=0&amp;query=any,contains,991000358669702656","Catalog Record")</f>
        <v>Catalog Record</v>
      </c>
      <c r="AV318" s="5" t="str">
        <f>HYPERLINK("http://www.worldcat.org/oclc/48572144","WorldCat Record")</f>
        <v>WorldCat Record</v>
      </c>
      <c r="AW318" s="2" t="s">
        <v>4138</v>
      </c>
      <c r="AX318" s="2" t="s">
        <v>4139</v>
      </c>
      <c r="AY318" s="2" t="s">
        <v>4140</v>
      </c>
      <c r="AZ318" s="2" t="s">
        <v>4140</v>
      </c>
      <c r="BA318" s="2" t="s">
        <v>4141</v>
      </c>
      <c r="BB318" s="2" t="s">
        <v>19</v>
      </c>
      <c r="BD318" s="2" t="s">
        <v>4142</v>
      </c>
      <c r="BE318" s="2" t="s">
        <v>4143</v>
      </c>
      <c r="BF318" s="2" t="s">
        <v>4144</v>
      </c>
    </row>
    <row r="319" spans="1:58" ht="50.25" customHeight="1" x14ac:dyDescent="0.25">
      <c r="A319" s="8" t="s">
        <v>5</v>
      </c>
      <c r="B319" s="1" t="s">
        <v>0</v>
      </c>
      <c r="C319" s="1" t="s">
        <v>1</v>
      </c>
      <c r="D319" s="1" t="s">
        <v>4145</v>
      </c>
      <c r="E319" s="1" t="s">
        <v>4146</v>
      </c>
      <c r="F319" s="1" t="s">
        <v>4147</v>
      </c>
      <c r="H319" s="2" t="s">
        <v>5</v>
      </c>
      <c r="I319" s="2" t="s">
        <v>6</v>
      </c>
      <c r="J319" s="2" t="s">
        <v>5</v>
      </c>
      <c r="K319" s="2" t="s">
        <v>5</v>
      </c>
      <c r="L319" s="2" t="s">
        <v>7</v>
      </c>
      <c r="M319" s="1" t="s">
        <v>4148</v>
      </c>
      <c r="N319" s="1" t="s">
        <v>4149</v>
      </c>
      <c r="O319" s="2" t="s">
        <v>198</v>
      </c>
      <c r="Q319" s="2" t="s">
        <v>10</v>
      </c>
      <c r="R319" s="2" t="s">
        <v>29</v>
      </c>
      <c r="T319" s="2" t="s">
        <v>12</v>
      </c>
      <c r="U319" s="3">
        <v>2</v>
      </c>
      <c r="V319" s="3">
        <v>2</v>
      </c>
      <c r="W319" s="4" t="s">
        <v>4114</v>
      </c>
      <c r="X319" s="4" t="s">
        <v>4114</v>
      </c>
      <c r="Y319" s="4" t="s">
        <v>889</v>
      </c>
      <c r="Z319" s="4" t="s">
        <v>889</v>
      </c>
      <c r="AA319" s="3">
        <v>286</v>
      </c>
      <c r="AB319" s="3">
        <v>255</v>
      </c>
      <c r="AC319" s="3">
        <v>257</v>
      </c>
      <c r="AD319" s="3">
        <v>4</v>
      </c>
      <c r="AE319" s="3">
        <v>4</v>
      </c>
      <c r="AF319" s="3">
        <v>10</v>
      </c>
      <c r="AG319" s="3">
        <v>10</v>
      </c>
      <c r="AH319" s="3">
        <v>1</v>
      </c>
      <c r="AI319" s="3">
        <v>1</v>
      </c>
      <c r="AJ319" s="3">
        <v>2</v>
      </c>
      <c r="AK319" s="3">
        <v>2</v>
      </c>
      <c r="AL319" s="3">
        <v>6</v>
      </c>
      <c r="AM319" s="3">
        <v>6</v>
      </c>
      <c r="AN319" s="3">
        <v>3</v>
      </c>
      <c r="AO319" s="3">
        <v>3</v>
      </c>
      <c r="AP319" s="3">
        <v>1</v>
      </c>
      <c r="AQ319" s="3">
        <v>1</v>
      </c>
      <c r="AR319" s="2" t="s">
        <v>5</v>
      </c>
      <c r="AS319" s="2" t="s">
        <v>90</v>
      </c>
      <c r="AT319" s="5" t="str">
        <f>HYPERLINK("http://catalog.hathitrust.org/Record/000417990","HathiTrust Record")</f>
        <v>HathiTrust Record</v>
      </c>
      <c r="AU319" s="5" t="str">
        <f>HYPERLINK("https://creighton-primo.hosted.exlibrisgroup.com/primo-explore/search?tab=default_tab&amp;search_scope=EVERYTHING&amp;vid=01CRU&amp;lang=en_US&amp;offset=0&amp;query=any,contains,991000727469702656","Catalog Record")</f>
        <v>Catalog Record</v>
      </c>
      <c r="AV319" s="5" t="str">
        <f>HYPERLINK("http://www.worldcat.org/oclc/11755756","WorldCat Record")</f>
        <v>WorldCat Record</v>
      </c>
      <c r="AW319" s="2" t="s">
        <v>4150</v>
      </c>
      <c r="AX319" s="2" t="s">
        <v>4151</v>
      </c>
      <c r="AY319" s="2" t="s">
        <v>4152</v>
      </c>
      <c r="AZ319" s="2" t="s">
        <v>4152</v>
      </c>
      <c r="BA319" s="2" t="s">
        <v>4153</v>
      </c>
      <c r="BB319" s="2" t="s">
        <v>19</v>
      </c>
      <c r="BD319" s="2" t="s">
        <v>4154</v>
      </c>
      <c r="BE319" s="2" t="s">
        <v>4155</v>
      </c>
      <c r="BF319" s="2" t="s">
        <v>4156</v>
      </c>
    </row>
    <row r="320" spans="1:58" ht="50.25" customHeight="1" x14ac:dyDescent="0.25">
      <c r="A320" s="8" t="s">
        <v>5</v>
      </c>
      <c r="B320" s="1" t="s">
        <v>0</v>
      </c>
      <c r="C320" s="1" t="s">
        <v>1</v>
      </c>
      <c r="D320" s="1" t="s">
        <v>4157</v>
      </c>
      <c r="E320" s="1" t="s">
        <v>4158</v>
      </c>
      <c r="F320" s="1" t="s">
        <v>4159</v>
      </c>
      <c r="H320" s="2" t="s">
        <v>5</v>
      </c>
      <c r="I320" s="2" t="s">
        <v>6</v>
      </c>
      <c r="J320" s="2" t="s">
        <v>5</v>
      </c>
      <c r="K320" s="2" t="s">
        <v>90</v>
      </c>
      <c r="L320" s="2" t="s">
        <v>4160</v>
      </c>
      <c r="M320" s="1" t="s">
        <v>4161</v>
      </c>
      <c r="N320" s="1" t="s">
        <v>4162</v>
      </c>
      <c r="O320" s="2" t="s">
        <v>169</v>
      </c>
      <c r="P320" s="1" t="s">
        <v>568</v>
      </c>
      <c r="Q320" s="2" t="s">
        <v>10</v>
      </c>
      <c r="R320" s="2" t="s">
        <v>1150</v>
      </c>
      <c r="T320" s="2" t="s">
        <v>12</v>
      </c>
      <c r="U320" s="3">
        <v>37</v>
      </c>
      <c r="V320" s="3">
        <v>37</v>
      </c>
      <c r="W320" s="4" t="s">
        <v>4163</v>
      </c>
      <c r="X320" s="4" t="s">
        <v>4163</v>
      </c>
      <c r="Y320" s="4" t="s">
        <v>4164</v>
      </c>
      <c r="Z320" s="4" t="s">
        <v>4164</v>
      </c>
      <c r="AA320" s="3">
        <v>163</v>
      </c>
      <c r="AB320" s="3">
        <v>154</v>
      </c>
      <c r="AC320" s="3">
        <v>2136</v>
      </c>
      <c r="AD320" s="3">
        <v>1</v>
      </c>
      <c r="AE320" s="3">
        <v>44</v>
      </c>
      <c r="AF320" s="3">
        <v>7</v>
      </c>
      <c r="AG320" s="3">
        <v>65</v>
      </c>
      <c r="AH320" s="3">
        <v>3</v>
      </c>
      <c r="AI320" s="3">
        <v>20</v>
      </c>
      <c r="AJ320" s="3">
        <v>0</v>
      </c>
      <c r="AK320" s="3">
        <v>10</v>
      </c>
      <c r="AL320" s="3">
        <v>1</v>
      </c>
      <c r="AM320" s="3">
        <v>18</v>
      </c>
      <c r="AN320" s="3">
        <v>0</v>
      </c>
      <c r="AO320" s="3">
        <v>18</v>
      </c>
      <c r="AP320" s="3">
        <v>3</v>
      </c>
      <c r="AQ320" s="3">
        <v>8</v>
      </c>
      <c r="AR320" s="2" t="s">
        <v>5</v>
      </c>
      <c r="AS320" s="2" t="s">
        <v>5</v>
      </c>
      <c r="AU320" s="5" t="str">
        <f>HYPERLINK("https://creighton-primo.hosted.exlibrisgroup.com/primo-explore/search?tab=default_tab&amp;search_scope=EVERYTHING&amp;vid=01CRU&amp;lang=en_US&amp;offset=0&amp;query=any,contains,991001412979702656","Catalog Record")</f>
        <v>Catalog Record</v>
      </c>
      <c r="AV320" s="5" t="str">
        <f>HYPERLINK("http://www.worldcat.org/oclc/37573481","WorldCat Record")</f>
        <v>WorldCat Record</v>
      </c>
      <c r="AW320" s="2" t="s">
        <v>4165</v>
      </c>
      <c r="AX320" s="2" t="s">
        <v>4166</v>
      </c>
      <c r="AY320" s="2" t="s">
        <v>4167</v>
      </c>
      <c r="AZ320" s="2" t="s">
        <v>4167</v>
      </c>
      <c r="BA320" s="2" t="s">
        <v>4168</v>
      </c>
      <c r="BB320" s="2" t="s">
        <v>19</v>
      </c>
      <c r="BD320" s="2" t="s">
        <v>4169</v>
      </c>
      <c r="BE320" s="2" t="s">
        <v>4170</v>
      </c>
      <c r="BF320" s="2" t="s">
        <v>4171</v>
      </c>
    </row>
    <row r="321" spans="1:58" ht="50.25" customHeight="1" x14ac:dyDescent="0.25">
      <c r="A321" s="8" t="s">
        <v>5</v>
      </c>
      <c r="B321" s="1" t="s">
        <v>0</v>
      </c>
      <c r="C321" s="1" t="s">
        <v>1</v>
      </c>
      <c r="D321" s="1" t="s">
        <v>4172</v>
      </c>
      <c r="E321" s="1" t="s">
        <v>4173</v>
      </c>
      <c r="F321" s="1" t="s">
        <v>4174</v>
      </c>
      <c r="H321" s="2" t="s">
        <v>5</v>
      </c>
      <c r="I321" s="2" t="s">
        <v>6</v>
      </c>
      <c r="J321" s="2" t="s">
        <v>5</v>
      </c>
      <c r="K321" s="2" t="s">
        <v>5</v>
      </c>
      <c r="L321" s="2" t="s">
        <v>7</v>
      </c>
      <c r="M321" s="1" t="s">
        <v>4175</v>
      </c>
      <c r="N321" s="1" t="s">
        <v>4176</v>
      </c>
      <c r="O321" s="2" t="s">
        <v>319</v>
      </c>
      <c r="Q321" s="2" t="s">
        <v>10</v>
      </c>
      <c r="R321" s="2" t="s">
        <v>77</v>
      </c>
      <c r="T321" s="2" t="s">
        <v>12</v>
      </c>
      <c r="U321" s="3">
        <v>7</v>
      </c>
      <c r="V321" s="3">
        <v>7</v>
      </c>
      <c r="W321" s="4" t="s">
        <v>4177</v>
      </c>
      <c r="X321" s="4" t="s">
        <v>4177</v>
      </c>
      <c r="Y321" s="4" t="s">
        <v>611</v>
      </c>
      <c r="Z321" s="4" t="s">
        <v>611</v>
      </c>
      <c r="AA321" s="3">
        <v>171</v>
      </c>
      <c r="AB321" s="3">
        <v>60</v>
      </c>
      <c r="AC321" s="3">
        <v>61</v>
      </c>
      <c r="AD321" s="3">
        <v>1</v>
      </c>
      <c r="AE321" s="3">
        <v>1</v>
      </c>
      <c r="AF321" s="3">
        <v>2</v>
      </c>
      <c r="AG321" s="3">
        <v>2</v>
      </c>
      <c r="AH321" s="3">
        <v>1</v>
      </c>
      <c r="AI321" s="3">
        <v>1</v>
      </c>
      <c r="AJ321" s="3">
        <v>0</v>
      </c>
      <c r="AK321" s="3">
        <v>0</v>
      </c>
      <c r="AL321" s="3">
        <v>2</v>
      </c>
      <c r="AM321" s="3">
        <v>2</v>
      </c>
      <c r="AN321" s="3">
        <v>0</v>
      </c>
      <c r="AO321" s="3">
        <v>0</v>
      </c>
      <c r="AP321" s="3">
        <v>0</v>
      </c>
      <c r="AQ321" s="3">
        <v>0</v>
      </c>
      <c r="AR321" s="2" t="s">
        <v>5</v>
      </c>
      <c r="AS321" s="2" t="s">
        <v>5</v>
      </c>
      <c r="AU321" s="5" t="str">
        <f>HYPERLINK("https://creighton-primo.hosted.exlibrisgroup.com/primo-explore/search?tab=default_tab&amp;search_scope=EVERYTHING&amp;vid=01CRU&amp;lang=en_US&amp;offset=0&amp;query=any,contains,991001432139702656","Catalog Record")</f>
        <v>Catalog Record</v>
      </c>
      <c r="AV321" s="5" t="str">
        <f>HYPERLINK("http://www.worldcat.org/oclc/25869975","WorldCat Record")</f>
        <v>WorldCat Record</v>
      </c>
      <c r="AW321" s="2" t="s">
        <v>4178</v>
      </c>
      <c r="AX321" s="2" t="s">
        <v>4179</v>
      </c>
      <c r="AY321" s="2" t="s">
        <v>4180</v>
      </c>
      <c r="AZ321" s="2" t="s">
        <v>4180</v>
      </c>
      <c r="BA321" s="2" t="s">
        <v>4181</v>
      </c>
      <c r="BB321" s="2" t="s">
        <v>19</v>
      </c>
      <c r="BD321" s="2" t="s">
        <v>4182</v>
      </c>
      <c r="BE321" s="2" t="s">
        <v>4183</v>
      </c>
      <c r="BF321" s="2" t="s">
        <v>4184</v>
      </c>
    </row>
    <row r="322" spans="1:58" ht="50.25" customHeight="1" x14ac:dyDescent="0.25">
      <c r="A322" s="8" t="s">
        <v>5</v>
      </c>
      <c r="B322" s="1" t="s">
        <v>0</v>
      </c>
      <c r="C322" s="1" t="s">
        <v>1</v>
      </c>
      <c r="D322" s="1" t="s">
        <v>4185</v>
      </c>
      <c r="E322" s="1" t="s">
        <v>4186</v>
      </c>
      <c r="F322" s="1" t="s">
        <v>4187</v>
      </c>
      <c r="H322" s="2" t="s">
        <v>5</v>
      </c>
      <c r="I322" s="2" t="s">
        <v>6</v>
      </c>
      <c r="J322" s="2" t="s">
        <v>5</v>
      </c>
      <c r="K322" s="2" t="s">
        <v>5</v>
      </c>
      <c r="L322" s="2" t="s">
        <v>7</v>
      </c>
      <c r="N322" s="1" t="s">
        <v>4188</v>
      </c>
      <c r="O322" s="2" t="s">
        <v>228</v>
      </c>
      <c r="Q322" s="2" t="s">
        <v>10</v>
      </c>
      <c r="R322" s="2" t="s">
        <v>45</v>
      </c>
      <c r="T322" s="2" t="s">
        <v>12</v>
      </c>
      <c r="U322" s="3">
        <v>8</v>
      </c>
      <c r="V322" s="3">
        <v>8</v>
      </c>
      <c r="W322" s="4" t="s">
        <v>4189</v>
      </c>
      <c r="X322" s="4" t="s">
        <v>4189</v>
      </c>
      <c r="Y322" s="4" t="s">
        <v>4190</v>
      </c>
      <c r="Z322" s="4" t="s">
        <v>4190</v>
      </c>
      <c r="AA322" s="3">
        <v>218</v>
      </c>
      <c r="AB322" s="3">
        <v>177</v>
      </c>
      <c r="AC322" s="3">
        <v>179</v>
      </c>
      <c r="AD322" s="3">
        <v>1</v>
      </c>
      <c r="AE322" s="3">
        <v>1</v>
      </c>
      <c r="AF322" s="3">
        <v>9</v>
      </c>
      <c r="AG322" s="3">
        <v>9</v>
      </c>
      <c r="AH322" s="3">
        <v>3</v>
      </c>
      <c r="AI322" s="3">
        <v>3</v>
      </c>
      <c r="AJ322" s="3">
        <v>3</v>
      </c>
      <c r="AK322" s="3">
        <v>3</v>
      </c>
      <c r="AL322" s="3">
        <v>7</v>
      </c>
      <c r="AM322" s="3">
        <v>7</v>
      </c>
      <c r="AN322" s="3">
        <v>0</v>
      </c>
      <c r="AO322" s="3">
        <v>0</v>
      </c>
      <c r="AP322" s="3">
        <v>0</v>
      </c>
      <c r="AQ322" s="3">
        <v>0</v>
      </c>
      <c r="AR322" s="2" t="s">
        <v>5</v>
      </c>
      <c r="AS322" s="2" t="s">
        <v>90</v>
      </c>
      <c r="AT322" s="5" t="str">
        <f>HYPERLINK("http://catalog.hathitrust.org/Record/004439850","HathiTrust Record")</f>
        <v>HathiTrust Record</v>
      </c>
      <c r="AU322" s="5" t="str">
        <f>HYPERLINK("https://creighton-primo.hosted.exlibrisgroup.com/primo-explore/search?tab=default_tab&amp;search_scope=EVERYTHING&amp;vid=01CRU&amp;lang=en_US&amp;offset=0&amp;query=any,contains,991001112139702656","Catalog Record")</f>
        <v>Catalog Record</v>
      </c>
      <c r="AV322" s="5" t="str">
        <f>HYPERLINK("http://www.worldcat.org/oclc/17261849","WorldCat Record")</f>
        <v>WorldCat Record</v>
      </c>
      <c r="AW322" s="2" t="s">
        <v>4191</v>
      </c>
      <c r="AX322" s="2" t="s">
        <v>4192</v>
      </c>
      <c r="AY322" s="2" t="s">
        <v>4193</v>
      </c>
      <c r="AZ322" s="2" t="s">
        <v>4193</v>
      </c>
      <c r="BA322" s="2" t="s">
        <v>4194</v>
      </c>
      <c r="BB322" s="2" t="s">
        <v>19</v>
      </c>
      <c r="BD322" s="2" t="s">
        <v>4195</v>
      </c>
      <c r="BE322" s="2" t="s">
        <v>4196</v>
      </c>
      <c r="BF322" s="2" t="s">
        <v>4197</v>
      </c>
    </row>
    <row r="323" spans="1:58" ht="50.25" customHeight="1" x14ac:dyDescent="0.25">
      <c r="A323" s="8" t="s">
        <v>5</v>
      </c>
      <c r="B323" s="1" t="s">
        <v>0</v>
      </c>
      <c r="C323" s="1" t="s">
        <v>1</v>
      </c>
      <c r="D323" s="1" t="s">
        <v>4198</v>
      </c>
      <c r="E323" s="1" t="s">
        <v>4199</v>
      </c>
      <c r="F323" s="1" t="s">
        <v>4200</v>
      </c>
      <c r="H323" s="2" t="s">
        <v>5</v>
      </c>
      <c r="I323" s="2" t="s">
        <v>6</v>
      </c>
      <c r="J323" s="2" t="s">
        <v>5</v>
      </c>
      <c r="K323" s="2" t="s">
        <v>5</v>
      </c>
      <c r="L323" s="2" t="s">
        <v>7</v>
      </c>
      <c r="M323" s="1" t="s">
        <v>4201</v>
      </c>
      <c r="N323" s="1" t="s">
        <v>4202</v>
      </c>
      <c r="O323" s="2" t="s">
        <v>1138</v>
      </c>
      <c r="Q323" s="2" t="s">
        <v>10</v>
      </c>
      <c r="R323" s="2" t="s">
        <v>45</v>
      </c>
      <c r="T323" s="2" t="s">
        <v>12</v>
      </c>
      <c r="U323" s="3">
        <v>8</v>
      </c>
      <c r="V323" s="3">
        <v>8</v>
      </c>
      <c r="W323" s="4" t="s">
        <v>3738</v>
      </c>
      <c r="X323" s="4" t="s">
        <v>3738</v>
      </c>
      <c r="Y323" s="4" t="s">
        <v>889</v>
      </c>
      <c r="Z323" s="4" t="s">
        <v>889</v>
      </c>
      <c r="AA323" s="3">
        <v>225</v>
      </c>
      <c r="AB323" s="3">
        <v>180</v>
      </c>
      <c r="AC323" s="3">
        <v>182</v>
      </c>
      <c r="AD323" s="3">
        <v>2</v>
      </c>
      <c r="AE323" s="3">
        <v>2</v>
      </c>
      <c r="AF323" s="3">
        <v>4</v>
      </c>
      <c r="AG323" s="3">
        <v>4</v>
      </c>
      <c r="AH323" s="3">
        <v>2</v>
      </c>
      <c r="AI323" s="3">
        <v>2</v>
      </c>
      <c r="AJ323" s="3">
        <v>0</v>
      </c>
      <c r="AK323" s="3">
        <v>0</v>
      </c>
      <c r="AL323" s="3">
        <v>2</v>
      </c>
      <c r="AM323" s="3">
        <v>2</v>
      </c>
      <c r="AN323" s="3">
        <v>1</v>
      </c>
      <c r="AO323" s="3">
        <v>1</v>
      </c>
      <c r="AP323" s="3">
        <v>0</v>
      </c>
      <c r="AQ323" s="3">
        <v>0</v>
      </c>
      <c r="AR323" s="2" t="s">
        <v>5</v>
      </c>
      <c r="AS323" s="2" t="s">
        <v>90</v>
      </c>
      <c r="AT323" s="5" t="str">
        <f>HYPERLINK("http://catalog.hathitrust.org/Record/000103574","HathiTrust Record")</f>
        <v>HathiTrust Record</v>
      </c>
      <c r="AU323" s="5" t="str">
        <f>HYPERLINK("https://creighton-primo.hosted.exlibrisgroup.com/primo-explore/search?tab=default_tab&amp;search_scope=EVERYTHING&amp;vid=01CRU&amp;lang=en_US&amp;offset=0&amp;query=any,contains,991000727949702656","Catalog Record")</f>
        <v>Catalog Record</v>
      </c>
      <c r="AV323" s="5" t="str">
        <f>HYPERLINK("http://www.worldcat.org/oclc/7976352","WorldCat Record")</f>
        <v>WorldCat Record</v>
      </c>
      <c r="AW323" s="2" t="s">
        <v>4203</v>
      </c>
      <c r="AX323" s="2" t="s">
        <v>4204</v>
      </c>
      <c r="AY323" s="2" t="s">
        <v>4205</v>
      </c>
      <c r="AZ323" s="2" t="s">
        <v>4205</v>
      </c>
      <c r="BA323" s="2" t="s">
        <v>4206</v>
      </c>
      <c r="BB323" s="2" t="s">
        <v>19</v>
      </c>
      <c r="BD323" s="2" t="s">
        <v>4207</v>
      </c>
      <c r="BE323" s="2" t="s">
        <v>4208</v>
      </c>
      <c r="BF323" s="2" t="s">
        <v>4209</v>
      </c>
    </row>
    <row r="324" spans="1:58" ht="50.25" customHeight="1" x14ac:dyDescent="0.25">
      <c r="A324" s="8" t="s">
        <v>5</v>
      </c>
      <c r="B324" s="1" t="s">
        <v>0</v>
      </c>
      <c r="C324" s="1" t="s">
        <v>1</v>
      </c>
      <c r="D324" s="1" t="s">
        <v>4210</v>
      </c>
      <c r="E324" s="1" t="s">
        <v>4211</v>
      </c>
      <c r="F324" s="1" t="s">
        <v>4212</v>
      </c>
      <c r="H324" s="2" t="s">
        <v>5</v>
      </c>
      <c r="I324" s="2" t="s">
        <v>6</v>
      </c>
      <c r="J324" s="2" t="s">
        <v>5</v>
      </c>
      <c r="K324" s="2" t="s">
        <v>5</v>
      </c>
      <c r="L324" s="2" t="s">
        <v>7</v>
      </c>
      <c r="M324" s="1" t="s">
        <v>4213</v>
      </c>
      <c r="N324" s="1" t="s">
        <v>4214</v>
      </c>
      <c r="O324" s="2" t="s">
        <v>389</v>
      </c>
      <c r="Q324" s="2" t="s">
        <v>10</v>
      </c>
      <c r="R324" s="2" t="s">
        <v>110</v>
      </c>
      <c r="T324" s="2" t="s">
        <v>12</v>
      </c>
      <c r="U324" s="3">
        <v>1</v>
      </c>
      <c r="V324" s="3">
        <v>1</v>
      </c>
      <c r="W324" s="4" t="s">
        <v>4215</v>
      </c>
      <c r="X324" s="4" t="s">
        <v>4215</v>
      </c>
      <c r="Y324" s="4" t="s">
        <v>4216</v>
      </c>
      <c r="Z324" s="4" t="s">
        <v>4216</v>
      </c>
      <c r="AA324" s="3">
        <v>360</v>
      </c>
      <c r="AB324" s="3">
        <v>249</v>
      </c>
      <c r="AC324" s="3">
        <v>886</v>
      </c>
      <c r="AD324" s="3">
        <v>1</v>
      </c>
      <c r="AE324" s="3">
        <v>25</v>
      </c>
      <c r="AF324" s="3">
        <v>11</v>
      </c>
      <c r="AG324" s="3">
        <v>29</v>
      </c>
      <c r="AH324" s="3">
        <v>5</v>
      </c>
      <c r="AI324" s="3">
        <v>10</v>
      </c>
      <c r="AJ324" s="3">
        <v>2</v>
      </c>
      <c r="AK324" s="3">
        <v>4</v>
      </c>
      <c r="AL324" s="3">
        <v>6</v>
      </c>
      <c r="AM324" s="3">
        <v>9</v>
      </c>
      <c r="AN324" s="3">
        <v>0</v>
      </c>
      <c r="AO324" s="3">
        <v>10</v>
      </c>
      <c r="AP324" s="3">
        <v>0</v>
      </c>
      <c r="AQ324" s="3">
        <v>0</v>
      </c>
      <c r="AR324" s="2" t="s">
        <v>5</v>
      </c>
      <c r="AS324" s="2" t="s">
        <v>5</v>
      </c>
      <c r="AU324" s="5" t="str">
        <f>HYPERLINK("https://creighton-primo.hosted.exlibrisgroup.com/primo-explore/search?tab=default_tab&amp;search_scope=EVERYTHING&amp;vid=01CRU&amp;lang=en_US&amp;offset=0&amp;query=any,contains,991001495399702656","Catalog Record")</f>
        <v>Catalog Record</v>
      </c>
      <c r="AV324" s="5" t="str">
        <f>HYPERLINK("http://www.worldcat.org/oclc/47183438","WorldCat Record")</f>
        <v>WorldCat Record</v>
      </c>
      <c r="AW324" s="2" t="s">
        <v>4217</v>
      </c>
      <c r="AX324" s="2" t="s">
        <v>4218</v>
      </c>
      <c r="AY324" s="2" t="s">
        <v>4219</v>
      </c>
      <c r="AZ324" s="2" t="s">
        <v>4219</v>
      </c>
      <c r="BA324" s="2" t="s">
        <v>4220</v>
      </c>
      <c r="BB324" s="2" t="s">
        <v>19</v>
      </c>
      <c r="BD324" s="2" t="s">
        <v>4221</v>
      </c>
      <c r="BE324" s="2" t="s">
        <v>4222</v>
      </c>
      <c r="BF324" s="2" t="s">
        <v>4223</v>
      </c>
    </row>
    <row r="325" spans="1:58" ht="50.25" customHeight="1" x14ac:dyDescent="0.25">
      <c r="A325" s="8" t="s">
        <v>5</v>
      </c>
      <c r="B325" s="1" t="s">
        <v>0</v>
      </c>
      <c r="C325" s="1" t="s">
        <v>1</v>
      </c>
      <c r="D325" s="1" t="s">
        <v>4224</v>
      </c>
      <c r="E325" s="1" t="s">
        <v>4225</v>
      </c>
      <c r="F325" s="1" t="s">
        <v>4226</v>
      </c>
      <c r="H325" s="2" t="s">
        <v>5</v>
      </c>
      <c r="I325" s="2" t="s">
        <v>6</v>
      </c>
      <c r="J325" s="2" t="s">
        <v>90</v>
      </c>
      <c r="K325" s="2" t="s">
        <v>5</v>
      </c>
      <c r="L325" s="2" t="s">
        <v>7</v>
      </c>
      <c r="M325" s="1" t="s">
        <v>4227</v>
      </c>
      <c r="N325" s="1" t="s">
        <v>4228</v>
      </c>
      <c r="O325" s="2" t="s">
        <v>228</v>
      </c>
      <c r="Q325" s="2" t="s">
        <v>10</v>
      </c>
      <c r="R325" s="2" t="s">
        <v>29</v>
      </c>
      <c r="S325" s="1" t="s">
        <v>4229</v>
      </c>
      <c r="T325" s="2" t="s">
        <v>12</v>
      </c>
      <c r="U325" s="3">
        <v>3</v>
      </c>
      <c r="V325" s="3">
        <v>3</v>
      </c>
      <c r="W325" s="4" t="s">
        <v>4230</v>
      </c>
      <c r="X325" s="4" t="s">
        <v>4230</v>
      </c>
      <c r="Y325" s="4" t="s">
        <v>4231</v>
      </c>
      <c r="Z325" s="4" t="s">
        <v>4231</v>
      </c>
      <c r="AA325" s="3">
        <v>471</v>
      </c>
      <c r="AB325" s="3">
        <v>426</v>
      </c>
      <c r="AC325" s="3">
        <v>433</v>
      </c>
      <c r="AD325" s="3">
        <v>3</v>
      </c>
      <c r="AE325" s="3">
        <v>3</v>
      </c>
      <c r="AF325" s="3">
        <v>25</v>
      </c>
      <c r="AG325" s="3">
        <v>25</v>
      </c>
      <c r="AH325" s="3">
        <v>8</v>
      </c>
      <c r="AI325" s="3">
        <v>8</v>
      </c>
      <c r="AJ325" s="3">
        <v>4</v>
      </c>
      <c r="AK325" s="3">
        <v>4</v>
      </c>
      <c r="AL325" s="3">
        <v>12</v>
      </c>
      <c r="AM325" s="3">
        <v>12</v>
      </c>
      <c r="AN325" s="3">
        <v>1</v>
      </c>
      <c r="AO325" s="3">
        <v>1</v>
      </c>
      <c r="AP325" s="3">
        <v>4</v>
      </c>
      <c r="AQ325" s="3">
        <v>4</v>
      </c>
      <c r="AR325" s="2" t="s">
        <v>5</v>
      </c>
      <c r="AS325" s="2" t="s">
        <v>90</v>
      </c>
      <c r="AT325" s="5" t="str">
        <f>HYPERLINK("http://catalog.hathitrust.org/Record/001071853","HathiTrust Record")</f>
        <v>HathiTrust Record</v>
      </c>
      <c r="AU325" s="5" t="str">
        <f>HYPERLINK("https://creighton-primo.hosted.exlibrisgroup.com/primo-explore/search?tab=default_tab&amp;search_scope=EVERYTHING&amp;vid=01CRU&amp;lang=en_US&amp;offset=0&amp;query=any,contains,991001252549702656","Catalog Record")</f>
        <v>Catalog Record</v>
      </c>
      <c r="AV325" s="5" t="str">
        <f>HYPERLINK("http://www.worldcat.org/oclc/17298549","WorldCat Record")</f>
        <v>WorldCat Record</v>
      </c>
      <c r="AW325" s="2" t="s">
        <v>4232</v>
      </c>
      <c r="AX325" s="2" t="s">
        <v>4233</v>
      </c>
      <c r="AY325" s="2" t="s">
        <v>4234</v>
      </c>
      <c r="AZ325" s="2" t="s">
        <v>4234</v>
      </c>
      <c r="BA325" s="2" t="s">
        <v>4235</v>
      </c>
      <c r="BB325" s="2" t="s">
        <v>19</v>
      </c>
      <c r="BD325" s="2" t="s">
        <v>4236</v>
      </c>
      <c r="BE325" s="2" t="s">
        <v>4237</v>
      </c>
      <c r="BF325" s="2" t="s">
        <v>4238</v>
      </c>
    </row>
    <row r="326" spans="1:58" ht="50.25" customHeight="1" x14ac:dyDescent="0.25">
      <c r="A326" s="8" t="s">
        <v>5</v>
      </c>
      <c r="B326" s="1" t="s">
        <v>0</v>
      </c>
      <c r="C326" s="1" t="s">
        <v>1</v>
      </c>
      <c r="D326" s="1" t="s">
        <v>4239</v>
      </c>
      <c r="E326" s="1" t="s">
        <v>4240</v>
      </c>
      <c r="F326" s="1" t="s">
        <v>4241</v>
      </c>
      <c r="H326" s="2" t="s">
        <v>5</v>
      </c>
      <c r="I326" s="2" t="s">
        <v>6</v>
      </c>
      <c r="J326" s="2" t="s">
        <v>5</v>
      </c>
      <c r="K326" s="2" t="s">
        <v>5</v>
      </c>
      <c r="L326" s="2" t="s">
        <v>770</v>
      </c>
      <c r="N326" s="1" t="s">
        <v>4242</v>
      </c>
      <c r="O326" s="2" t="s">
        <v>274</v>
      </c>
      <c r="Q326" s="2" t="s">
        <v>10</v>
      </c>
      <c r="R326" s="2" t="s">
        <v>184</v>
      </c>
      <c r="T326" s="2" t="s">
        <v>12</v>
      </c>
      <c r="U326" s="3">
        <v>24</v>
      </c>
      <c r="V326" s="3">
        <v>24</v>
      </c>
      <c r="W326" s="4" t="s">
        <v>4243</v>
      </c>
      <c r="X326" s="4" t="s">
        <v>4243</v>
      </c>
      <c r="Y326" s="4" t="s">
        <v>4244</v>
      </c>
      <c r="Z326" s="4" t="s">
        <v>4244</v>
      </c>
      <c r="AA326" s="3">
        <v>565</v>
      </c>
      <c r="AB326" s="3">
        <v>505</v>
      </c>
      <c r="AC326" s="3">
        <v>1432</v>
      </c>
      <c r="AD326" s="3">
        <v>2</v>
      </c>
      <c r="AE326" s="3">
        <v>14</v>
      </c>
      <c r="AF326" s="3">
        <v>24</v>
      </c>
      <c r="AG326" s="3">
        <v>54</v>
      </c>
      <c r="AH326" s="3">
        <v>8</v>
      </c>
      <c r="AI326" s="3">
        <v>15</v>
      </c>
      <c r="AJ326" s="3">
        <v>4</v>
      </c>
      <c r="AK326" s="3">
        <v>11</v>
      </c>
      <c r="AL326" s="3">
        <v>11</v>
      </c>
      <c r="AM326" s="3">
        <v>17</v>
      </c>
      <c r="AN326" s="3">
        <v>1</v>
      </c>
      <c r="AO326" s="3">
        <v>12</v>
      </c>
      <c r="AP326" s="3">
        <v>6</v>
      </c>
      <c r="AQ326" s="3">
        <v>8</v>
      </c>
      <c r="AR326" s="2" t="s">
        <v>5</v>
      </c>
      <c r="AS326" s="2" t="s">
        <v>90</v>
      </c>
      <c r="AT326" s="5" t="str">
        <f>HYPERLINK("http://catalog.hathitrust.org/Record/002487762","HathiTrust Record")</f>
        <v>HathiTrust Record</v>
      </c>
      <c r="AU326" s="5" t="str">
        <f>HYPERLINK("https://creighton-primo.hosted.exlibrisgroup.com/primo-explore/search?tab=default_tab&amp;search_scope=EVERYTHING&amp;vid=01CRU&amp;lang=en_US&amp;offset=0&amp;query=any,contains,991001300579702656","Catalog Record")</f>
        <v>Catalog Record</v>
      </c>
      <c r="AV326" s="5" t="str">
        <f>HYPERLINK("http://www.worldcat.org/oclc/23652093","WorldCat Record")</f>
        <v>WorldCat Record</v>
      </c>
      <c r="AW326" s="2" t="s">
        <v>4245</v>
      </c>
      <c r="AX326" s="2" t="s">
        <v>4246</v>
      </c>
      <c r="AY326" s="2" t="s">
        <v>4247</v>
      </c>
      <c r="AZ326" s="2" t="s">
        <v>4247</v>
      </c>
      <c r="BA326" s="2" t="s">
        <v>4248</v>
      </c>
      <c r="BB326" s="2" t="s">
        <v>19</v>
      </c>
      <c r="BD326" s="2" t="s">
        <v>4249</v>
      </c>
      <c r="BE326" s="2" t="s">
        <v>4250</v>
      </c>
      <c r="BF326" s="2" t="s">
        <v>4251</v>
      </c>
    </row>
    <row r="327" spans="1:58" ht="50.25" customHeight="1" x14ac:dyDescent="0.25">
      <c r="A327" s="8" t="s">
        <v>5</v>
      </c>
      <c r="B327" s="1" t="s">
        <v>0</v>
      </c>
      <c r="C327" s="1" t="s">
        <v>1</v>
      </c>
      <c r="D327" s="1" t="s">
        <v>4252</v>
      </c>
      <c r="E327" s="1" t="s">
        <v>4253</v>
      </c>
      <c r="F327" s="1" t="s">
        <v>4254</v>
      </c>
      <c r="H327" s="2" t="s">
        <v>5</v>
      </c>
      <c r="I327" s="2" t="s">
        <v>6</v>
      </c>
      <c r="J327" s="2" t="s">
        <v>5</v>
      </c>
      <c r="K327" s="2" t="s">
        <v>90</v>
      </c>
      <c r="L327" s="2" t="s">
        <v>6</v>
      </c>
      <c r="M327" s="1" t="s">
        <v>4255</v>
      </c>
      <c r="N327" s="1" t="s">
        <v>4256</v>
      </c>
      <c r="O327" s="2" t="s">
        <v>169</v>
      </c>
      <c r="P327" s="1" t="s">
        <v>568</v>
      </c>
      <c r="Q327" s="2" t="s">
        <v>10</v>
      </c>
      <c r="R327" s="2" t="s">
        <v>529</v>
      </c>
      <c r="T327" s="2" t="s">
        <v>12</v>
      </c>
      <c r="U327" s="3">
        <v>12</v>
      </c>
      <c r="V327" s="3">
        <v>12</v>
      </c>
      <c r="W327" s="4" t="s">
        <v>4257</v>
      </c>
      <c r="X327" s="4" t="s">
        <v>4257</v>
      </c>
      <c r="Y327" s="4" t="s">
        <v>4258</v>
      </c>
      <c r="Z327" s="4" t="s">
        <v>4258</v>
      </c>
      <c r="AA327" s="3">
        <v>200</v>
      </c>
      <c r="AB327" s="3">
        <v>169</v>
      </c>
      <c r="AC327" s="3">
        <v>1366</v>
      </c>
      <c r="AD327" s="3">
        <v>1</v>
      </c>
      <c r="AE327" s="3">
        <v>27</v>
      </c>
      <c r="AF327" s="3">
        <v>8</v>
      </c>
      <c r="AG327" s="3">
        <v>58</v>
      </c>
      <c r="AH327" s="3">
        <v>3</v>
      </c>
      <c r="AI327" s="3">
        <v>18</v>
      </c>
      <c r="AJ327" s="3">
        <v>1</v>
      </c>
      <c r="AK327" s="3">
        <v>10</v>
      </c>
      <c r="AL327" s="3">
        <v>5</v>
      </c>
      <c r="AM327" s="3">
        <v>18</v>
      </c>
      <c r="AN327" s="3">
        <v>0</v>
      </c>
      <c r="AO327" s="3">
        <v>15</v>
      </c>
      <c r="AP327" s="3">
        <v>1</v>
      </c>
      <c r="AQ327" s="3">
        <v>4</v>
      </c>
      <c r="AR327" s="2" t="s">
        <v>5</v>
      </c>
      <c r="AS327" s="2" t="s">
        <v>90</v>
      </c>
      <c r="AT327" s="5" t="str">
        <f>HYPERLINK("http://catalog.hathitrust.org/Record/003979362","HathiTrust Record")</f>
        <v>HathiTrust Record</v>
      </c>
      <c r="AU327" s="5" t="str">
        <f>HYPERLINK("https://creighton-primo.hosted.exlibrisgroup.com/primo-explore/search?tab=default_tab&amp;search_scope=EVERYTHING&amp;vid=01CRU&amp;lang=en_US&amp;offset=0&amp;query=any,contains,991000692469702656","Catalog Record")</f>
        <v>Catalog Record</v>
      </c>
      <c r="AV327" s="5" t="str">
        <f>HYPERLINK("http://www.worldcat.org/oclc/41300348","WorldCat Record")</f>
        <v>WorldCat Record</v>
      </c>
      <c r="AW327" s="2" t="s">
        <v>4259</v>
      </c>
      <c r="AX327" s="2" t="s">
        <v>4260</v>
      </c>
      <c r="AY327" s="2" t="s">
        <v>4261</v>
      </c>
      <c r="AZ327" s="2" t="s">
        <v>4261</v>
      </c>
      <c r="BA327" s="2" t="s">
        <v>4262</v>
      </c>
      <c r="BB327" s="2" t="s">
        <v>19</v>
      </c>
      <c r="BD327" s="2" t="s">
        <v>4263</v>
      </c>
      <c r="BE327" s="2" t="s">
        <v>4264</v>
      </c>
      <c r="BF327" s="2" t="s">
        <v>4265</v>
      </c>
    </row>
    <row r="328" spans="1:58" ht="50.25" customHeight="1" x14ac:dyDescent="0.25">
      <c r="A328" s="8" t="s">
        <v>5</v>
      </c>
      <c r="B328" s="1" t="s">
        <v>0</v>
      </c>
      <c r="C328" s="1" t="s">
        <v>1</v>
      </c>
      <c r="D328" s="1" t="s">
        <v>4266</v>
      </c>
      <c r="E328" s="1" t="s">
        <v>4267</v>
      </c>
      <c r="F328" s="1" t="s">
        <v>4254</v>
      </c>
      <c r="H328" s="2" t="s">
        <v>5</v>
      </c>
      <c r="I328" s="2" t="s">
        <v>6</v>
      </c>
      <c r="J328" s="2" t="s">
        <v>5</v>
      </c>
      <c r="K328" s="2" t="s">
        <v>90</v>
      </c>
      <c r="L328" s="2" t="s">
        <v>6</v>
      </c>
      <c r="M328" s="1" t="s">
        <v>4255</v>
      </c>
      <c r="N328" s="1" t="s">
        <v>4268</v>
      </c>
      <c r="O328" s="2" t="s">
        <v>389</v>
      </c>
      <c r="P328" s="1" t="s">
        <v>404</v>
      </c>
      <c r="Q328" s="2" t="s">
        <v>10</v>
      </c>
      <c r="R328" s="2" t="s">
        <v>11</v>
      </c>
      <c r="T328" s="2" t="s">
        <v>12</v>
      </c>
      <c r="U328" s="3">
        <v>4</v>
      </c>
      <c r="V328" s="3">
        <v>4</v>
      </c>
      <c r="W328" s="4" t="s">
        <v>4269</v>
      </c>
      <c r="X328" s="4" t="s">
        <v>4269</v>
      </c>
      <c r="Y328" s="4" t="s">
        <v>4270</v>
      </c>
      <c r="Z328" s="4" t="s">
        <v>4270</v>
      </c>
      <c r="AA328" s="3">
        <v>241</v>
      </c>
      <c r="AB328" s="3">
        <v>195</v>
      </c>
      <c r="AC328" s="3">
        <v>1366</v>
      </c>
      <c r="AD328" s="3">
        <v>3</v>
      </c>
      <c r="AE328" s="3">
        <v>27</v>
      </c>
      <c r="AF328" s="3">
        <v>10</v>
      </c>
      <c r="AG328" s="3">
        <v>58</v>
      </c>
      <c r="AH328" s="3">
        <v>2</v>
      </c>
      <c r="AI328" s="3">
        <v>18</v>
      </c>
      <c r="AJ328" s="3">
        <v>3</v>
      </c>
      <c r="AK328" s="3">
        <v>10</v>
      </c>
      <c r="AL328" s="3">
        <v>5</v>
      </c>
      <c r="AM328" s="3">
        <v>18</v>
      </c>
      <c r="AN328" s="3">
        <v>2</v>
      </c>
      <c r="AO328" s="3">
        <v>15</v>
      </c>
      <c r="AP328" s="3">
        <v>0</v>
      </c>
      <c r="AQ328" s="3">
        <v>4</v>
      </c>
      <c r="AR328" s="2" t="s">
        <v>5</v>
      </c>
      <c r="AS328" s="2" t="s">
        <v>90</v>
      </c>
      <c r="AT328" s="5" t="str">
        <f>HYPERLINK("http://catalog.hathitrust.org/Record/003593334","HathiTrust Record")</f>
        <v>HathiTrust Record</v>
      </c>
      <c r="AU328" s="5" t="str">
        <f>HYPERLINK("https://creighton-primo.hosted.exlibrisgroup.com/primo-explore/search?tab=default_tab&amp;search_scope=EVERYTHING&amp;vid=01CRU&amp;lang=en_US&amp;offset=0&amp;query=any,contains,991000330359702656","Catalog Record")</f>
        <v>Catalog Record</v>
      </c>
      <c r="AV328" s="5" t="str">
        <f>HYPERLINK("http://www.worldcat.org/oclc/48066184","WorldCat Record")</f>
        <v>WorldCat Record</v>
      </c>
      <c r="AW328" s="2" t="s">
        <v>4259</v>
      </c>
      <c r="AX328" s="2" t="s">
        <v>4271</v>
      </c>
      <c r="AY328" s="2" t="s">
        <v>4272</v>
      </c>
      <c r="AZ328" s="2" t="s">
        <v>4272</v>
      </c>
      <c r="BA328" s="2" t="s">
        <v>4273</v>
      </c>
      <c r="BB328" s="2" t="s">
        <v>19</v>
      </c>
      <c r="BD328" s="2" t="s">
        <v>4274</v>
      </c>
      <c r="BE328" s="2" t="s">
        <v>4275</v>
      </c>
      <c r="BF328" s="2" t="s">
        <v>4276</v>
      </c>
    </row>
    <row r="329" spans="1:58" ht="50.25" customHeight="1" x14ac:dyDescent="0.25">
      <c r="A329" s="8" t="s">
        <v>5</v>
      </c>
      <c r="B329" s="1" t="s">
        <v>0</v>
      </c>
      <c r="C329" s="1" t="s">
        <v>1</v>
      </c>
      <c r="D329" s="1" t="s">
        <v>4277</v>
      </c>
      <c r="E329" s="1" t="s">
        <v>4278</v>
      </c>
      <c r="F329" s="1" t="s">
        <v>4279</v>
      </c>
      <c r="H329" s="2" t="s">
        <v>5</v>
      </c>
      <c r="I329" s="2" t="s">
        <v>6</v>
      </c>
      <c r="J329" s="2" t="s">
        <v>90</v>
      </c>
      <c r="K329" s="2" t="s">
        <v>5</v>
      </c>
      <c r="L329" s="2" t="s">
        <v>1891</v>
      </c>
      <c r="N329" s="1" t="s">
        <v>4280</v>
      </c>
      <c r="O329" s="2" t="s">
        <v>125</v>
      </c>
      <c r="Q329" s="2" t="s">
        <v>10</v>
      </c>
      <c r="R329" s="2" t="s">
        <v>405</v>
      </c>
      <c r="T329" s="2" t="s">
        <v>12</v>
      </c>
      <c r="U329" s="3">
        <v>76</v>
      </c>
      <c r="V329" s="3">
        <v>82</v>
      </c>
      <c r="W329" s="4" t="s">
        <v>4281</v>
      </c>
      <c r="X329" s="4" t="s">
        <v>554</v>
      </c>
      <c r="Y329" s="4" t="s">
        <v>4282</v>
      </c>
      <c r="Z329" s="4" t="s">
        <v>4283</v>
      </c>
      <c r="AA329" s="3">
        <v>232</v>
      </c>
      <c r="AB329" s="3">
        <v>207</v>
      </c>
      <c r="AC329" s="3">
        <v>1634</v>
      </c>
      <c r="AD329" s="3">
        <v>1</v>
      </c>
      <c r="AE329" s="3">
        <v>8</v>
      </c>
      <c r="AF329" s="3">
        <v>9</v>
      </c>
      <c r="AG329" s="3">
        <v>47</v>
      </c>
      <c r="AH329" s="3">
        <v>1</v>
      </c>
      <c r="AI329" s="3">
        <v>18</v>
      </c>
      <c r="AJ329" s="3">
        <v>4</v>
      </c>
      <c r="AK329" s="3">
        <v>10</v>
      </c>
      <c r="AL329" s="3">
        <v>6</v>
      </c>
      <c r="AM329" s="3">
        <v>20</v>
      </c>
      <c r="AN329" s="3">
        <v>0</v>
      </c>
      <c r="AO329" s="3">
        <v>5</v>
      </c>
      <c r="AP329" s="3">
        <v>1</v>
      </c>
      <c r="AQ329" s="3">
        <v>2</v>
      </c>
      <c r="AR329" s="2" t="s">
        <v>5</v>
      </c>
      <c r="AS329" s="2" t="s">
        <v>5</v>
      </c>
      <c r="AU329" s="5" t="str">
        <f>HYPERLINK("https://creighton-primo.hosted.exlibrisgroup.com/primo-explore/search?tab=default_tab&amp;search_scope=EVERYTHING&amp;vid=01CRU&amp;lang=en_US&amp;offset=0&amp;query=any,contains,991001552319702656","Catalog Record")</f>
        <v>Catalog Record</v>
      </c>
      <c r="AV329" s="5" t="str">
        <f>HYPERLINK("http://www.worldcat.org/oclc/33972095","WorldCat Record")</f>
        <v>WorldCat Record</v>
      </c>
      <c r="AW329" s="2" t="s">
        <v>4284</v>
      </c>
      <c r="AX329" s="2" t="s">
        <v>4285</v>
      </c>
      <c r="AY329" s="2" t="s">
        <v>4286</v>
      </c>
      <c r="AZ329" s="2" t="s">
        <v>4286</v>
      </c>
      <c r="BA329" s="2" t="s">
        <v>4287</v>
      </c>
      <c r="BB329" s="2" t="s">
        <v>19</v>
      </c>
      <c r="BD329" s="2" t="s">
        <v>4288</v>
      </c>
      <c r="BE329" s="2" t="s">
        <v>4289</v>
      </c>
      <c r="BF329" s="2" t="s">
        <v>4290</v>
      </c>
    </row>
    <row r="330" spans="1:58" ht="50.25" customHeight="1" x14ac:dyDescent="0.25">
      <c r="A330" s="8" t="s">
        <v>5</v>
      </c>
      <c r="B330" s="1" t="s">
        <v>0</v>
      </c>
      <c r="C330" s="1" t="s">
        <v>1</v>
      </c>
      <c r="D330" s="1" t="s">
        <v>4277</v>
      </c>
      <c r="E330" s="1" t="s">
        <v>4278</v>
      </c>
      <c r="F330" s="1" t="s">
        <v>4279</v>
      </c>
      <c r="H330" s="2" t="s">
        <v>5</v>
      </c>
      <c r="I330" s="2" t="s">
        <v>770</v>
      </c>
      <c r="J330" s="2" t="s">
        <v>90</v>
      </c>
      <c r="K330" s="2" t="s">
        <v>5</v>
      </c>
      <c r="L330" s="2" t="s">
        <v>1891</v>
      </c>
      <c r="N330" s="1" t="s">
        <v>4280</v>
      </c>
      <c r="O330" s="2" t="s">
        <v>125</v>
      </c>
      <c r="Q330" s="2" t="s">
        <v>10</v>
      </c>
      <c r="R330" s="2" t="s">
        <v>405</v>
      </c>
      <c r="T330" s="2" t="s">
        <v>12</v>
      </c>
      <c r="U330" s="3">
        <v>6</v>
      </c>
      <c r="V330" s="3">
        <v>82</v>
      </c>
      <c r="W330" s="4" t="s">
        <v>554</v>
      </c>
      <c r="X330" s="4" t="s">
        <v>554</v>
      </c>
      <c r="Y330" s="4" t="s">
        <v>4283</v>
      </c>
      <c r="Z330" s="4" t="s">
        <v>4283</v>
      </c>
      <c r="AA330" s="3">
        <v>232</v>
      </c>
      <c r="AB330" s="3">
        <v>207</v>
      </c>
      <c r="AC330" s="3">
        <v>1634</v>
      </c>
      <c r="AD330" s="3">
        <v>1</v>
      </c>
      <c r="AE330" s="3">
        <v>8</v>
      </c>
      <c r="AF330" s="3">
        <v>9</v>
      </c>
      <c r="AG330" s="3">
        <v>47</v>
      </c>
      <c r="AH330" s="3">
        <v>1</v>
      </c>
      <c r="AI330" s="3">
        <v>18</v>
      </c>
      <c r="AJ330" s="3">
        <v>4</v>
      </c>
      <c r="AK330" s="3">
        <v>10</v>
      </c>
      <c r="AL330" s="3">
        <v>6</v>
      </c>
      <c r="AM330" s="3">
        <v>20</v>
      </c>
      <c r="AN330" s="3">
        <v>0</v>
      </c>
      <c r="AO330" s="3">
        <v>5</v>
      </c>
      <c r="AP330" s="3">
        <v>1</v>
      </c>
      <c r="AQ330" s="3">
        <v>2</v>
      </c>
      <c r="AR330" s="2" t="s">
        <v>5</v>
      </c>
      <c r="AS330" s="2" t="s">
        <v>5</v>
      </c>
      <c r="AU330" s="5" t="str">
        <f>HYPERLINK("https://creighton-primo.hosted.exlibrisgroup.com/primo-explore/search?tab=default_tab&amp;search_scope=EVERYTHING&amp;vid=01CRU&amp;lang=en_US&amp;offset=0&amp;query=any,contains,991001552319702656","Catalog Record")</f>
        <v>Catalog Record</v>
      </c>
      <c r="AV330" s="5" t="str">
        <f>HYPERLINK("http://www.worldcat.org/oclc/33972095","WorldCat Record")</f>
        <v>WorldCat Record</v>
      </c>
      <c r="AW330" s="2" t="s">
        <v>4284</v>
      </c>
      <c r="AX330" s="2" t="s">
        <v>4285</v>
      </c>
      <c r="AY330" s="2" t="s">
        <v>4286</v>
      </c>
      <c r="AZ330" s="2" t="s">
        <v>4286</v>
      </c>
      <c r="BA330" s="2" t="s">
        <v>4287</v>
      </c>
      <c r="BB330" s="2" t="s">
        <v>19</v>
      </c>
      <c r="BD330" s="2" t="s">
        <v>4288</v>
      </c>
      <c r="BE330" s="2" t="s">
        <v>4291</v>
      </c>
      <c r="BF330" s="2" t="s">
        <v>4292</v>
      </c>
    </row>
    <row r="331" spans="1:58" ht="50.25" customHeight="1" x14ac:dyDescent="0.25">
      <c r="A331" s="8" t="s">
        <v>5</v>
      </c>
      <c r="B331" s="1" t="s">
        <v>0</v>
      </c>
      <c r="C331" s="1" t="s">
        <v>1</v>
      </c>
      <c r="D331" s="1" t="s">
        <v>4293</v>
      </c>
      <c r="E331" s="1" t="s">
        <v>4294</v>
      </c>
      <c r="F331" s="1" t="s">
        <v>4295</v>
      </c>
      <c r="H331" s="2" t="s">
        <v>5</v>
      </c>
      <c r="I331" s="2" t="s">
        <v>6</v>
      </c>
      <c r="J331" s="2" t="s">
        <v>90</v>
      </c>
      <c r="K331" s="2" t="s">
        <v>5</v>
      </c>
      <c r="L331" s="2" t="s">
        <v>7</v>
      </c>
      <c r="M331" s="1" t="s">
        <v>4296</v>
      </c>
      <c r="N331" s="1" t="s">
        <v>4297</v>
      </c>
      <c r="O331" s="2" t="s">
        <v>125</v>
      </c>
      <c r="Q331" s="2" t="s">
        <v>10</v>
      </c>
      <c r="R331" s="2" t="s">
        <v>11</v>
      </c>
      <c r="T331" s="2" t="s">
        <v>12</v>
      </c>
      <c r="U331" s="3">
        <v>2</v>
      </c>
      <c r="V331" s="3">
        <v>2</v>
      </c>
      <c r="W331" s="4" t="s">
        <v>4298</v>
      </c>
      <c r="X331" s="4" t="s">
        <v>4298</v>
      </c>
      <c r="Y331" s="4" t="s">
        <v>4299</v>
      </c>
      <c r="Z331" s="4" t="s">
        <v>4300</v>
      </c>
      <c r="AA331" s="3">
        <v>442</v>
      </c>
      <c r="AB331" s="3">
        <v>364</v>
      </c>
      <c r="AC331" s="3">
        <v>365</v>
      </c>
      <c r="AD331" s="3">
        <v>3</v>
      </c>
      <c r="AE331" s="3">
        <v>3</v>
      </c>
      <c r="AF331" s="3">
        <v>24</v>
      </c>
      <c r="AG331" s="3">
        <v>24</v>
      </c>
      <c r="AH331" s="3">
        <v>4</v>
      </c>
      <c r="AI331" s="3">
        <v>4</v>
      </c>
      <c r="AJ331" s="3">
        <v>5</v>
      </c>
      <c r="AK331" s="3">
        <v>5</v>
      </c>
      <c r="AL331" s="3">
        <v>11</v>
      </c>
      <c r="AM331" s="3">
        <v>11</v>
      </c>
      <c r="AN331" s="3">
        <v>1</v>
      </c>
      <c r="AO331" s="3">
        <v>1</v>
      </c>
      <c r="AP331" s="3">
        <v>8</v>
      </c>
      <c r="AQ331" s="3">
        <v>8</v>
      </c>
      <c r="AR331" s="2" t="s">
        <v>5</v>
      </c>
      <c r="AS331" s="2" t="s">
        <v>5</v>
      </c>
      <c r="AU331" s="5" t="str">
        <f>HYPERLINK("https://creighton-primo.hosted.exlibrisgroup.com/primo-explore/search?tab=default_tab&amp;search_scope=EVERYTHING&amp;vid=01CRU&amp;lang=en_US&amp;offset=0&amp;query=any,contains,991001669819702656","Catalog Record")</f>
        <v>Catalog Record</v>
      </c>
      <c r="AV331" s="5" t="str">
        <f>HYPERLINK("http://www.worldcat.org/oclc/33818132","WorldCat Record")</f>
        <v>WorldCat Record</v>
      </c>
      <c r="AW331" s="2" t="s">
        <v>4301</v>
      </c>
      <c r="AX331" s="2" t="s">
        <v>4302</v>
      </c>
      <c r="AY331" s="2" t="s">
        <v>4303</v>
      </c>
      <c r="AZ331" s="2" t="s">
        <v>4303</v>
      </c>
      <c r="BA331" s="2" t="s">
        <v>4304</v>
      </c>
      <c r="BB331" s="2" t="s">
        <v>19</v>
      </c>
      <c r="BD331" s="2" t="s">
        <v>4305</v>
      </c>
      <c r="BE331" s="2" t="s">
        <v>4306</v>
      </c>
      <c r="BF331" s="2" t="s">
        <v>4307</v>
      </c>
    </row>
    <row r="332" spans="1:58" ht="50.25" customHeight="1" x14ac:dyDescent="0.25">
      <c r="A332" s="8" t="s">
        <v>5</v>
      </c>
      <c r="B332" s="1" t="s">
        <v>0</v>
      </c>
      <c r="C332" s="1" t="s">
        <v>1</v>
      </c>
      <c r="D332" s="1" t="s">
        <v>4308</v>
      </c>
      <c r="E332" s="1" t="s">
        <v>4309</v>
      </c>
      <c r="F332" s="1" t="s">
        <v>4310</v>
      </c>
      <c r="H332" s="2" t="s">
        <v>5</v>
      </c>
      <c r="I332" s="2" t="s">
        <v>6</v>
      </c>
      <c r="J332" s="2" t="s">
        <v>5</v>
      </c>
      <c r="K332" s="2" t="s">
        <v>5</v>
      </c>
      <c r="L332" s="2" t="s">
        <v>7</v>
      </c>
      <c r="N332" s="1" t="s">
        <v>2364</v>
      </c>
      <c r="O332" s="2" t="s">
        <v>389</v>
      </c>
      <c r="Q332" s="2" t="s">
        <v>10</v>
      </c>
      <c r="R332" s="2" t="s">
        <v>11</v>
      </c>
      <c r="T332" s="2" t="s">
        <v>12</v>
      </c>
      <c r="U332" s="3">
        <v>1</v>
      </c>
      <c r="V332" s="3">
        <v>1</v>
      </c>
      <c r="W332" s="4" t="s">
        <v>2325</v>
      </c>
      <c r="X332" s="4" t="s">
        <v>2325</v>
      </c>
      <c r="Y332" s="4" t="s">
        <v>1702</v>
      </c>
      <c r="Z332" s="4" t="s">
        <v>1702</v>
      </c>
      <c r="AA332" s="3">
        <v>127</v>
      </c>
      <c r="AB332" s="3">
        <v>106</v>
      </c>
      <c r="AC332" s="3">
        <v>134</v>
      </c>
      <c r="AD332" s="3">
        <v>1</v>
      </c>
      <c r="AE332" s="3">
        <v>1</v>
      </c>
      <c r="AF332" s="3">
        <v>2</v>
      </c>
      <c r="AG332" s="3">
        <v>2</v>
      </c>
      <c r="AH332" s="3">
        <v>0</v>
      </c>
      <c r="AI332" s="3">
        <v>0</v>
      </c>
      <c r="AJ332" s="3">
        <v>0</v>
      </c>
      <c r="AK332" s="3">
        <v>0</v>
      </c>
      <c r="AL332" s="3">
        <v>2</v>
      </c>
      <c r="AM332" s="3">
        <v>2</v>
      </c>
      <c r="AN332" s="3">
        <v>0</v>
      </c>
      <c r="AO332" s="3">
        <v>0</v>
      </c>
      <c r="AP332" s="3">
        <v>0</v>
      </c>
      <c r="AQ332" s="3">
        <v>0</v>
      </c>
      <c r="AR332" s="2" t="s">
        <v>5</v>
      </c>
      <c r="AS332" s="2" t="s">
        <v>5</v>
      </c>
      <c r="AU332" s="5" t="str">
        <f>HYPERLINK("https://creighton-primo.hosted.exlibrisgroup.com/primo-explore/search?tab=default_tab&amp;search_scope=EVERYTHING&amp;vid=01CRU&amp;lang=en_US&amp;offset=0&amp;query=any,contains,991000372689702656","Catalog Record")</f>
        <v>Catalog Record</v>
      </c>
      <c r="AV332" s="5" t="str">
        <f>HYPERLINK("http://www.worldcat.org/oclc/51258806","WorldCat Record")</f>
        <v>WorldCat Record</v>
      </c>
      <c r="AW332" s="2" t="s">
        <v>4311</v>
      </c>
      <c r="AX332" s="2" t="s">
        <v>4312</v>
      </c>
      <c r="AY332" s="2" t="s">
        <v>4313</v>
      </c>
      <c r="AZ332" s="2" t="s">
        <v>4313</v>
      </c>
      <c r="BA332" s="2" t="s">
        <v>4314</v>
      </c>
      <c r="BB332" s="2" t="s">
        <v>19</v>
      </c>
      <c r="BD332" s="2" t="s">
        <v>4315</v>
      </c>
      <c r="BE332" s="2" t="s">
        <v>4316</v>
      </c>
      <c r="BF332" s="2" t="s">
        <v>4317</v>
      </c>
    </row>
    <row r="333" spans="1:58" ht="50.25" customHeight="1" x14ac:dyDescent="0.25">
      <c r="A333" s="8" t="s">
        <v>5</v>
      </c>
      <c r="B333" s="1" t="s">
        <v>0</v>
      </c>
      <c r="C333" s="1" t="s">
        <v>1</v>
      </c>
      <c r="D333" s="1" t="s">
        <v>4318</v>
      </c>
      <c r="E333" s="1" t="s">
        <v>4319</v>
      </c>
      <c r="F333" s="1" t="s">
        <v>4320</v>
      </c>
      <c r="H333" s="2" t="s">
        <v>5</v>
      </c>
      <c r="I333" s="2" t="s">
        <v>6</v>
      </c>
      <c r="J333" s="2" t="s">
        <v>5</v>
      </c>
      <c r="K333" s="2" t="s">
        <v>5</v>
      </c>
      <c r="L333" s="2" t="s">
        <v>7</v>
      </c>
      <c r="M333" s="1" t="s">
        <v>4321</v>
      </c>
      <c r="N333" s="1" t="s">
        <v>4322</v>
      </c>
      <c r="O333" s="2" t="s">
        <v>155</v>
      </c>
      <c r="Q333" s="2" t="s">
        <v>10</v>
      </c>
      <c r="R333" s="2" t="s">
        <v>11</v>
      </c>
      <c r="T333" s="2" t="s">
        <v>12</v>
      </c>
      <c r="U333" s="3">
        <v>3</v>
      </c>
      <c r="V333" s="3">
        <v>3</v>
      </c>
      <c r="W333" s="4" t="s">
        <v>4323</v>
      </c>
      <c r="X333" s="4" t="s">
        <v>4323</v>
      </c>
      <c r="Y333" s="4" t="s">
        <v>4324</v>
      </c>
      <c r="Z333" s="4" t="s">
        <v>4324</v>
      </c>
      <c r="AA333" s="3">
        <v>389</v>
      </c>
      <c r="AB333" s="3">
        <v>327</v>
      </c>
      <c r="AC333" s="3">
        <v>334</v>
      </c>
      <c r="AD333" s="3">
        <v>3</v>
      </c>
      <c r="AE333" s="3">
        <v>3</v>
      </c>
      <c r="AF333" s="3">
        <v>25</v>
      </c>
      <c r="AG333" s="3">
        <v>25</v>
      </c>
      <c r="AH333" s="3">
        <v>2</v>
      </c>
      <c r="AI333" s="3">
        <v>2</v>
      </c>
      <c r="AJ333" s="3">
        <v>6</v>
      </c>
      <c r="AK333" s="3">
        <v>6</v>
      </c>
      <c r="AL333" s="3">
        <v>9</v>
      </c>
      <c r="AM333" s="3">
        <v>9</v>
      </c>
      <c r="AN333" s="3">
        <v>1</v>
      </c>
      <c r="AO333" s="3">
        <v>1</v>
      </c>
      <c r="AP333" s="3">
        <v>12</v>
      </c>
      <c r="AQ333" s="3">
        <v>12</v>
      </c>
      <c r="AR333" s="2" t="s">
        <v>5</v>
      </c>
      <c r="AS333" s="2" t="s">
        <v>90</v>
      </c>
      <c r="AT333" s="5" t="str">
        <f>HYPERLINK("http://catalog.hathitrust.org/Record/003118326","HathiTrust Record")</f>
        <v>HathiTrust Record</v>
      </c>
      <c r="AU333" s="5" t="str">
        <f>HYPERLINK("https://creighton-primo.hosted.exlibrisgroup.com/primo-explore/search?tab=default_tab&amp;search_scope=EVERYTHING&amp;vid=01CRU&amp;lang=en_US&amp;offset=0&amp;query=any,contains,991001140299702656","Catalog Record")</f>
        <v>Catalog Record</v>
      </c>
      <c r="AV333" s="5" t="str">
        <f>HYPERLINK("http://www.worldcat.org/oclc/34894442","WorldCat Record")</f>
        <v>WorldCat Record</v>
      </c>
      <c r="AW333" s="2" t="s">
        <v>4325</v>
      </c>
      <c r="AX333" s="2" t="s">
        <v>4326</v>
      </c>
      <c r="AY333" s="2" t="s">
        <v>4327</v>
      </c>
      <c r="AZ333" s="2" t="s">
        <v>4327</v>
      </c>
      <c r="BA333" s="2" t="s">
        <v>4328</v>
      </c>
      <c r="BB333" s="2" t="s">
        <v>19</v>
      </c>
      <c r="BD333" s="2" t="s">
        <v>4329</v>
      </c>
      <c r="BE333" s="2" t="s">
        <v>4330</v>
      </c>
      <c r="BF333" s="2" t="s">
        <v>4331</v>
      </c>
    </row>
    <row r="334" spans="1:58" ht="50.25" customHeight="1" x14ac:dyDescent="0.25">
      <c r="A334" s="8" t="s">
        <v>5</v>
      </c>
      <c r="B334" s="1" t="s">
        <v>0</v>
      </c>
      <c r="C334" s="1" t="s">
        <v>1</v>
      </c>
      <c r="D334" s="1" t="s">
        <v>4332</v>
      </c>
      <c r="E334" s="1" t="s">
        <v>4333</v>
      </c>
      <c r="F334" s="1" t="s">
        <v>4334</v>
      </c>
      <c r="H334" s="2" t="s">
        <v>5</v>
      </c>
      <c r="I334" s="2" t="s">
        <v>6</v>
      </c>
      <c r="J334" s="2" t="s">
        <v>5</v>
      </c>
      <c r="K334" s="2" t="s">
        <v>5</v>
      </c>
      <c r="L334" s="2" t="s">
        <v>7</v>
      </c>
      <c r="M334" s="1" t="s">
        <v>4335</v>
      </c>
      <c r="N334" s="1" t="s">
        <v>4336</v>
      </c>
      <c r="O334" s="2" t="s">
        <v>389</v>
      </c>
      <c r="P334" s="1" t="s">
        <v>4337</v>
      </c>
      <c r="Q334" s="2" t="s">
        <v>10</v>
      </c>
      <c r="R334" s="2" t="s">
        <v>184</v>
      </c>
      <c r="T334" s="2" t="s">
        <v>12</v>
      </c>
      <c r="U334" s="3">
        <v>1</v>
      </c>
      <c r="V334" s="3">
        <v>1</v>
      </c>
      <c r="W334" s="4" t="s">
        <v>4338</v>
      </c>
      <c r="X334" s="4" t="s">
        <v>4338</v>
      </c>
      <c r="Y334" s="4" t="s">
        <v>4339</v>
      </c>
      <c r="Z334" s="4" t="s">
        <v>4339</v>
      </c>
      <c r="AA334" s="3">
        <v>11</v>
      </c>
      <c r="AB334" s="3">
        <v>11</v>
      </c>
      <c r="AC334" s="3">
        <v>51</v>
      </c>
      <c r="AD334" s="3">
        <v>1</v>
      </c>
      <c r="AE334" s="3">
        <v>1</v>
      </c>
      <c r="AF334" s="3">
        <v>0</v>
      </c>
      <c r="AG334" s="3">
        <v>5</v>
      </c>
      <c r="AH334" s="3">
        <v>0</v>
      </c>
      <c r="AI334" s="3">
        <v>1</v>
      </c>
      <c r="AJ334" s="3">
        <v>0</v>
      </c>
      <c r="AK334" s="3">
        <v>1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3</v>
      </c>
      <c r="AR334" s="2" t="s">
        <v>5</v>
      </c>
      <c r="AS334" s="2" t="s">
        <v>5</v>
      </c>
      <c r="AU334" s="5" t="str">
        <f>HYPERLINK("https://creighton-primo.hosted.exlibrisgroup.com/primo-explore/search?tab=default_tab&amp;search_scope=EVERYTHING&amp;vid=01CRU&amp;lang=en_US&amp;offset=0&amp;query=any,contains,991000316789702656","Catalog Record")</f>
        <v>Catalog Record</v>
      </c>
      <c r="AV334" s="5" t="str">
        <f>HYPERLINK("http://www.worldcat.org/oclc/49747800","WorldCat Record")</f>
        <v>WorldCat Record</v>
      </c>
      <c r="AW334" s="2" t="s">
        <v>4340</v>
      </c>
      <c r="AX334" s="2" t="s">
        <v>4341</v>
      </c>
      <c r="AY334" s="2" t="s">
        <v>4342</v>
      </c>
      <c r="AZ334" s="2" t="s">
        <v>4342</v>
      </c>
      <c r="BA334" s="2" t="s">
        <v>4343</v>
      </c>
      <c r="BB334" s="2" t="s">
        <v>19</v>
      </c>
      <c r="BD334" s="2" t="s">
        <v>4344</v>
      </c>
      <c r="BE334" s="2" t="s">
        <v>4345</v>
      </c>
      <c r="BF334" s="2" t="s">
        <v>4346</v>
      </c>
    </row>
    <row r="335" spans="1:58" ht="50.25" customHeight="1" x14ac:dyDescent="0.25">
      <c r="A335" s="8" t="s">
        <v>5</v>
      </c>
      <c r="B335" s="1" t="s">
        <v>0</v>
      </c>
      <c r="C335" s="1" t="s">
        <v>1</v>
      </c>
      <c r="D335" s="1" t="s">
        <v>4347</v>
      </c>
      <c r="E335" s="1" t="s">
        <v>4348</v>
      </c>
      <c r="F335" s="1" t="s">
        <v>4349</v>
      </c>
      <c r="H335" s="2" t="s">
        <v>5</v>
      </c>
      <c r="I335" s="2" t="s">
        <v>6</v>
      </c>
      <c r="J335" s="2" t="s">
        <v>5</v>
      </c>
      <c r="K335" s="2" t="s">
        <v>5</v>
      </c>
      <c r="L335" s="2" t="s">
        <v>7</v>
      </c>
      <c r="M335" s="1" t="s">
        <v>4350</v>
      </c>
      <c r="N335" s="1" t="s">
        <v>4351</v>
      </c>
      <c r="O335" s="2" t="s">
        <v>349</v>
      </c>
      <c r="P335" s="1" t="s">
        <v>4352</v>
      </c>
      <c r="Q335" s="2" t="s">
        <v>10</v>
      </c>
      <c r="R335" s="2" t="s">
        <v>61</v>
      </c>
      <c r="T335" s="2" t="s">
        <v>12</v>
      </c>
      <c r="U335" s="3">
        <v>7</v>
      </c>
      <c r="V335" s="3">
        <v>7</v>
      </c>
      <c r="W335" s="4" t="s">
        <v>4353</v>
      </c>
      <c r="X335" s="4" t="s">
        <v>4353</v>
      </c>
      <c r="Y335" s="4" t="s">
        <v>4354</v>
      </c>
      <c r="Z335" s="4" t="s">
        <v>4354</v>
      </c>
      <c r="AA335" s="3">
        <v>185</v>
      </c>
      <c r="AB335" s="3">
        <v>169</v>
      </c>
      <c r="AC335" s="3">
        <v>170</v>
      </c>
      <c r="AD335" s="3">
        <v>3</v>
      </c>
      <c r="AE335" s="3">
        <v>3</v>
      </c>
      <c r="AF335" s="3">
        <v>13</v>
      </c>
      <c r="AG335" s="3">
        <v>13</v>
      </c>
      <c r="AH335" s="3">
        <v>4</v>
      </c>
      <c r="AI335" s="3">
        <v>4</v>
      </c>
      <c r="AJ335" s="3">
        <v>5</v>
      </c>
      <c r="AK335" s="3">
        <v>5</v>
      </c>
      <c r="AL335" s="3">
        <v>5</v>
      </c>
      <c r="AM335" s="3">
        <v>5</v>
      </c>
      <c r="AN335" s="3">
        <v>2</v>
      </c>
      <c r="AO335" s="3">
        <v>2</v>
      </c>
      <c r="AP335" s="3">
        <v>0</v>
      </c>
      <c r="AQ335" s="3">
        <v>0</v>
      </c>
      <c r="AR335" s="2" t="s">
        <v>5</v>
      </c>
      <c r="AS335" s="2" t="s">
        <v>5</v>
      </c>
      <c r="AU335" s="5" t="str">
        <f>HYPERLINK("https://creighton-primo.hosted.exlibrisgroup.com/primo-explore/search?tab=default_tab&amp;search_scope=EVERYTHING&amp;vid=01CRU&amp;lang=en_US&amp;offset=0&amp;query=any,contains,991000378289702656","Catalog Record")</f>
        <v>Catalog Record</v>
      </c>
      <c r="AV335" s="5" t="str">
        <f>HYPERLINK("http://www.worldcat.org/oclc/45630562","WorldCat Record")</f>
        <v>WorldCat Record</v>
      </c>
      <c r="AW335" s="2" t="s">
        <v>4355</v>
      </c>
      <c r="AX335" s="2" t="s">
        <v>4356</v>
      </c>
      <c r="AY335" s="2" t="s">
        <v>4357</v>
      </c>
      <c r="AZ335" s="2" t="s">
        <v>4357</v>
      </c>
      <c r="BA335" s="2" t="s">
        <v>4358</v>
      </c>
      <c r="BB335" s="2" t="s">
        <v>19</v>
      </c>
      <c r="BD335" s="2" t="s">
        <v>4359</v>
      </c>
      <c r="BE335" s="2" t="s">
        <v>4360</v>
      </c>
      <c r="BF335" s="2" t="s">
        <v>4361</v>
      </c>
    </row>
    <row r="336" spans="1:58" ht="50.25" customHeight="1" x14ac:dyDescent="0.25">
      <c r="A336" s="8" t="s">
        <v>5</v>
      </c>
      <c r="B336" s="1" t="s">
        <v>0</v>
      </c>
      <c r="C336" s="1" t="s">
        <v>1</v>
      </c>
      <c r="D336" s="1" t="s">
        <v>4362</v>
      </c>
      <c r="E336" s="1" t="s">
        <v>4363</v>
      </c>
      <c r="F336" s="1" t="s">
        <v>4364</v>
      </c>
      <c r="H336" s="2" t="s">
        <v>5</v>
      </c>
      <c r="I336" s="2" t="s">
        <v>6</v>
      </c>
      <c r="J336" s="2" t="s">
        <v>5</v>
      </c>
      <c r="K336" s="2" t="s">
        <v>90</v>
      </c>
      <c r="L336" s="2" t="s">
        <v>6</v>
      </c>
      <c r="N336" s="1" t="s">
        <v>4365</v>
      </c>
      <c r="O336" s="2" t="s">
        <v>3003</v>
      </c>
      <c r="Q336" s="2" t="s">
        <v>10</v>
      </c>
      <c r="R336" s="2" t="s">
        <v>29</v>
      </c>
      <c r="S336" s="1" t="s">
        <v>4366</v>
      </c>
      <c r="T336" s="2" t="s">
        <v>12</v>
      </c>
      <c r="U336" s="3">
        <v>5</v>
      </c>
      <c r="V336" s="3">
        <v>5</v>
      </c>
      <c r="W336" s="4" t="s">
        <v>4367</v>
      </c>
      <c r="X336" s="4" t="s">
        <v>4367</v>
      </c>
      <c r="Y336" s="4" t="s">
        <v>889</v>
      </c>
      <c r="Z336" s="4" t="s">
        <v>889</v>
      </c>
      <c r="AA336" s="3">
        <v>288</v>
      </c>
      <c r="AB336" s="3">
        <v>245</v>
      </c>
      <c r="AC336" s="3">
        <v>550</v>
      </c>
      <c r="AD336" s="3">
        <v>2</v>
      </c>
      <c r="AE336" s="3">
        <v>4</v>
      </c>
      <c r="AF336" s="3">
        <v>10</v>
      </c>
      <c r="AG336" s="3">
        <v>26</v>
      </c>
      <c r="AH336" s="3">
        <v>3</v>
      </c>
      <c r="AI336" s="3">
        <v>9</v>
      </c>
      <c r="AJ336" s="3">
        <v>3</v>
      </c>
      <c r="AK336" s="3">
        <v>6</v>
      </c>
      <c r="AL336" s="3">
        <v>6</v>
      </c>
      <c r="AM336" s="3">
        <v>12</v>
      </c>
      <c r="AN336" s="3">
        <v>1</v>
      </c>
      <c r="AO336" s="3">
        <v>3</v>
      </c>
      <c r="AP336" s="3">
        <v>0</v>
      </c>
      <c r="AQ336" s="3">
        <v>2</v>
      </c>
      <c r="AR336" s="2" t="s">
        <v>5</v>
      </c>
      <c r="AS336" s="2" t="s">
        <v>90</v>
      </c>
      <c r="AT336" s="5" t="str">
        <f>HYPERLINK("http://catalog.hathitrust.org/Record/000561535","HathiTrust Record")</f>
        <v>HathiTrust Record</v>
      </c>
      <c r="AU336" s="5" t="str">
        <f>HYPERLINK("https://creighton-primo.hosted.exlibrisgroup.com/primo-explore/search?tab=default_tab&amp;search_scope=EVERYTHING&amp;vid=01CRU&amp;lang=en_US&amp;offset=0&amp;query=any,contains,991000728119702656","Catalog Record")</f>
        <v>Catalog Record</v>
      </c>
      <c r="AV336" s="5" t="str">
        <f>HYPERLINK("http://www.worldcat.org/oclc/10277393","WorldCat Record")</f>
        <v>WorldCat Record</v>
      </c>
      <c r="AW336" s="2" t="s">
        <v>4368</v>
      </c>
      <c r="AX336" s="2" t="s">
        <v>4369</v>
      </c>
      <c r="AY336" s="2" t="s">
        <v>4370</v>
      </c>
      <c r="AZ336" s="2" t="s">
        <v>4370</v>
      </c>
      <c r="BA336" s="2" t="s">
        <v>4371</v>
      </c>
      <c r="BB336" s="2" t="s">
        <v>19</v>
      </c>
      <c r="BD336" s="2" t="s">
        <v>4372</v>
      </c>
      <c r="BE336" s="2" t="s">
        <v>4373</v>
      </c>
      <c r="BF336" s="2" t="s">
        <v>4374</v>
      </c>
    </row>
    <row r="337" spans="1:58" ht="50.25" customHeight="1" x14ac:dyDescent="0.25">
      <c r="A337" s="8" t="s">
        <v>5</v>
      </c>
      <c r="B337" s="1" t="s">
        <v>0</v>
      </c>
      <c r="C337" s="1" t="s">
        <v>1</v>
      </c>
      <c r="D337" s="1" t="s">
        <v>4375</v>
      </c>
      <c r="E337" s="1" t="s">
        <v>4376</v>
      </c>
      <c r="F337" s="1" t="s">
        <v>4364</v>
      </c>
      <c r="H337" s="2" t="s">
        <v>5</v>
      </c>
      <c r="I337" s="2" t="s">
        <v>6</v>
      </c>
      <c r="J337" s="2" t="s">
        <v>5</v>
      </c>
      <c r="K337" s="2" t="s">
        <v>90</v>
      </c>
      <c r="L337" s="2" t="s">
        <v>6</v>
      </c>
      <c r="N337" s="1" t="s">
        <v>4377</v>
      </c>
      <c r="O337" s="2" t="s">
        <v>155</v>
      </c>
      <c r="P337" s="1" t="s">
        <v>404</v>
      </c>
      <c r="Q337" s="2" t="s">
        <v>10</v>
      </c>
      <c r="R337" s="2" t="s">
        <v>11</v>
      </c>
      <c r="S337" s="1" t="s">
        <v>4378</v>
      </c>
      <c r="T337" s="2" t="s">
        <v>12</v>
      </c>
      <c r="U337" s="3">
        <v>11</v>
      </c>
      <c r="V337" s="3">
        <v>11</v>
      </c>
      <c r="W337" s="4" t="s">
        <v>4379</v>
      </c>
      <c r="X337" s="4" t="s">
        <v>4379</v>
      </c>
      <c r="Y337" s="4" t="s">
        <v>4164</v>
      </c>
      <c r="Z337" s="4" t="s">
        <v>4164</v>
      </c>
      <c r="AA337" s="3">
        <v>207</v>
      </c>
      <c r="AB337" s="3">
        <v>182</v>
      </c>
      <c r="AC337" s="3">
        <v>550</v>
      </c>
      <c r="AD337" s="3">
        <v>2</v>
      </c>
      <c r="AE337" s="3">
        <v>4</v>
      </c>
      <c r="AF337" s="3">
        <v>10</v>
      </c>
      <c r="AG337" s="3">
        <v>26</v>
      </c>
      <c r="AH337" s="3">
        <v>4</v>
      </c>
      <c r="AI337" s="3">
        <v>9</v>
      </c>
      <c r="AJ337" s="3">
        <v>0</v>
      </c>
      <c r="AK337" s="3">
        <v>6</v>
      </c>
      <c r="AL337" s="3">
        <v>4</v>
      </c>
      <c r="AM337" s="3">
        <v>12</v>
      </c>
      <c r="AN337" s="3">
        <v>1</v>
      </c>
      <c r="AO337" s="3">
        <v>3</v>
      </c>
      <c r="AP337" s="3">
        <v>2</v>
      </c>
      <c r="AQ337" s="3">
        <v>2</v>
      </c>
      <c r="AR337" s="2" t="s">
        <v>5</v>
      </c>
      <c r="AS337" s="2" t="s">
        <v>5</v>
      </c>
      <c r="AU337" s="5" t="str">
        <f>HYPERLINK("https://creighton-primo.hosted.exlibrisgroup.com/primo-explore/search?tab=default_tab&amp;search_scope=EVERYTHING&amp;vid=01CRU&amp;lang=en_US&amp;offset=0&amp;query=any,contains,991000291869702656","Catalog Record")</f>
        <v>Catalog Record</v>
      </c>
      <c r="AV337" s="5" t="str">
        <f>HYPERLINK("http://www.worldcat.org/oclc/35815197","WorldCat Record")</f>
        <v>WorldCat Record</v>
      </c>
      <c r="AW337" s="2" t="s">
        <v>4368</v>
      </c>
      <c r="AX337" s="2" t="s">
        <v>4380</v>
      </c>
      <c r="AY337" s="2" t="s">
        <v>4381</v>
      </c>
      <c r="AZ337" s="2" t="s">
        <v>4381</v>
      </c>
      <c r="BA337" s="2" t="s">
        <v>4382</v>
      </c>
      <c r="BB337" s="2" t="s">
        <v>19</v>
      </c>
      <c r="BD337" s="2" t="s">
        <v>4383</v>
      </c>
      <c r="BE337" s="2" t="s">
        <v>4384</v>
      </c>
      <c r="BF337" s="2" t="s">
        <v>4385</v>
      </c>
    </row>
    <row r="338" spans="1:58" ht="50.25" customHeight="1" x14ac:dyDescent="0.25">
      <c r="A338" s="8" t="s">
        <v>5</v>
      </c>
      <c r="B338" s="1" t="s">
        <v>0</v>
      </c>
      <c r="C338" s="1" t="s">
        <v>1</v>
      </c>
      <c r="D338" s="1" t="s">
        <v>4386</v>
      </c>
      <c r="E338" s="1" t="s">
        <v>4387</v>
      </c>
      <c r="F338" s="1" t="s">
        <v>4388</v>
      </c>
      <c r="H338" s="2" t="s">
        <v>5</v>
      </c>
      <c r="I338" s="2" t="s">
        <v>6</v>
      </c>
      <c r="J338" s="2" t="s">
        <v>5</v>
      </c>
      <c r="K338" s="2" t="s">
        <v>5</v>
      </c>
      <c r="L338" s="2" t="s">
        <v>770</v>
      </c>
      <c r="M338" s="1" t="s">
        <v>4389</v>
      </c>
      <c r="N338" s="1" t="s">
        <v>4390</v>
      </c>
      <c r="O338" s="2" t="s">
        <v>213</v>
      </c>
      <c r="Q338" s="2" t="s">
        <v>10</v>
      </c>
      <c r="R338" s="2" t="s">
        <v>29</v>
      </c>
      <c r="T338" s="2" t="s">
        <v>12</v>
      </c>
      <c r="U338" s="3">
        <v>1</v>
      </c>
      <c r="V338" s="3">
        <v>1</v>
      </c>
      <c r="W338" s="4" t="s">
        <v>4391</v>
      </c>
      <c r="X338" s="4" t="s">
        <v>4391</v>
      </c>
      <c r="Y338" s="4" t="s">
        <v>4392</v>
      </c>
      <c r="Z338" s="4" t="s">
        <v>4392</v>
      </c>
      <c r="AA338" s="3">
        <v>310</v>
      </c>
      <c r="AB338" s="3">
        <v>298</v>
      </c>
      <c r="AC338" s="3">
        <v>1422</v>
      </c>
      <c r="AD338" s="3">
        <v>3</v>
      </c>
      <c r="AE338" s="3">
        <v>16</v>
      </c>
      <c r="AF338" s="3">
        <v>7</v>
      </c>
      <c r="AG338" s="3">
        <v>46</v>
      </c>
      <c r="AH338" s="3">
        <v>0</v>
      </c>
      <c r="AI338" s="3">
        <v>14</v>
      </c>
      <c r="AJ338" s="3">
        <v>2</v>
      </c>
      <c r="AK338" s="3">
        <v>10</v>
      </c>
      <c r="AL338" s="3">
        <v>4</v>
      </c>
      <c r="AM338" s="3">
        <v>14</v>
      </c>
      <c r="AN338" s="3">
        <v>1</v>
      </c>
      <c r="AO338" s="3">
        <v>13</v>
      </c>
      <c r="AP338" s="3">
        <v>2</v>
      </c>
      <c r="AQ338" s="3">
        <v>3</v>
      </c>
      <c r="AR338" s="2" t="s">
        <v>90</v>
      </c>
      <c r="AS338" s="2" t="s">
        <v>5</v>
      </c>
      <c r="AT338" s="5" t="str">
        <f>HYPERLINK("http://catalog.hathitrust.org/Record/002638552","HathiTrust Record")</f>
        <v>HathiTrust Record</v>
      </c>
      <c r="AU338" s="5" t="str">
        <f>HYPERLINK("https://creighton-primo.hosted.exlibrisgroup.com/primo-explore/search?tab=default_tab&amp;search_scope=EVERYTHING&amp;vid=01CRU&amp;lang=en_US&amp;offset=0&amp;query=any,contains,991000667869702656","Catalog Record")</f>
        <v>Catalog Record</v>
      </c>
      <c r="AV338" s="5" t="str">
        <f>HYPERLINK("http://www.worldcat.org/oclc/28854639","WorldCat Record")</f>
        <v>WorldCat Record</v>
      </c>
      <c r="AW338" s="2" t="s">
        <v>4393</v>
      </c>
      <c r="AX338" s="2" t="s">
        <v>4394</v>
      </c>
      <c r="AY338" s="2" t="s">
        <v>4395</v>
      </c>
      <c r="AZ338" s="2" t="s">
        <v>4395</v>
      </c>
      <c r="BA338" s="2" t="s">
        <v>4396</v>
      </c>
      <c r="BB338" s="2" t="s">
        <v>19</v>
      </c>
      <c r="BD338" s="2" t="s">
        <v>4397</v>
      </c>
      <c r="BE338" s="2" t="s">
        <v>4398</v>
      </c>
      <c r="BF338" s="2" t="s">
        <v>4399</v>
      </c>
    </row>
    <row r="339" spans="1:58" ht="50.25" customHeight="1" x14ac:dyDescent="0.25">
      <c r="A339" s="8" t="s">
        <v>5</v>
      </c>
      <c r="B339" s="1" t="s">
        <v>0</v>
      </c>
      <c r="C339" s="1" t="s">
        <v>1</v>
      </c>
      <c r="D339" s="1" t="s">
        <v>4400</v>
      </c>
      <c r="E339" s="1" t="s">
        <v>4401</v>
      </c>
      <c r="F339" s="1" t="s">
        <v>4402</v>
      </c>
      <c r="H339" s="2" t="s">
        <v>5</v>
      </c>
      <c r="I339" s="2" t="s">
        <v>6</v>
      </c>
      <c r="J339" s="2" t="s">
        <v>5</v>
      </c>
      <c r="K339" s="2" t="s">
        <v>5</v>
      </c>
      <c r="L339" s="2" t="s">
        <v>7</v>
      </c>
      <c r="M339" s="1" t="s">
        <v>4403</v>
      </c>
      <c r="N339" s="1" t="s">
        <v>4404</v>
      </c>
      <c r="O339" s="2" t="s">
        <v>60</v>
      </c>
      <c r="Q339" s="2" t="s">
        <v>10</v>
      </c>
      <c r="R339" s="2" t="s">
        <v>1150</v>
      </c>
      <c r="T339" s="2" t="s">
        <v>12</v>
      </c>
      <c r="U339" s="3">
        <v>1</v>
      </c>
      <c r="V339" s="3">
        <v>1</v>
      </c>
      <c r="W339" s="4" t="s">
        <v>4379</v>
      </c>
      <c r="X339" s="4" t="s">
        <v>4379</v>
      </c>
      <c r="Y339" s="4" t="s">
        <v>4405</v>
      </c>
      <c r="Z339" s="4" t="s">
        <v>4405</v>
      </c>
      <c r="AA339" s="3">
        <v>101</v>
      </c>
      <c r="AB339" s="3">
        <v>90</v>
      </c>
      <c r="AC339" s="3">
        <v>865</v>
      </c>
      <c r="AD339" s="3">
        <v>1</v>
      </c>
      <c r="AE339" s="3">
        <v>29</v>
      </c>
      <c r="AF339" s="3">
        <v>6</v>
      </c>
      <c r="AG339" s="3">
        <v>24</v>
      </c>
      <c r="AH339" s="3">
        <v>1</v>
      </c>
      <c r="AI339" s="3">
        <v>6</v>
      </c>
      <c r="AJ339" s="3">
        <v>2</v>
      </c>
      <c r="AK339" s="3">
        <v>3</v>
      </c>
      <c r="AL339" s="3">
        <v>5</v>
      </c>
      <c r="AM339" s="3">
        <v>8</v>
      </c>
      <c r="AN339" s="3">
        <v>0</v>
      </c>
      <c r="AO339" s="3">
        <v>10</v>
      </c>
      <c r="AP339" s="3">
        <v>0</v>
      </c>
      <c r="AQ339" s="3">
        <v>0</v>
      </c>
      <c r="AR339" s="2" t="s">
        <v>5</v>
      </c>
      <c r="AS339" s="2" t="s">
        <v>90</v>
      </c>
      <c r="AT339" s="5" t="str">
        <f>HYPERLINK("http://catalog.hathitrust.org/Record/004362328","HathiTrust Record")</f>
        <v>HathiTrust Record</v>
      </c>
      <c r="AU339" s="5" t="str">
        <f>HYPERLINK("https://creighton-primo.hosted.exlibrisgroup.com/primo-explore/search?tab=default_tab&amp;search_scope=EVERYTHING&amp;vid=01CRU&amp;lang=en_US&amp;offset=0&amp;query=any,contains,991000406469702656","Catalog Record")</f>
        <v>Catalog Record</v>
      </c>
      <c r="AV339" s="5" t="str">
        <f>HYPERLINK("http://www.worldcat.org/oclc/52623664","WorldCat Record")</f>
        <v>WorldCat Record</v>
      </c>
      <c r="AW339" s="2" t="s">
        <v>4406</v>
      </c>
      <c r="AX339" s="2" t="s">
        <v>4407</v>
      </c>
      <c r="AY339" s="2" t="s">
        <v>4408</v>
      </c>
      <c r="AZ339" s="2" t="s">
        <v>4408</v>
      </c>
      <c r="BA339" s="2" t="s">
        <v>4409</v>
      </c>
      <c r="BB339" s="2" t="s">
        <v>19</v>
      </c>
      <c r="BD339" s="2" t="s">
        <v>4410</v>
      </c>
      <c r="BE339" s="2" t="s">
        <v>4411</v>
      </c>
      <c r="BF339" s="2" t="s">
        <v>4412</v>
      </c>
    </row>
    <row r="340" spans="1:58" ht="50.25" customHeight="1" x14ac:dyDescent="0.25">
      <c r="A340" s="8" t="s">
        <v>5</v>
      </c>
      <c r="B340" s="1" t="s">
        <v>0</v>
      </c>
      <c r="C340" s="1" t="s">
        <v>1</v>
      </c>
      <c r="D340" s="1" t="s">
        <v>4413</v>
      </c>
      <c r="E340" s="1" t="s">
        <v>4414</v>
      </c>
      <c r="F340" s="1" t="s">
        <v>4415</v>
      </c>
      <c r="H340" s="2" t="s">
        <v>5</v>
      </c>
      <c r="I340" s="2" t="s">
        <v>6</v>
      </c>
      <c r="J340" s="2" t="s">
        <v>5</v>
      </c>
      <c r="K340" s="2" t="s">
        <v>5</v>
      </c>
      <c r="L340" s="2" t="s">
        <v>7</v>
      </c>
      <c r="M340" s="1" t="s">
        <v>4416</v>
      </c>
      <c r="N340" s="1" t="s">
        <v>4417</v>
      </c>
      <c r="O340" s="2" t="s">
        <v>680</v>
      </c>
      <c r="Q340" s="2" t="s">
        <v>10</v>
      </c>
      <c r="R340" s="2" t="s">
        <v>11</v>
      </c>
      <c r="T340" s="2" t="s">
        <v>12</v>
      </c>
      <c r="U340" s="3">
        <v>2</v>
      </c>
      <c r="V340" s="3">
        <v>2</v>
      </c>
      <c r="W340" s="4" t="s">
        <v>4418</v>
      </c>
      <c r="X340" s="4" t="s">
        <v>4418</v>
      </c>
      <c r="Y340" s="4" t="s">
        <v>4419</v>
      </c>
      <c r="Z340" s="4" t="s">
        <v>4419</v>
      </c>
      <c r="AA340" s="3">
        <v>494</v>
      </c>
      <c r="AB340" s="3">
        <v>479</v>
      </c>
      <c r="AC340" s="3">
        <v>488</v>
      </c>
      <c r="AD340" s="3">
        <v>1</v>
      </c>
      <c r="AE340" s="3">
        <v>1</v>
      </c>
      <c r="AF340" s="3">
        <v>9</v>
      </c>
      <c r="AG340" s="3">
        <v>9</v>
      </c>
      <c r="AH340" s="3">
        <v>3</v>
      </c>
      <c r="AI340" s="3">
        <v>3</v>
      </c>
      <c r="AJ340" s="3">
        <v>3</v>
      </c>
      <c r="AK340" s="3">
        <v>3</v>
      </c>
      <c r="AL340" s="3">
        <v>4</v>
      </c>
      <c r="AM340" s="3">
        <v>4</v>
      </c>
      <c r="AN340" s="3">
        <v>0</v>
      </c>
      <c r="AO340" s="3">
        <v>0</v>
      </c>
      <c r="AP340" s="3">
        <v>0</v>
      </c>
      <c r="AQ340" s="3">
        <v>0</v>
      </c>
      <c r="AR340" s="2" t="s">
        <v>5</v>
      </c>
      <c r="AS340" s="2" t="s">
        <v>90</v>
      </c>
      <c r="AT340" s="5" t="str">
        <f>HYPERLINK("http://catalog.hathitrust.org/Record/005114433","HathiTrust Record")</f>
        <v>HathiTrust Record</v>
      </c>
      <c r="AU340" s="5" t="str">
        <f>HYPERLINK("https://creighton-primo.hosted.exlibrisgroup.com/primo-explore/search?tab=default_tab&amp;search_scope=EVERYTHING&amp;vid=01CRU&amp;lang=en_US&amp;offset=0&amp;query=any,contains,991001737279702656","Catalog Record")</f>
        <v>Catalog Record</v>
      </c>
      <c r="AV340" s="5" t="str">
        <f>HYPERLINK("http://www.worldcat.org/oclc/62195746","WorldCat Record")</f>
        <v>WorldCat Record</v>
      </c>
      <c r="AW340" s="2" t="s">
        <v>4420</v>
      </c>
      <c r="AX340" s="2" t="s">
        <v>4421</v>
      </c>
      <c r="AY340" s="2" t="s">
        <v>4422</v>
      </c>
      <c r="AZ340" s="2" t="s">
        <v>4422</v>
      </c>
      <c r="BA340" s="2" t="s">
        <v>4423</v>
      </c>
      <c r="BB340" s="2" t="s">
        <v>19</v>
      </c>
      <c r="BD340" s="2" t="s">
        <v>4424</v>
      </c>
      <c r="BE340" s="2" t="s">
        <v>4425</v>
      </c>
      <c r="BF340" s="2" t="s">
        <v>4426</v>
      </c>
    </row>
    <row r="341" spans="1:58" ht="50.25" customHeight="1" x14ac:dyDescent="0.25">
      <c r="A341" s="8" t="s">
        <v>5</v>
      </c>
      <c r="B341" s="1" t="s">
        <v>0</v>
      </c>
      <c r="C341" s="1" t="s">
        <v>1</v>
      </c>
      <c r="D341" s="1" t="s">
        <v>4427</v>
      </c>
      <c r="E341" s="1" t="s">
        <v>4428</v>
      </c>
      <c r="F341" s="1" t="s">
        <v>4429</v>
      </c>
      <c r="H341" s="2" t="s">
        <v>5</v>
      </c>
      <c r="I341" s="2" t="s">
        <v>6</v>
      </c>
      <c r="J341" s="2" t="s">
        <v>5</v>
      </c>
      <c r="K341" s="2" t="s">
        <v>5</v>
      </c>
      <c r="L341" s="2" t="s">
        <v>7</v>
      </c>
      <c r="M341" s="1" t="s">
        <v>4430</v>
      </c>
      <c r="N341" s="1" t="s">
        <v>4431</v>
      </c>
      <c r="O341" s="2" t="s">
        <v>1610</v>
      </c>
      <c r="Q341" s="2" t="s">
        <v>10</v>
      </c>
      <c r="R341" s="2" t="s">
        <v>61</v>
      </c>
      <c r="T341" s="2" t="s">
        <v>12</v>
      </c>
      <c r="U341" s="3">
        <v>7</v>
      </c>
      <c r="V341" s="3">
        <v>7</v>
      </c>
      <c r="W341" s="4" t="s">
        <v>4432</v>
      </c>
      <c r="X341" s="4" t="s">
        <v>4432</v>
      </c>
      <c r="Y341" s="4" t="s">
        <v>4433</v>
      </c>
      <c r="Z341" s="4" t="s">
        <v>4433</v>
      </c>
      <c r="AA341" s="3">
        <v>257</v>
      </c>
      <c r="AB341" s="3">
        <v>206</v>
      </c>
      <c r="AC341" s="3">
        <v>308</v>
      </c>
      <c r="AD341" s="3">
        <v>2</v>
      </c>
      <c r="AE341" s="3">
        <v>2</v>
      </c>
      <c r="AF341" s="3">
        <v>9</v>
      </c>
      <c r="AG341" s="3">
        <v>15</v>
      </c>
      <c r="AH341" s="3">
        <v>2</v>
      </c>
      <c r="AI341" s="3">
        <v>3</v>
      </c>
      <c r="AJ341" s="3">
        <v>2</v>
      </c>
      <c r="AK341" s="3">
        <v>5</v>
      </c>
      <c r="AL341" s="3">
        <v>4</v>
      </c>
      <c r="AM341" s="3">
        <v>8</v>
      </c>
      <c r="AN341" s="3">
        <v>1</v>
      </c>
      <c r="AO341" s="3">
        <v>1</v>
      </c>
      <c r="AP341" s="3">
        <v>1</v>
      </c>
      <c r="AQ341" s="3">
        <v>1</v>
      </c>
      <c r="AR341" s="2" t="s">
        <v>5</v>
      </c>
      <c r="AS341" s="2" t="s">
        <v>5</v>
      </c>
      <c r="AU341" s="5" t="str">
        <f>HYPERLINK("https://creighton-primo.hosted.exlibrisgroup.com/primo-explore/search?tab=default_tab&amp;search_scope=EVERYTHING&amp;vid=01CRU&amp;lang=en_US&amp;offset=0&amp;query=any,contains,991000659309702656","Catalog Record")</f>
        <v>Catalog Record</v>
      </c>
      <c r="AV341" s="5" t="str">
        <f>HYPERLINK("http://www.worldcat.org/oclc/85498715","WorldCat Record")</f>
        <v>WorldCat Record</v>
      </c>
      <c r="AW341" s="2" t="s">
        <v>4434</v>
      </c>
      <c r="AX341" s="2" t="s">
        <v>4435</v>
      </c>
      <c r="AY341" s="2" t="s">
        <v>4436</v>
      </c>
      <c r="AZ341" s="2" t="s">
        <v>4436</v>
      </c>
      <c r="BA341" s="2" t="s">
        <v>4437</v>
      </c>
      <c r="BB341" s="2" t="s">
        <v>19</v>
      </c>
      <c r="BD341" s="2" t="s">
        <v>4438</v>
      </c>
      <c r="BE341" s="2" t="s">
        <v>4439</v>
      </c>
      <c r="BF341" s="2" t="s">
        <v>4440</v>
      </c>
    </row>
    <row r="342" spans="1:58" ht="50.25" customHeight="1" x14ac:dyDescent="0.25">
      <c r="A342" s="8" t="s">
        <v>5</v>
      </c>
      <c r="B342" s="1" t="s">
        <v>0</v>
      </c>
      <c r="C342" s="1" t="s">
        <v>1</v>
      </c>
      <c r="D342" s="1" t="s">
        <v>4441</v>
      </c>
      <c r="E342" s="1" t="s">
        <v>4442</v>
      </c>
      <c r="F342" s="1" t="s">
        <v>4443</v>
      </c>
      <c r="H342" s="2" t="s">
        <v>5</v>
      </c>
      <c r="I342" s="2" t="s">
        <v>6</v>
      </c>
      <c r="J342" s="2" t="s">
        <v>5</v>
      </c>
      <c r="K342" s="2" t="s">
        <v>5</v>
      </c>
      <c r="L342" s="2" t="s">
        <v>7</v>
      </c>
      <c r="M342" s="1" t="s">
        <v>4444</v>
      </c>
      <c r="N342" s="1" t="s">
        <v>4445</v>
      </c>
      <c r="O342" s="2" t="s">
        <v>2950</v>
      </c>
      <c r="Q342" s="2" t="s">
        <v>10</v>
      </c>
      <c r="R342" s="2" t="s">
        <v>29</v>
      </c>
      <c r="T342" s="2" t="s">
        <v>12</v>
      </c>
      <c r="U342" s="3">
        <v>5</v>
      </c>
      <c r="V342" s="3">
        <v>5</v>
      </c>
      <c r="W342" s="4" t="s">
        <v>4367</v>
      </c>
      <c r="X342" s="4" t="s">
        <v>4367</v>
      </c>
      <c r="Y342" s="4" t="s">
        <v>4446</v>
      </c>
      <c r="Z342" s="4" t="s">
        <v>4446</v>
      </c>
      <c r="AA342" s="3">
        <v>327</v>
      </c>
      <c r="AB342" s="3">
        <v>271</v>
      </c>
      <c r="AC342" s="3">
        <v>283</v>
      </c>
      <c r="AD342" s="3">
        <v>1</v>
      </c>
      <c r="AE342" s="3">
        <v>1</v>
      </c>
      <c r="AF342" s="3">
        <v>7</v>
      </c>
      <c r="AG342" s="3">
        <v>7</v>
      </c>
      <c r="AH342" s="3">
        <v>4</v>
      </c>
      <c r="AI342" s="3">
        <v>4</v>
      </c>
      <c r="AJ342" s="3">
        <v>1</v>
      </c>
      <c r="AK342" s="3">
        <v>1</v>
      </c>
      <c r="AL342" s="3">
        <v>5</v>
      </c>
      <c r="AM342" s="3">
        <v>5</v>
      </c>
      <c r="AN342" s="3">
        <v>0</v>
      </c>
      <c r="AO342" s="3">
        <v>0</v>
      </c>
      <c r="AP342" s="3">
        <v>0</v>
      </c>
      <c r="AQ342" s="3">
        <v>0</v>
      </c>
      <c r="AR342" s="2" t="s">
        <v>5</v>
      </c>
      <c r="AS342" s="2" t="s">
        <v>90</v>
      </c>
      <c r="AT342" s="5" t="str">
        <f>HYPERLINK("http://catalog.hathitrust.org/Record/000262349","HathiTrust Record")</f>
        <v>HathiTrust Record</v>
      </c>
      <c r="AU342" s="5" t="str">
        <f>HYPERLINK("https://creighton-primo.hosted.exlibrisgroup.com/primo-explore/search?tab=default_tab&amp;search_scope=EVERYTHING&amp;vid=01CRU&amp;lang=en_US&amp;offset=0&amp;query=any,contains,991000728229702656","Catalog Record")</f>
        <v>Catalog Record</v>
      </c>
      <c r="AV342" s="5" t="str">
        <f>HYPERLINK("http://www.worldcat.org/oclc/6889511","WorldCat Record")</f>
        <v>WorldCat Record</v>
      </c>
      <c r="AW342" s="2" t="s">
        <v>4447</v>
      </c>
      <c r="AX342" s="2" t="s">
        <v>4448</v>
      </c>
      <c r="AY342" s="2" t="s">
        <v>4449</v>
      </c>
      <c r="AZ342" s="2" t="s">
        <v>4449</v>
      </c>
      <c r="BA342" s="2" t="s">
        <v>4450</v>
      </c>
      <c r="BB342" s="2" t="s">
        <v>19</v>
      </c>
      <c r="BD342" s="2" t="s">
        <v>4451</v>
      </c>
      <c r="BE342" s="2" t="s">
        <v>4452</v>
      </c>
      <c r="BF342" s="2" t="s">
        <v>4453</v>
      </c>
    </row>
    <row r="343" spans="1:58" ht="50.25" customHeight="1" x14ac:dyDescent="0.25">
      <c r="A343" s="8" t="s">
        <v>5</v>
      </c>
      <c r="B343" s="1" t="s">
        <v>0</v>
      </c>
      <c r="C343" s="1" t="s">
        <v>1</v>
      </c>
      <c r="D343" s="1" t="s">
        <v>4454</v>
      </c>
      <c r="E343" s="1" t="s">
        <v>4455</v>
      </c>
      <c r="F343" s="1" t="s">
        <v>4456</v>
      </c>
      <c r="H343" s="2" t="s">
        <v>5</v>
      </c>
      <c r="I343" s="2" t="s">
        <v>6</v>
      </c>
      <c r="J343" s="2" t="s">
        <v>5</v>
      </c>
      <c r="K343" s="2" t="s">
        <v>90</v>
      </c>
      <c r="L343" s="2" t="s">
        <v>7</v>
      </c>
      <c r="M343" s="1" t="s">
        <v>4457</v>
      </c>
      <c r="N343" s="1" t="s">
        <v>4458</v>
      </c>
      <c r="O343" s="2" t="s">
        <v>289</v>
      </c>
      <c r="P343" s="1" t="s">
        <v>568</v>
      </c>
      <c r="Q343" s="2" t="s">
        <v>10</v>
      </c>
      <c r="R343" s="2" t="s">
        <v>11</v>
      </c>
      <c r="T343" s="2" t="s">
        <v>12</v>
      </c>
      <c r="U343" s="3">
        <v>7</v>
      </c>
      <c r="V343" s="3">
        <v>7</v>
      </c>
      <c r="W343" s="4" t="s">
        <v>4459</v>
      </c>
      <c r="X343" s="4" t="s">
        <v>4459</v>
      </c>
      <c r="Y343" s="4" t="s">
        <v>4164</v>
      </c>
      <c r="Z343" s="4" t="s">
        <v>4164</v>
      </c>
      <c r="AA343" s="3">
        <v>300</v>
      </c>
      <c r="AB343" s="3">
        <v>258</v>
      </c>
      <c r="AC343" s="3">
        <v>700</v>
      </c>
      <c r="AD343" s="3">
        <v>3</v>
      </c>
      <c r="AE343" s="3">
        <v>8</v>
      </c>
      <c r="AF343" s="3">
        <v>11</v>
      </c>
      <c r="AG343" s="3">
        <v>34</v>
      </c>
      <c r="AH343" s="3">
        <v>3</v>
      </c>
      <c r="AI343" s="3">
        <v>12</v>
      </c>
      <c r="AJ343" s="3">
        <v>4</v>
      </c>
      <c r="AK343" s="3">
        <v>6</v>
      </c>
      <c r="AL343" s="3">
        <v>2</v>
      </c>
      <c r="AM343" s="3">
        <v>13</v>
      </c>
      <c r="AN343" s="3">
        <v>2</v>
      </c>
      <c r="AO343" s="3">
        <v>6</v>
      </c>
      <c r="AP343" s="3">
        <v>1</v>
      </c>
      <c r="AQ343" s="3">
        <v>3</v>
      </c>
      <c r="AR343" s="2" t="s">
        <v>5</v>
      </c>
      <c r="AS343" s="2" t="s">
        <v>5</v>
      </c>
      <c r="AU343" s="5" t="str">
        <f>HYPERLINK("https://creighton-primo.hosted.exlibrisgroup.com/primo-explore/search?tab=default_tab&amp;search_scope=EVERYTHING&amp;vid=01CRU&amp;lang=en_US&amp;offset=0&amp;query=any,contains,991000291919702656","Catalog Record")</f>
        <v>Catalog Record</v>
      </c>
      <c r="AV343" s="5" t="str">
        <f>HYPERLINK("http://www.worldcat.org/oclc/40644986","WorldCat Record")</f>
        <v>WorldCat Record</v>
      </c>
      <c r="AW343" s="2" t="s">
        <v>4460</v>
      </c>
      <c r="AX343" s="2" t="s">
        <v>4461</v>
      </c>
      <c r="AY343" s="2" t="s">
        <v>4462</v>
      </c>
      <c r="AZ343" s="2" t="s">
        <v>4462</v>
      </c>
      <c r="BA343" s="2" t="s">
        <v>4463</v>
      </c>
      <c r="BB343" s="2" t="s">
        <v>19</v>
      </c>
      <c r="BD343" s="2" t="s">
        <v>4464</v>
      </c>
      <c r="BE343" s="2" t="s">
        <v>4465</v>
      </c>
      <c r="BF343" s="2" t="s">
        <v>4466</v>
      </c>
    </row>
    <row r="344" spans="1:58" ht="50.25" customHeight="1" x14ac:dyDescent="0.25">
      <c r="A344" s="8" t="s">
        <v>5</v>
      </c>
      <c r="B344" s="1" t="s">
        <v>0</v>
      </c>
      <c r="C344" s="1" t="s">
        <v>1</v>
      </c>
      <c r="D344" s="1" t="s">
        <v>4467</v>
      </c>
      <c r="E344" s="1" t="s">
        <v>4468</v>
      </c>
      <c r="F344" s="1" t="s">
        <v>4469</v>
      </c>
      <c r="H344" s="2" t="s">
        <v>5</v>
      </c>
      <c r="I344" s="2" t="s">
        <v>6</v>
      </c>
      <c r="J344" s="2" t="s">
        <v>5</v>
      </c>
      <c r="K344" s="2" t="s">
        <v>90</v>
      </c>
      <c r="L344" s="2" t="s">
        <v>7</v>
      </c>
      <c r="M344" s="1" t="s">
        <v>4470</v>
      </c>
      <c r="N344" s="1" t="s">
        <v>1519</v>
      </c>
      <c r="O344" s="2" t="s">
        <v>474</v>
      </c>
      <c r="P344" s="1" t="s">
        <v>229</v>
      </c>
      <c r="Q344" s="2" t="s">
        <v>10</v>
      </c>
      <c r="R344" s="2" t="s">
        <v>29</v>
      </c>
      <c r="T344" s="2" t="s">
        <v>12</v>
      </c>
      <c r="U344" s="3">
        <v>4</v>
      </c>
      <c r="V344" s="3">
        <v>4</v>
      </c>
      <c r="W344" s="4" t="s">
        <v>4471</v>
      </c>
      <c r="X344" s="4" t="s">
        <v>4471</v>
      </c>
      <c r="Y344" s="4" t="s">
        <v>4472</v>
      </c>
      <c r="Z344" s="4" t="s">
        <v>4472</v>
      </c>
      <c r="AA344" s="3">
        <v>351</v>
      </c>
      <c r="AB344" s="3">
        <v>266</v>
      </c>
      <c r="AC344" s="3">
        <v>598</v>
      </c>
      <c r="AD344" s="3">
        <v>3</v>
      </c>
      <c r="AE344" s="3">
        <v>3</v>
      </c>
      <c r="AF344" s="3">
        <v>4</v>
      </c>
      <c r="AG344" s="3">
        <v>15</v>
      </c>
      <c r="AH344" s="3">
        <v>1</v>
      </c>
      <c r="AI344" s="3">
        <v>5</v>
      </c>
      <c r="AJ344" s="3">
        <v>0</v>
      </c>
      <c r="AK344" s="3">
        <v>5</v>
      </c>
      <c r="AL344" s="3">
        <v>3</v>
      </c>
      <c r="AM344" s="3">
        <v>11</v>
      </c>
      <c r="AN344" s="3">
        <v>1</v>
      </c>
      <c r="AO344" s="3">
        <v>1</v>
      </c>
      <c r="AP344" s="3">
        <v>0</v>
      </c>
      <c r="AQ344" s="3">
        <v>0</v>
      </c>
      <c r="AR344" s="2" t="s">
        <v>5</v>
      </c>
      <c r="AS344" s="2" t="s">
        <v>90</v>
      </c>
      <c r="AT344" s="5" t="str">
        <f>HYPERLINK("http://catalog.hathitrust.org/Record/001944412","HathiTrust Record")</f>
        <v>HathiTrust Record</v>
      </c>
      <c r="AU344" s="5" t="str">
        <f>HYPERLINK("https://creighton-primo.hosted.exlibrisgroup.com/primo-explore/search?tab=default_tab&amp;search_scope=EVERYTHING&amp;vid=01CRU&amp;lang=en_US&amp;offset=0&amp;query=any,contains,991001452349702656","Catalog Record")</f>
        <v>Catalog Record</v>
      </c>
      <c r="AV344" s="5" t="str">
        <f>HYPERLINK("http://www.worldcat.org/oclc/20057345","WorldCat Record")</f>
        <v>WorldCat Record</v>
      </c>
      <c r="AW344" s="2" t="s">
        <v>4092</v>
      </c>
      <c r="AX344" s="2" t="s">
        <v>4473</v>
      </c>
      <c r="AY344" s="2" t="s">
        <v>4474</v>
      </c>
      <c r="AZ344" s="2" t="s">
        <v>4474</v>
      </c>
      <c r="BA344" s="2" t="s">
        <v>4475</v>
      </c>
      <c r="BB344" s="2" t="s">
        <v>19</v>
      </c>
      <c r="BD344" s="2" t="s">
        <v>4476</v>
      </c>
      <c r="BE344" s="2" t="s">
        <v>4477</v>
      </c>
      <c r="BF344" s="2" t="s">
        <v>4478</v>
      </c>
    </row>
    <row r="345" spans="1:58" ht="50.25" customHeight="1" x14ac:dyDescent="0.25">
      <c r="A345" s="8" t="s">
        <v>5</v>
      </c>
      <c r="B345" s="1" t="s">
        <v>0</v>
      </c>
      <c r="C345" s="1" t="s">
        <v>1</v>
      </c>
      <c r="D345" s="1" t="s">
        <v>4479</v>
      </c>
      <c r="E345" s="1" t="s">
        <v>4480</v>
      </c>
      <c r="F345" s="1" t="s">
        <v>4481</v>
      </c>
      <c r="H345" s="2" t="s">
        <v>5</v>
      </c>
      <c r="I345" s="2" t="s">
        <v>6</v>
      </c>
      <c r="J345" s="2" t="s">
        <v>5</v>
      </c>
      <c r="K345" s="2" t="s">
        <v>5</v>
      </c>
      <c r="L345" s="2" t="s">
        <v>7</v>
      </c>
      <c r="M345" s="1" t="s">
        <v>4482</v>
      </c>
      <c r="N345" s="1" t="s">
        <v>4483</v>
      </c>
      <c r="O345" s="2" t="s">
        <v>109</v>
      </c>
      <c r="Q345" s="2" t="s">
        <v>10</v>
      </c>
      <c r="R345" s="2" t="s">
        <v>529</v>
      </c>
      <c r="T345" s="2" t="s">
        <v>12</v>
      </c>
      <c r="U345" s="3">
        <v>0</v>
      </c>
      <c r="V345" s="3">
        <v>0</v>
      </c>
      <c r="W345" s="4" t="s">
        <v>112</v>
      </c>
      <c r="X345" s="4" t="s">
        <v>112</v>
      </c>
      <c r="Y345" s="4" t="s">
        <v>113</v>
      </c>
      <c r="Z345" s="4" t="s">
        <v>113</v>
      </c>
      <c r="AA345" s="3">
        <v>291</v>
      </c>
      <c r="AB345" s="3">
        <v>270</v>
      </c>
      <c r="AC345" s="3">
        <v>958</v>
      </c>
      <c r="AD345" s="3">
        <v>2</v>
      </c>
      <c r="AE345" s="3">
        <v>7</v>
      </c>
      <c r="AF345" s="3">
        <v>12</v>
      </c>
      <c r="AG345" s="3">
        <v>34</v>
      </c>
      <c r="AH345" s="3">
        <v>6</v>
      </c>
      <c r="AI345" s="3">
        <v>15</v>
      </c>
      <c r="AJ345" s="3">
        <v>2</v>
      </c>
      <c r="AK345" s="3">
        <v>6</v>
      </c>
      <c r="AL345" s="3">
        <v>3</v>
      </c>
      <c r="AM345" s="3">
        <v>9</v>
      </c>
      <c r="AN345" s="3">
        <v>1</v>
      </c>
      <c r="AO345" s="3">
        <v>6</v>
      </c>
      <c r="AP345" s="3">
        <v>1</v>
      </c>
      <c r="AQ345" s="3">
        <v>2</v>
      </c>
      <c r="AR345" s="2" t="s">
        <v>5</v>
      </c>
      <c r="AS345" s="2" t="s">
        <v>5</v>
      </c>
      <c r="AU345" s="5" t="str">
        <f>HYPERLINK("https://creighton-primo.hosted.exlibrisgroup.com/primo-explore/search?tab=default_tab&amp;search_scope=EVERYTHING&amp;vid=01CRU&amp;lang=en_US&amp;offset=0&amp;query=any,contains,991000441069702656","Catalog Record")</f>
        <v>Catalog Record</v>
      </c>
      <c r="AV345" s="5" t="str">
        <f>HYPERLINK("http://www.worldcat.org/oclc/51216288","WorldCat Record")</f>
        <v>WorldCat Record</v>
      </c>
      <c r="AW345" s="2" t="s">
        <v>4484</v>
      </c>
      <c r="AX345" s="2" t="s">
        <v>4485</v>
      </c>
      <c r="AY345" s="2" t="s">
        <v>4486</v>
      </c>
      <c r="AZ345" s="2" t="s">
        <v>4486</v>
      </c>
      <c r="BA345" s="2" t="s">
        <v>4487</v>
      </c>
      <c r="BB345" s="2" t="s">
        <v>19</v>
      </c>
      <c r="BD345" s="2" t="s">
        <v>4488</v>
      </c>
      <c r="BE345" s="2" t="s">
        <v>4489</v>
      </c>
      <c r="BF345" s="2" t="s">
        <v>4490</v>
      </c>
    </row>
    <row r="346" spans="1:58" ht="50.25" customHeight="1" x14ac:dyDescent="0.25">
      <c r="A346" s="8" t="s">
        <v>5</v>
      </c>
      <c r="B346" s="1" t="s">
        <v>0</v>
      </c>
      <c r="C346" s="1" t="s">
        <v>1</v>
      </c>
      <c r="D346" s="1" t="s">
        <v>4491</v>
      </c>
      <c r="E346" s="1" t="s">
        <v>4492</v>
      </c>
      <c r="F346" s="1" t="s">
        <v>4493</v>
      </c>
      <c r="H346" s="2" t="s">
        <v>5</v>
      </c>
      <c r="I346" s="2" t="s">
        <v>6</v>
      </c>
      <c r="J346" s="2" t="s">
        <v>5</v>
      </c>
      <c r="K346" s="2" t="s">
        <v>5</v>
      </c>
      <c r="L346" s="2" t="s">
        <v>7</v>
      </c>
      <c r="N346" s="1" t="s">
        <v>4494</v>
      </c>
      <c r="O346" s="2" t="s">
        <v>125</v>
      </c>
      <c r="Q346" s="2" t="s">
        <v>10</v>
      </c>
      <c r="R346" s="2" t="s">
        <v>1150</v>
      </c>
      <c r="S346" s="1" t="s">
        <v>4495</v>
      </c>
      <c r="T346" s="2" t="s">
        <v>12</v>
      </c>
      <c r="U346" s="3">
        <v>2</v>
      </c>
      <c r="V346" s="3">
        <v>2</v>
      </c>
      <c r="W346" s="4" t="s">
        <v>4496</v>
      </c>
      <c r="X346" s="4" t="s">
        <v>4496</v>
      </c>
      <c r="Y346" s="4" t="s">
        <v>4497</v>
      </c>
      <c r="Z346" s="4" t="s">
        <v>4497</v>
      </c>
      <c r="AA346" s="3">
        <v>185</v>
      </c>
      <c r="AB346" s="3">
        <v>167</v>
      </c>
      <c r="AC346" s="3">
        <v>168</v>
      </c>
      <c r="AD346" s="3">
        <v>2</v>
      </c>
      <c r="AE346" s="3">
        <v>2</v>
      </c>
      <c r="AF346" s="3">
        <v>9</v>
      </c>
      <c r="AG346" s="3">
        <v>9</v>
      </c>
      <c r="AH346" s="3">
        <v>1</v>
      </c>
      <c r="AI346" s="3">
        <v>1</v>
      </c>
      <c r="AJ346" s="3">
        <v>3</v>
      </c>
      <c r="AK346" s="3">
        <v>3</v>
      </c>
      <c r="AL346" s="3">
        <v>3</v>
      </c>
      <c r="AM346" s="3">
        <v>3</v>
      </c>
      <c r="AN346" s="3">
        <v>1</v>
      </c>
      <c r="AO346" s="3">
        <v>1</v>
      </c>
      <c r="AP346" s="3">
        <v>2</v>
      </c>
      <c r="AQ346" s="3">
        <v>2</v>
      </c>
      <c r="AR346" s="2" t="s">
        <v>5</v>
      </c>
      <c r="AS346" s="2" t="s">
        <v>90</v>
      </c>
      <c r="AT346" s="5" t="str">
        <f>HYPERLINK("http://catalog.hathitrust.org/Record/004561065","HathiTrust Record")</f>
        <v>HathiTrust Record</v>
      </c>
      <c r="AU346" s="5" t="str">
        <f>HYPERLINK("https://creighton-primo.hosted.exlibrisgroup.com/primo-explore/search?tab=default_tab&amp;search_scope=EVERYTHING&amp;vid=01CRU&amp;lang=en_US&amp;offset=0&amp;query=any,contains,991001139599702656","Catalog Record")</f>
        <v>Catalog Record</v>
      </c>
      <c r="AV346" s="5" t="str">
        <f>HYPERLINK("http://www.worldcat.org/oclc/34113023","WorldCat Record")</f>
        <v>WorldCat Record</v>
      </c>
      <c r="AW346" s="2" t="s">
        <v>4498</v>
      </c>
      <c r="AX346" s="2" t="s">
        <v>4499</v>
      </c>
      <c r="AY346" s="2" t="s">
        <v>4500</v>
      </c>
      <c r="AZ346" s="2" t="s">
        <v>4500</v>
      </c>
      <c r="BA346" s="2" t="s">
        <v>4501</v>
      </c>
      <c r="BB346" s="2" t="s">
        <v>19</v>
      </c>
      <c r="BD346" s="2" t="s">
        <v>4502</v>
      </c>
      <c r="BE346" s="2" t="s">
        <v>4503</v>
      </c>
      <c r="BF346" s="2" t="s">
        <v>4504</v>
      </c>
    </row>
    <row r="347" spans="1:58" ht="50.25" customHeight="1" x14ac:dyDescent="0.25">
      <c r="A347" s="8" t="s">
        <v>5</v>
      </c>
      <c r="B347" s="1" t="s">
        <v>0</v>
      </c>
      <c r="C347" s="1" t="s">
        <v>1</v>
      </c>
      <c r="D347" s="1" t="s">
        <v>4505</v>
      </c>
      <c r="E347" s="1" t="s">
        <v>4506</v>
      </c>
      <c r="F347" s="1" t="s">
        <v>4507</v>
      </c>
      <c r="H347" s="2" t="s">
        <v>5</v>
      </c>
      <c r="I347" s="2" t="s">
        <v>6</v>
      </c>
      <c r="J347" s="2" t="s">
        <v>5</v>
      </c>
      <c r="K347" s="2" t="s">
        <v>90</v>
      </c>
      <c r="L347" s="2" t="s">
        <v>7</v>
      </c>
      <c r="M347" s="1" t="s">
        <v>4508</v>
      </c>
      <c r="N347" s="1" t="s">
        <v>4062</v>
      </c>
      <c r="O347" s="2" t="s">
        <v>155</v>
      </c>
      <c r="Q347" s="2" t="s">
        <v>10</v>
      </c>
      <c r="R347" s="2" t="s">
        <v>1279</v>
      </c>
      <c r="T347" s="2" t="s">
        <v>12</v>
      </c>
      <c r="U347" s="3">
        <v>13</v>
      </c>
      <c r="V347" s="3">
        <v>13</v>
      </c>
      <c r="W347" s="4" t="s">
        <v>4471</v>
      </c>
      <c r="X347" s="4" t="s">
        <v>4471</v>
      </c>
      <c r="Y347" s="4" t="s">
        <v>4509</v>
      </c>
      <c r="Z347" s="4" t="s">
        <v>4509</v>
      </c>
      <c r="AA347" s="3">
        <v>335</v>
      </c>
      <c r="AB347" s="3">
        <v>302</v>
      </c>
      <c r="AC347" s="3">
        <v>753</v>
      </c>
      <c r="AD347" s="3">
        <v>2</v>
      </c>
      <c r="AE347" s="3">
        <v>8</v>
      </c>
      <c r="AF347" s="3">
        <v>14</v>
      </c>
      <c r="AG347" s="3">
        <v>33</v>
      </c>
      <c r="AH347" s="3">
        <v>5</v>
      </c>
      <c r="AI347" s="3">
        <v>10</v>
      </c>
      <c r="AJ347" s="3">
        <v>4</v>
      </c>
      <c r="AK347" s="3">
        <v>7</v>
      </c>
      <c r="AL347" s="3">
        <v>9</v>
      </c>
      <c r="AM347" s="3">
        <v>16</v>
      </c>
      <c r="AN347" s="3">
        <v>1</v>
      </c>
      <c r="AO347" s="3">
        <v>6</v>
      </c>
      <c r="AP347" s="3">
        <v>1</v>
      </c>
      <c r="AQ347" s="3">
        <v>2</v>
      </c>
      <c r="AR347" s="2" t="s">
        <v>5</v>
      </c>
      <c r="AS347" s="2" t="s">
        <v>90</v>
      </c>
      <c r="AT347" s="5" t="str">
        <f>HYPERLINK("http://catalog.hathitrust.org/Record/004538188","HathiTrust Record")</f>
        <v>HathiTrust Record</v>
      </c>
      <c r="AU347" s="5" t="str">
        <f>HYPERLINK("https://creighton-primo.hosted.exlibrisgroup.com/primo-explore/search?tab=default_tab&amp;search_scope=EVERYTHING&amp;vid=01CRU&amp;lang=en_US&amp;offset=0&amp;query=any,contains,991000487199702656","Catalog Record")</f>
        <v>Catalog Record</v>
      </c>
      <c r="AV347" s="5" t="str">
        <f>HYPERLINK("http://www.worldcat.org/oclc/35879002","WorldCat Record")</f>
        <v>WorldCat Record</v>
      </c>
      <c r="AW347" s="2" t="s">
        <v>4510</v>
      </c>
      <c r="AX347" s="2" t="s">
        <v>4511</v>
      </c>
      <c r="AY347" s="2" t="s">
        <v>4512</v>
      </c>
      <c r="AZ347" s="2" t="s">
        <v>4512</v>
      </c>
      <c r="BA347" s="2" t="s">
        <v>4513</v>
      </c>
      <c r="BB347" s="2" t="s">
        <v>19</v>
      </c>
      <c r="BD347" s="2" t="s">
        <v>4514</v>
      </c>
      <c r="BE347" s="2" t="s">
        <v>4515</v>
      </c>
      <c r="BF347" s="2" t="s">
        <v>4516</v>
      </c>
    </row>
    <row r="348" spans="1:58" ht="50.25" customHeight="1" x14ac:dyDescent="0.25">
      <c r="A348" s="8" t="s">
        <v>5</v>
      </c>
      <c r="B348" s="1" t="s">
        <v>0</v>
      </c>
      <c r="C348" s="1" t="s">
        <v>1</v>
      </c>
      <c r="D348" s="1" t="s">
        <v>4517</v>
      </c>
      <c r="E348" s="1" t="s">
        <v>4518</v>
      </c>
      <c r="F348" s="1" t="s">
        <v>4519</v>
      </c>
      <c r="H348" s="2" t="s">
        <v>5</v>
      </c>
      <c r="I348" s="2" t="s">
        <v>6</v>
      </c>
      <c r="J348" s="2" t="s">
        <v>5</v>
      </c>
      <c r="K348" s="2" t="s">
        <v>5</v>
      </c>
      <c r="L348" s="2" t="s">
        <v>7</v>
      </c>
      <c r="M348" s="1" t="s">
        <v>4520</v>
      </c>
      <c r="N348" s="1" t="s">
        <v>4521</v>
      </c>
      <c r="O348" s="2" t="s">
        <v>213</v>
      </c>
      <c r="Q348" s="2" t="s">
        <v>10</v>
      </c>
      <c r="R348" s="2" t="s">
        <v>4522</v>
      </c>
      <c r="S348" s="1" t="s">
        <v>4523</v>
      </c>
      <c r="T348" s="2" t="s">
        <v>12</v>
      </c>
      <c r="U348" s="3">
        <v>3</v>
      </c>
      <c r="V348" s="3">
        <v>3</v>
      </c>
      <c r="W348" s="4" t="s">
        <v>4524</v>
      </c>
      <c r="X348" s="4" t="s">
        <v>4524</v>
      </c>
      <c r="Y348" s="4" t="s">
        <v>4525</v>
      </c>
      <c r="Z348" s="4" t="s">
        <v>4525</v>
      </c>
      <c r="AA348" s="3">
        <v>116</v>
      </c>
      <c r="AB348" s="3">
        <v>114</v>
      </c>
      <c r="AC348" s="3">
        <v>121</v>
      </c>
      <c r="AD348" s="3">
        <v>2</v>
      </c>
      <c r="AE348" s="3">
        <v>2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2" t="s">
        <v>5</v>
      </c>
      <c r="AS348" s="2" t="s">
        <v>90</v>
      </c>
      <c r="AT348" s="5" t="str">
        <f>HYPERLINK("http://catalog.hathitrust.org/Record/005143554","HathiTrust Record")</f>
        <v>HathiTrust Record</v>
      </c>
      <c r="AU348" s="5" t="str">
        <f>HYPERLINK("https://creighton-primo.hosted.exlibrisgroup.com/primo-explore/search?tab=default_tab&amp;search_scope=EVERYTHING&amp;vid=01CRU&amp;lang=en_US&amp;offset=0&amp;query=any,contains,991001343419702656","Catalog Record")</f>
        <v>Catalog Record</v>
      </c>
      <c r="AV348" s="5" t="str">
        <f>HYPERLINK("http://www.worldcat.org/oclc/25604024","WorldCat Record")</f>
        <v>WorldCat Record</v>
      </c>
      <c r="AW348" s="2" t="s">
        <v>4526</v>
      </c>
      <c r="AX348" s="2" t="s">
        <v>4527</v>
      </c>
      <c r="AY348" s="2" t="s">
        <v>4528</v>
      </c>
      <c r="AZ348" s="2" t="s">
        <v>4528</v>
      </c>
      <c r="BA348" s="2" t="s">
        <v>4529</v>
      </c>
      <c r="BB348" s="2" t="s">
        <v>19</v>
      </c>
      <c r="BD348" s="2" t="s">
        <v>4530</v>
      </c>
      <c r="BE348" s="2" t="s">
        <v>4531</v>
      </c>
      <c r="BF348" s="2" t="s">
        <v>4532</v>
      </c>
    </row>
    <row r="349" spans="1:58" ht="50.25" customHeight="1" x14ac:dyDescent="0.25">
      <c r="A349" s="8" t="s">
        <v>5</v>
      </c>
      <c r="B349" s="1" t="s">
        <v>0</v>
      </c>
      <c r="C349" s="1" t="s">
        <v>1</v>
      </c>
      <c r="D349" s="1" t="s">
        <v>4533</v>
      </c>
      <c r="E349" s="1" t="s">
        <v>4534</v>
      </c>
      <c r="F349" s="1" t="s">
        <v>4535</v>
      </c>
      <c r="H349" s="2" t="s">
        <v>5</v>
      </c>
      <c r="I349" s="2" t="s">
        <v>6</v>
      </c>
      <c r="J349" s="2" t="s">
        <v>5</v>
      </c>
      <c r="K349" s="2" t="s">
        <v>5</v>
      </c>
      <c r="L349" s="2" t="s">
        <v>7</v>
      </c>
      <c r="N349" s="1" t="s">
        <v>4536</v>
      </c>
      <c r="O349" s="2" t="s">
        <v>596</v>
      </c>
      <c r="Q349" s="2" t="s">
        <v>10</v>
      </c>
      <c r="R349" s="2" t="s">
        <v>2850</v>
      </c>
      <c r="T349" s="2" t="s">
        <v>12</v>
      </c>
      <c r="U349" s="3">
        <v>14</v>
      </c>
      <c r="V349" s="3">
        <v>14</v>
      </c>
      <c r="W349" s="4" t="s">
        <v>4537</v>
      </c>
      <c r="X349" s="4" t="s">
        <v>4537</v>
      </c>
      <c r="Y349" s="4" t="s">
        <v>4538</v>
      </c>
      <c r="Z349" s="4" t="s">
        <v>4538</v>
      </c>
      <c r="AA349" s="3">
        <v>35</v>
      </c>
      <c r="AB349" s="3">
        <v>35</v>
      </c>
      <c r="AC349" s="3">
        <v>87</v>
      </c>
      <c r="AD349" s="3">
        <v>1</v>
      </c>
      <c r="AE349" s="3">
        <v>1</v>
      </c>
      <c r="AF349" s="3">
        <v>2</v>
      </c>
      <c r="AG349" s="3">
        <v>3</v>
      </c>
      <c r="AH349" s="3">
        <v>0</v>
      </c>
      <c r="AI349" s="3">
        <v>0</v>
      </c>
      <c r="AJ349" s="3">
        <v>1</v>
      </c>
      <c r="AK349" s="3">
        <v>1</v>
      </c>
      <c r="AL349" s="3">
        <v>1</v>
      </c>
      <c r="AM349" s="3">
        <v>1</v>
      </c>
      <c r="AN349" s="3">
        <v>0</v>
      </c>
      <c r="AO349" s="3">
        <v>0</v>
      </c>
      <c r="AP349" s="3">
        <v>0</v>
      </c>
      <c r="AQ349" s="3">
        <v>1</v>
      </c>
      <c r="AR349" s="2" t="s">
        <v>5</v>
      </c>
      <c r="AS349" s="2" t="s">
        <v>5</v>
      </c>
      <c r="AU349" s="5" t="str">
        <f>HYPERLINK("https://creighton-primo.hosted.exlibrisgroup.com/primo-explore/search?tab=default_tab&amp;search_scope=EVERYTHING&amp;vid=01CRU&amp;lang=en_US&amp;offset=0&amp;query=any,contains,991001268879702656","Catalog Record")</f>
        <v>Catalog Record</v>
      </c>
      <c r="AV349" s="5" t="str">
        <f>HYPERLINK("http://www.worldcat.org/oclc/15377036","WorldCat Record")</f>
        <v>WorldCat Record</v>
      </c>
      <c r="AW349" s="2" t="s">
        <v>4539</v>
      </c>
      <c r="AX349" s="2" t="s">
        <v>4540</v>
      </c>
      <c r="AY349" s="2" t="s">
        <v>4541</v>
      </c>
      <c r="AZ349" s="2" t="s">
        <v>4541</v>
      </c>
      <c r="BA349" s="2" t="s">
        <v>4542</v>
      </c>
      <c r="BB349" s="2" t="s">
        <v>19</v>
      </c>
      <c r="BD349" s="2" t="s">
        <v>4543</v>
      </c>
      <c r="BE349" s="2" t="s">
        <v>4544</v>
      </c>
      <c r="BF349" s="2" t="s">
        <v>4545</v>
      </c>
    </row>
    <row r="350" spans="1:58" ht="50.25" customHeight="1" x14ac:dyDescent="0.25">
      <c r="A350" s="8" t="s">
        <v>5</v>
      </c>
      <c r="B350" s="1" t="s">
        <v>0</v>
      </c>
      <c r="C350" s="1" t="s">
        <v>1</v>
      </c>
      <c r="D350" s="1" t="s">
        <v>4546</v>
      </c>
      <c r="E350" s="1" t="s">
        <v>4547</v>
      </c>
      <c r="F350" s="1" t="s">
        <v>4548</v>
      </c>
      <c r="H350" s="2" t="s">
        <v>5</v>
      </c>
      <c r="I350" s="2" t="s">
        <v>6</v>
      </c>
      <c r="J350" s="2" t="s">
        <v>5</v>
      </c>
      <c r="K350" s="2" t="s">
        <v>5</v>
      </c>
      <c r="L350" s="2" t="s">
        <v>7</v>
      </c>
      <c r="N350" s="1" t="s">
        <v>4536</v>
      </c>
      <c r="O350" s="2" t="s">
        <v>596</v>
      </c>
      <c r="Q350" s="2" t="s">
        <v>10</v>
      </c>
      <c r="R350" s="2" t="s">
        <v>2850</v>
      </c>
      <c r="T350" s="2" t="s">
        <v>12</v>
      </c>
      <c r="U350" s="3">
        <v>4</v>
      </c>
      <c r="V350" s="3">
        <v>4</v>
      </c>
      <c r="W350" s="4" t="s">
        <v>4524</v>
      </c>
      <c r="X350" s="4" t="s">
        <v>4524</v>
      </c>
      <c r="Y350" s="4" t="s">
        <v>4549</v>
      </c>
      <c r="Z350" s="4" t="s">
        <v>4549</v>
      </c>
      <c r="AA350" s="3">
        <v>44</v>
      </c>
      <c r="AB350" s="3">
        <v>44</v>
      </c>
      <c r="AC350" s="3">
        <v>44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0</v>
      </c>
      <c r="AK350" s="3">
        <v>0</v>
      </c>
      <c r="AL350" s="3">
        <v>1</v>
      </c>
      <c r="AM350" s="3">
        <v>1</v>
      </c>
      <c r="AN350" s="3">
        <v>0</v>
      </c>
      <c r="AO350" s="3">
        <v>0</v>
      </c>
      <c r="AP350" s="3">
        <v>0</v>
      </c>
      <c r="AQ350" s="3">
        <v>0</v>
      </c>
      <c r="AR350" s="2" t="s">
        <v>5</v>
      </c>
      <c r="AS350" s="2" t="s">
        <v>5</v>
      </c>
      <c r="AU350" s="5" t="str">
        <f>HYPERLINK("https://creighton-primo.hosted.exlibrisgroup.com/primo-explore/search?tab=default_tab&amp;search_scope=EVERYTHING&amp;vid=01CRU&amp;lang=en_US&amp;offset=0&amp;query=any,contains,991001268919702656","Catalog Record")</f>
        <v>Catalog Record</v>
      </c>
      <c r="AV350" s="5" t="str">
        <f>HYPERLINK("http://www.worldcat.org/oclc/15376983","WorldCat Record")</f>
        <v>WorldCat Record</v>
      </c>
      <c r="AW350" s="2" t="s">
        <v>4550</v>
      </c>
      <c r="AX350" s="2" t="s">
        <v>4551</v>
      </c>
      <c r="AY350" s="2" t="s">
        <v>4552</v>
      </c>
      <c r="AZ350" s="2" t="s">
        <v>4552</v>
      </c>
      <c r="BA350" s="2" t="s">
        <v>4553</v>
      </c>
      <c r="BB350" s="2" t="s">
        <v>19</v>
      </c>
      <c r="BD350" s="2" t="s">
        <v>4554</v>
      </c>
      <c r="BE350" s="2" t="s">
        <v>4555</v>
      </c>
      <c r="BF350" s="2" t="s">
        <v>4556</v>
      </c>
    </row>
    <row r="351" spans="1:58" ht="50.25" customHeight="1" x14ac:dyDescent="0.25">
      <c r="A351" s="8" t="s">
        <v>5</v>
      </c>
      <c r="B351" s="1" t="s">
        <v>0</v>
      </c>
      <c r="C351" s="1" t="s">
        <v>1</v>
      </c>
      <c r="D351" s="1" t="s">
        <v>4557</v>
      </c>
      <c r="E351" s="1" t="s">
        <v>4558</v>
      </c>
      <c r="F351" s="1" t="s">
        <v>4559</v>
      </c>
      <c r="H351" s="2" t="s">
        <v>5</v>
      </c>
      <c r="I351" s="2" t="s">
        <v>6</v>
      </c>
      <c r="J351" s="2" t="s">
        <v>5</v>
      </c>
      <c r="K351" s="2" t="s">
        <v>5</v>
      </c>
      <c r="L351" s="2" t="s">
        <v>7</v>
      </c>
      <c r="N351" s="1" t="s">
        <v>4560</v>
      </c>
      <c r="O351" s="2" t="s">
        <v>4561</v>
      </c>
      <c r="Q351" s="2" t="s">
        <v>10</v>
      </c>
      <c r="R351" s="2" t="s">
        <v>11</v>
      </c>
      <c r="S351" s="1" t="s">
        <v>4562</v>
      </c>
      <c r="T351" s="2" t="s">
        <v>12</v>
      </c>
      <c r="U351" s="3">
        <v>2</v>
      </c>
      <c r="V351" s="3">
        <v>2</v>
      </c>
      <c r="W351" s="4" t="s">
        <v>4563</v>
      </c>
      <c r="X351" s="4" t="s">
        <v>4563</v>
      </c>
      <c r="Y351" s="4" t="s">
        <v>4538</v>
      </c>
      <c r="Z351" s="4" t="s">
        <v>4538</v>
      </c>
      <c r="AA351" s="3">
        <v>229</v>
      </c>
      <c r="AB351" s="3">
        <v>181</v>
      </c>
      <c r="AC351" s="3">
        <v>184</v>
      </c>
      <c r="AD351" s="3">
        <v>1</v>
      </c>
      <c r="AE351" s="3">
        <v>1</v>
      </c>
      <c r="AF351" s="3">
        <v>4</v>
      </c>
      <c r="AG351" s="3">
        <v>4</v>
      </c>
      <c r="AH351" s="3">
        <v>0</v>
      </c>
      <c r="AI351" s="3">
        <v>0</v>
      </c>
      <c r="AJ351" s="3">
        <v>1</v>
      </c>
      <c r="AK351" s="3">
        <v>1</v>
      </c>
      <c r="AL351" s="3">
        <v>4</v>
      </c>
      <c r="AM351" s="3">
        <v>4</v>
      </c>
      <c r="AN351" s="3">
        <v>0</v>
      </c>
      <c r="AO351" s="3">
        <v>0</v>
      </c>
      <c r="AP351" s="3">
        <v>0</v>
      </c>
      <c r="AQ351" s="3">
        <v>0</v>
      </c>
      <c r="AR351" s="2" t="s">
        <v>5</v>
      </c>
      <c r="AS351" s="2" t="s">
        <v>90</v>
      </c>
      <c r="AT351" s="5" t="str">
        <f>HYPERLINK("http://catalog.hathitrust.org/Record/001577416","HathiTrust Record")</f>
        <v>HathiTrust Record</v>
      </c>
      <c r="AU351" s="5" t="str">
        <f>HYPERLINK("https://creighton-primo.hosted.exlibrisgroup.com/primo-explore/search?tab=default_tab&amp;search_scope=EVERYTHING&amp;vid=01CRU&amp;lang=en_US&amp;offset=0&amp;query=any,contains,991000729159702656","Catalog Record")</f>
        <v>Catalog Record</v>
      </c>
      <c r="AV351" s="5" t="str">
        <f>HYPERLINK("http://www.worldcat.org/oclc/793675","WorldCat Record")</f>
        <v>WorldCat Record</v>
      </c>
      <c r="AW351" s="2" t="s">
        <v>4564</v>
      </c>
      <c r="AX351" s="2" t="s">
        <v>4565</v>
      </c>
      <c r="AY351" s="2" t="s">
        <v>4566</v>
      </c>
      <c r="AZ351" s="2" t="s">
        <v>4566</v>
      </c>
      <c r="BA351" s="2" t="s">
        <v>4567</v>
      </c>
      <c r="BB351" s="2" t="s">
        <v>19</v>
      </c>
      <c r="BE351" s="2" t="s">
        <v>4568</v>
      </c>
      <c r="BF351" s="2" t="s">
        <v>4569</v>
      </c>
    </row>
    <row r="352" spans="1:58" ht="50.25" customHeight="1" x14ac:dyDescent="0.25">
      <c r="A352" s="8" t="s">
        <v>5</v>
      </c>
      <c r="B352" s="1" t="s">
        <v>0</v>
      </c>
      <c r="C352" s="1" t="s">
        <v>1</v>
      </c>
      <c r="D352" s="1" t="s">
        <v>4570</v>
      </c>
      <c r="E352" s="1" t="s">
        <v>4571</v>
      </c>
      <c r="F352" s="1" t="s">
        <v>4572</v>
      </c>
      <c r="H352" s="2" t="s">
        <v>5</v>
      </c>
      <c r="I352" s="2" t="s">
        <v>6</v>
      </c>
      <c r="J352" s="2" t="s">
        <v>5</v>
      </c>
      <c r="K352" s="2" t="s">
        <v>5</v>
      </c>
      <c r="L352" s="2" t="s">
        <v>7</v>
      </c>
      <c r="N352" s="1" t="s">
        <v>4573</v>
      </c>
      <c r="O352" s="2" t="s">
        <v>489</v>
      </c>
      <c r="Q352" s="2" t="s">
        <v>10</v>
      </c>
      <c r="R352" s="2" t="s">
        <v>4574</v>
      </c>
      <c r="T352" s="2" t="s">
        <v>12</v>
      </c>
      <c r="U352" s="3">
        <v>0</v>
      </c>
      <c r="V352" s="3">
        <v>0</v>
      </c>
      <c r="W352" s="4" t="s">
        <v>291</v>
      </c>
      <c r="X352" s="4" t="s">
        <v>291</v>
      </c>
      <c r="Y352" s="4" t="s">
        <v>292</v>
      </c>
      <c r="Z352" s="4" t="s">
        <v>292</v>
      </c>
      <c r="AA352" s="3">
        <v>195</v>
      </c>
      <c r="AB352" s="3">
        <v>77</v>
      </c>
      <c r="AC352" s="3">
        <v>77</v>
      </c>
      <c r="AD352" s="3">
        <v>1</v>
      </c>
      <c r="AE352" s="3">
        <v>1</v>
      </c>
      <c r="AF352" s="3">
        <v>3</v>
      </c>
      <c r="AG352" s="3">
        <v>3</v>
      </c>
      <c r="AH352" s="3">
        <v>0</v>
      </c>
      <c r="AI352" s="3">
        <v>0</v>
      </c>
      <c r="AJ352" s="3">
        <v>2</v>
      </c>
      <c r="AK352" s="3">
        <v>2</v>
      </c>
      <c r="AL352" s="3">
        <v>1</v>
      </c>
      <c r="AM352" s="3">
        <v>1</v>
      </c>
      <c r="AN352" s="3">
        <v>0</v>
      </c>
      <c r="AO352" s="3">
        <v>0</v>
      </c>
      <c r="AP352" s="3">
        <v>0</v>
      </c>
      <c r="AQ352" s="3">
        <v>0</v>
      </c>
      <c r="AR352" s="2" t="s">
        <v>5</v>
      </c>
      <c r="AS352" s="2" t="s">
        <v>5</v>
      </c>
      <c r="AU352" s="5" t="str">
        <f>HYPERLINK("https://creighton-primo.hosted.exlibrisgroup.com/primo-explore/search?tab=default_tab&amp;search_scope=EVERYTHING&amp;vid=01CRU&amp;lang=en_US&amp;offset=0&amp;query=any,contains,991000358709702656","Catalog Record")</f>
        <v>Catalog Record</v>
      </c>
      <c r="AV352" s="5" t="str">
        <f>HYPERLINK("http://www.worldcat.org/oclc/44877762","WorldCat Record")</f>
        <v>WorldCat Record</v>
      </c>
      <c r="AW352" s="2" t="s">
        <v>4575</v>
      </c>
      <c r="AX352" s="2" t="s">
        <v>4576</v>
      </c>
      <c r="AY352" s="2" t="s">
        <v>4577</v>
      </c>
      <c r="AZ352" s="2" t="s">
        <v>4577</v>
      </c>
      <c r="BA352" s="2" t="s">
        <v>4578</v>
      </c>
      <c r="BB352" s="2" t="s">
        <v>19</v>
      </c>
      <c r="BD352" s="2" t="s">
        <v>4579</v>
      </c>
      <c r="BE352" s="2" t="s">
        <v>4580</v>
      </c>
      <c r="BF352" s="2" t="s">
        <v>4581</v>
      </c>
    </row>
    <row r="353" spans="1:58" ht="50.25" customHeight="1" x14ac:dyDescent="0.25">
      <c r="A353" s="8" t="s">
        <v>5</v>
      </c>
      <c r="B353" s="1" t="s">
        <v>0</v>
      </c>
      <c r="C353" s="1" t="s">
        <v>1</v>
      </c>
      <c r="D353" s="1" t="s">
        <v>4582</v>
      </c>
      <c r="E353" s="1" t="s">
        <v>4583</v>
      </c>
      <c r="F353" s="1" t="s">
        <v>4584</v>
      </c>
      <c r="H353" s="2" t="s">
        <v>5</v>
      </c>
      <c r="I353" s="2" t="s">
        <v>6</v>
      </c>
      <c r="J353" s="2" t="s">
        <v>5</v>
      </c>
      <c r="K353" s="2" t="s">
        <v>5</v>
      </c>
      <c r="L353" s="2" t="s">
        <v>7</v>
      </c>
      <c r="N353" s="1" t="s">
        <v>4585</v>
      </c>
      <c r="O353" s="2" t="s">
        <v>319</v>
      </c>
      <c r="Q353" s="2" t="s">
        <v>10</v>
      </c>
      <c r="R353" s="2" t="s">
        <v>4586</v>
      </c>
      <c r="T353" s="2" t="s">
        <v>12</v>
      </c>
      <c r="U353" s="3">
        <v>10</v>
      </c>
      <c r="V353" s="3">
        <v>10</v>
      </c>
      <c r="W353" s="4" t="s">
        <v>2486</v>
      </c>
      <c r="X353" s="4" t="s">
        <v>2486</v>
      </c>
      <c r="Y353" s="4" t="s">
        <v>1178</v>
      </c>
      <c r="Z353" s="4" t="s">
        <v>1178</v>
      </c>
      <c r="AA353" s="3">
        <v>194</v>
      </c>
      <c r="AB353" s="3">
        <v>124</v>
      </c>
      <c r="AC353" s="3">
        <v>124</v>
      </c>
      <c r="AD353" s="3">
        <v>1</v>
      </c>
      <c r="AE353" s="3">
        <v>1</v>
      </c>
      <c r="AF353" s="3">
        <v>3</v>
      </c>
      <c r="AG353" s="3">
        <v>3</v>
      </c>
      <c r="AH353" s="3">
        <v>1</v>
      </c>
      <c r="AI353" s="3">
        <v>1</v>
      </c>
      <c r="AJ353" s="3">
        <v>2</v>
      </c>
      <c r="AK353" s="3">
        <v>2</v>
      </c>
      <c r="AL353" s="3">
        <v>1</v>
      </c>
      <c r="AM353" s="3">
        <v>1</v>
      </c>
      <c r="AN353" s="3">
        <v>0</v>
      </c>
      <c r="AO353" s="3">
        <v>0</v>
      </c>
      <c r="AP353" s="3">
        <v>0</v>
      </c>
      <c r="AQ353" s="3">
        <v>0</v>
      </c>
      <c r="AR353" s="2" t="s">
        <v>5</v>
      </c>
      <c r="AS353" s="2" t="s">
        <v>5</v>
      </c>
      <c r="AU353" s="5" t="str">
        <f>HYPERLINK("https://creighton-primo.hosted.exlibrisgroup.com/primo-explore/search?tab=default_tab&amp;search_scope=EVERYTHING&amp;vid=01CRU&amp;lang=en_US&amp;offset=0&amp;query=any,contains,991000646189702656","Catalog Record")</f>
        <v>Catalog Record</v>
      </c>
      <c r="AV353" s="5" t="str">
        <f>HYPERLINK("http://www.worldcat.org/oclc/28745743","WorldCat Record")</f>
        <v>WorldCat Record</v>
      </c>
      <c r="AW353" s="2" t="s">
        <v>4587</v>
      </c>
      <c r="AX353" s="2" t="s">
        <v>4588</v>
      </c>
      <c r="AY353" s="2" t="s">
        <v>4589</v>
      </c>
      <c r="AZ353" s="2" t="s">
        <v>4589</v>
      </c>
      <c r="BA353" s="2" t="s">
        <v>4590</v>
      </c>
      <c r="BB353" s="2" t="s">
        <v>19</v>
      </c>
      <c r="BD353" s="2" t="s">
        <v>4591</v>
      </c>
      <c r="BE353" s="2" t="s">
        <v>4592</v>
      </c>
      <c r="BF353" s="2" t="s">
        <v>4593</v>
      </c>
    </row>
    <row r="354" spans="1:58" ht="50.25" customHeight="1" x14ac:dyDescent="0.25">
      <c r="A354" s="8" t="s">
        <v>5</v>
      </c>
      <c r="B354" s="1" t="s">
        <v>0</v>
      </c>
      <c r="C354" s="1" t="s">
        <v>1</v>
      </c>
      <c r="D354" s="1" t="s">
        <v>4594</v>
      </c>
      <c r="E354" s="1" t="s">
        <v>4595</v>
      </c>
      <c r="F354" s="1" t="s">
        <v>4596</v>
      </c>
      <c r="H354" s="2" t="s">
        <v>5</v>
      </c>
      <c r="I354" s="2" t="s">
        <v>6</v>
      </c>
      <c r="J354" s="2" t="s">
        <v>5</v>
      </c>
      <c r="K354" s="2" t="s">
        <v>90</v>
      </c>
      <c r="L354" s="2" t="s">
        <v>7</v>
      </c>
      <c r="M354" s="1" t="s">
        <v>4597</v>
      </c>
      <c r="N354" s="1" t="s">
        <v>4598</v>
      </c>
      <c r="O354" s="2" t="s">
        <v>389</v>
      </c>
      <c r="P354" s="1" t="s">
        <v>568</v>
      </c>
      <c r="Q354" s="2" t="s">
        <v>10</v>
      </c>
      <c r="R354" s="2" t="s">
        <v>1279</v>
      </c>
      <c r="T354" s="2" t="s">
        <v>12</v>
      </c>
      <c r="U354" s="3">
        <v>6</v>
      </c>
      <c r="V354" s="3">
        <v>6</v>
      </c>
      <c r="W354" s="4" t="s">
        <v>4379</v>
      </c>
      <c r="X354" s="4" t="s">
        <v>4379</v>
      </c>
      <c r="Y354" s="4" t="s">
        <v>4599</v>
      </c>
      <c r="Z354" s="4" t="s">
        <v>4599</v>
      </c>
      <c r="AA354" s="3">
        <v>292</v>
      </c>
      <c r="AB354" s="3">
        <v>250</v>
      </c>
      <c r="AC354" s="3">
        <v>1420</v>
      </c>
      <c r="AD354" s="3">
        <v>2</v>
      </c>
      <c r="AE354" s="3">
        <v>30</v>
      </c>
      <c r="AF354" s="3">
        <v>9</v>
      </c>
      <c r="AG354" s="3">
        <v>62</v>
      </c>
      <c r="AH354" s="3">
        <v>2</v>
      </c>
      <c r="AI354" s="3">
        <v>21</v>
      </c>
      <c r="AJ354" s="3">
        <v>2</v>
      </c>
      <c r="AK354" s="3">
        <v>10</v>
      </c>
      <c r="AL354" s="3">
        <v>3</v>
      </c>
      <c r="AM354" s="3">
        <v>21</v>
      </c>
      <c r="AN354" s="3">
        <v>1</v>
      </c>
      <c r="AO354" s="3">
        <v>14</v>
      </c>
      <c r="AP354" s="3">
        <v>2</v>
      </c>
      <c r="AQ354" s="3">
        <v>7</v>
      </c>
      <c r="AR354" s="2" t="s">
        <v>5</v>
      </c>
      <c r="AS354" s="2" t="s">
        <v>5</v>
      </c>
      <c r="AU354" s="5" t="str">
        <f>HYPERLINK("https://creighton-primo.hosted.exlibrisgroup.com/primo-explore/search?tab=default_tab&amp;search_scope=EVERYTHING&amp;vid=01CRU&amp;lang=en_US&amp;offset=0&amp;query=any,contains,991000338179702656","Catalog Record")</f>
        <v>Catalog Record</v>
      </c>
      <c r="AV354" s="5" t="str">
        <f>HYPERLINK("http://www.worldcat.org/oclc/46785331","WorldCat Record")</f>
        <v>WorldCat Record</v>
      </c>
      <c r="AW354" s="2" t="s">
        <v>4600</v>
      </c>
      <c r="AX354" s="2" t="s">
        <v>4601</v>
      </c>
      <c r="AY354" s="2" t="s">
        <v>4602</v>
      </c>
      <c r="AZ354" s="2" t="s">
        <v>4602</v>
      </c>
      <c r="BA354" s="2" t="s">
        <v>4603</v>
      </c>
      <c r="BB354" s="2" t="s">
        <v>19</v>
      </c>
      <c r="BD354" s="2" t="s">
        <v>4604</v>
      </c>
      <c r="BE354" s="2" t="s">
        <v>4605</v>
      </c>
      <c r="BF354" s="2" t="s">
        <v>4606</v>
      </c>
    </row>
    <row r="355" spans="1:58" ht="50.25" customHeight="1" x14ac:dyDescent="0.25">
      <c r="A355" s="8" t="s">
        <v>5</v>
      </c>
      <c r="B355" s="1" t="s">
        <v>0</v>
      </c>
      <c r="C355" s="1" t="s">
        <v>1</v>
      </c>
      <c r="D355" s="1" t="s">
        <v>4607</v>
      </c>
      <c r="E355" s="1" t="s">
        <v>4608</v>
      </c>
      <c r="F355" s="1" t="s">
        <v>4609</v>
      </c>
      <c r="H355" s="2" t="s">
        <v>5</v>
      </c>
      <c r="I355" s="2" t="s">
        <v>6</v>
      </c>
      <c r="J355" s="2" t="s">
        <v>5</v>
      </c>
      <c r="K355" s="2" t="s">
        <v>90</v>
      </c>
      <c r="L355" s="2" t="s">
        <v>7</v>
      </c>
      <c r="M355" s="1" t="s">
        <v>4610</v>
      </c>
      <c r="N355" s="1" t="s">
        <v>4611</v>
      </c>
      <c r="O355" s="2" t="s">
        <v>474</v>
      </c>
      <c r="Q355" s="2" t="s">
        <v>10</v>
      </c>
      <c r="R355" s="2" t="s">
        <v>29</v>
      </c>
      <c r="T355" s="2" t="s">
        <v>12</v>
      </c>
      <c r="U355" s="3">
        <v>21</v>
      </c>
      <c r="V355" s="3">
        <v>21</v>
      </c>
      <c r="W355" s="4" t="s">
        <v>4612</v>
      </c>
      <c r="X355" s="4" t="s">
        <v>4612</v>
      </c>
      <c r="Y355" s="4" t="s">
        <v>4613</v>
      </c>
      <c r="Z355" s="4" t="s">
        <v>4613</v>
      </c>
      <c r="AA355" s="3">
        <v>376</v>
      </c>
      <c r="AB355" s="3">
        <v>285</v>
      </c>
      <c r="AC355" s="3">
        <v>995</v>
      </c>
      <c r="AD355" s="3">
        <v>2</v>
      </c>
      <c r="AE355" s="3">
        <v>8</v>
      </c>
      <c r="AF355" s="3">
        <v>15</v>
      </c>
      <c r="AG355" s="3">
        <v>40</v>
      </c>
      <c r="AH355" s="3">
        <v>6</v>
      </c>
      <c r="AI355" s="3">
        <v>15</v>
      </c>
      <c r="AJ355" s="3">
        <v>2</v>
      </c>
      <c r="AK355" s="3">
        <v>8</v>
      </c>
      <c r="AL355" s="3">
        <v>10</v>
      </c>
      <c r="AM355" s="3">
        <v>18</v>
      </c>
      <c r="AN355" s="3">
        <v>1</v>
      </c>
      <c r="AO355" s="3">
        <v>6</v>
      </c>
      <c r="AP355" s="3">
        <v>0</v>
      </c>
      <c r="AQ355" s="3">
        <v>1</v>
      </c>
      <c r="AR355" s="2" t="s">
        <v>5</v>
      </c>
      <c r="AS355" s="2" t="s">
        <v>5</v>
      </c>
      <c r="AU355" s="5" t="str">
        <f>HYPERLINK("https://creighton-primo.hosted.exlibrisgroup.com/primo-explore/search?tab=default_tab&amp;search_scope=EVERYTHING&amp;vid=01CRU&amp;lang=en_US&amp;offset=0&amp;query=any,contains,991001383479702656","Catalog Record")</f>
        <v>Catalog Record</v>
      </c>
      <c r="AV355" s="5" t="str">
        <f>HYPERLINK("http://www.worldcat.org/oclc/19392593","WorldCat Record")</f>
        <v>WorldCat Record</v>
      </c>
      <c r="AW355" s="2" t="s">
        <v>4614</v>
      </c>
      <c r="AX355" s="2" t="s">
        <v>4615</v>
      </c>
      <c r="AY355" s="2" t="s">
        <v>4616</v>
      </c>
      <c r="AZ355" s="2" t="s">
        <v>4616</v>
      </c>
      <c r="BA355" s="2" t="s">
        <v>4617</v>
      </c>
      <c r="BB355" s="2" t="s">
        <v>19</v>
      </c>
      <c r="BD355" s="2" t="s">
        <v>4618</v>
      </c>
      <c r="BE355" s="2" t="s">
        <v>4619</v>
      </c>
      <c r="BF355" s="2" t="s">
        <v>4620</v>
      </c>
    </row>
    <row r="356" spans="1:58" ht="50.25" customHeight="1" x14ac:dyDescent="0.25">
      <c r="A356" s="8" t="s">
        <v>5</v>
      </c>
      <c r="B356" s="1" t="s">
        <v>0</v>
      </c>
      <c r="C356" s="1" t="s">
        <v>1</v>
      </c>
      <c r="D356" s="1" t="s">
        <v>4621</v>
      </c>
      <c r="E356" s="1" t="s">
        <v>4622</v>
      </c>
      <c r="F356" s="1" t="s">
        <v>4623</v>
      </c>
      <c r="H356" s="2" t="s">
        <v>5</v>
      </c>
      <c r="I356" s="2" t="s">
        <v>6</v>
      </c>
      <c r="J356" s="2" t="s">
        <v>5</v>
      </c>
      <c r="K356" s="2" t="s">
        <v>5</v>
      </c>
      <c r="L356" s="2" t="s">
        <v>7</v>
      </c>
      <c r="N356" s="1" t="s">
        <v>4624</v>
      </c>
      <c r="O356" s="2" t="s">
        <v>28</v>
      </c>
      <c r="Q356" s="2" t="s">
        <v>10</v>
      </c>
      <c r="R356" s="2" t="s">
        <v>184</v>
      </c>
      <c r="T356" s="2" t="s">
        <v>12</v>
      </c>
      <c r="U356" s="3">
        <v>15</v>
      </c>
      <c r="V356" s="3">
        <v>15</v>
      </c>
      <c r="W356" s="4" t="s">
        <v>4625</v>
      </c>
      <c r="X356" s="4" t="s">
        <v>4625</v>
      </c>
      <c r="Y356" s="4" t="s">
        <v>4626</v>
      </c>
      <c r="Z356" s="4" t="s">
        <v>4626</v>
      </c>
      <c r="AA356" s="3">
        <v>221</v>
      </c>
      <c r="AB356" s="3">
        <v>208</v>
      </c>
      <c r="AC356" s="3">
        <v>209</v>
      </c>
      <c r="AD356" s="3">
        <v>2</v>
      </c>
      <c r="AE356" s="3">
        <v>2</v>
      </c>
      <c r="AF356" s="3">
        <v>3</v>
      </c>
      <c r="AG356" s="3">
        <v>3</v>
      </c>
      <c r="AH356" s="3">
        <v>2</v>
      </c>
      <c r="AI356" s="3">
        <v>2</v>
      </c>
      <c r="AJ356" s="3">
        <v>0</v>
      </c>
      <c r="AK356" s="3">
        <v>0</v>
      </c>
      <c r="AL356" s="3">
        <v>0</v>
      </c>
      <c r="AM356" s="3">
        <v>0</v>
      </c>
      <c r="AN356" s="3">
        <v>1</v>
      </c>
      <c r="AO356" s="3">
        <v>1</v>
      </c>
      <c r="AP356" s="3">
        <v>0</v>
      </c>
      <c r="AQ356" s="3">
        <v>0</v>
      </c>
      <c r="AR356" s="2" t="s">
        <v>5</v>
      </c>
      <c r="AS356" s="2" t="s">
        <v>90</v>
      </c>
      <c r="AT356" s="5" t="str">
        <f>HYPERLINK("http://catalog.hathitrust.org/Record/001539744","HathiTrust Record")</f>
        <v>HathiTrust Record</v>
      </c>
      <c r="AU356" s="5" t="str">
        <f>HYPERLINK("https://creighton-primo.hosted.exlibrisgroup.com/primo-explore/search?tab=default_tab&amp;search_scope=EVERYTHING&amp;vid=01CRU&amp;lang=en_US&amp;offset=0&amp;query=any,contains,991001250529702656","Catalog Record")</f>
        <v>Catalog Record</v>
      </c>
      <c r="AV356" s="5" t="str">
        <f>HYPERLINK("http://www.worldcat.org/oclc/18071003","WorldCat Record")</f>
        <v>WorldCat Record</v>
      </c>
      <c r="AW356" s="2" t="s">
        <v>4627</v>
      </c>
      <c r="AX356" s="2" t="s">
        <v>4628</v>
      </c>
      <c r="AY356" s="2" t="s">
        <v>4629</v>
      </c>
      <c r="AZ356" s="2" t="s">
        <v>4629</v>
      </c>
      <c r="BA356" s="2" t="s">
        <v>4630</v>
      </c>
      <c r="BB356" s="2" t="s">
        <v>19</v>
      </c>
      <c r="BD356" s="2" t="s">
        <v>4631</v>
      </c>
      <c r="BE356" s="2" t="s">
        <v>4632</v>
      </c>
      <c r="BF356" s="2" t="s">
        <v>4633</v>
      </c>
    </row>
    <row r="357" spans="1:58" ht="50.25" customHeight="1" x14ac:dyDescent="0.25">
      <c r="A357" s="8" t="s">
        <v>5</v>
      </c>
      <c r="B357" s="1" t="s">
        <v>0</v>
      </c>
      <c r="C357" s="1" t="s">
        <v>1</v>
      </c>
      <c r="D357" s="1" t="s">
        <v>4634</v>
      </c>
      <c r="E357" s="1" t="s">
        <v>4635</v>
      </c>
      <c r="F357" s="1" t="s">
        <v>4636</v>
      </c>
      <c r="H357" s="2" t="s">
        <v>5</v>
      </c>
      <c r="I357" s="2" t="s">
        <v>6</v>
      </c>
      <c r="J357" s="2" t="s">
        <v>90</v>
      </c>
      <c r="K357" s="2" t="s">
        <v>5</v>
      </c>
      <c r="L357" s="2" t="s">
        <v>7</v>
      </c>
      <c r="N357" s="1" t="s">
        <v>4637</v>
      </c>
      <c r="O357" s="2" t="s">
        <v>3003</v>
      </c>
      <c r="Q357" s="2" t="s">
        <v>10</v>
      </c>
      <c r="R357" s="2" t="s">
        <v>29</v>
      </c>
      <c r="T357" s="2" t="s">
        <v>12</v>
      </c>
      <c r="U357" s="3">
        <v>17</v>
      </c>
      <c r="V357" s="3">
        <v>17</v>
      </c>
      <c r="W357" s="4" t="s">
        <v>4638</v>
      </c>
      <c r="X357" s="4" t="s">
        <v>4638</v>
      </c>
      <c r="Y357" s="4" t="s">
        <v>4639</v>
      </c>
      <c r="Z357" s="4" t="s">
        <v>4639</v>
      </c>
      <c r="AA357" s="3">
        <v>548</v>
      </c>
      <c r="AB357" s="3">
        <v>455</v>
      </c>
      <c r="AC357" s="3">
        <v>457</v>
      </c>
      <c r="AD357" s="3">
        <v>5</v>
      </c>
      <c r="AE357" s="3">
        <v>5</v>
      </c>
      <c r="AF357" s="3">
        <v>23</v>
      </c>
      <c r="AG357" s="3">
        <v>23</v>
      </c>
      <c r="AH357" s="3">
        <v>8</v>
      </c>
      <c r="AI357" s="3">
        <v>8</v>
      </c>
      <c r="AJ357" s="3">
        <v>6</v>
      </c>
      <c r="AK357" s="3">
        <v>6</v>
      </c>
      <c r="AL357" s="3">
        <v>11</v>
      </c>
      <c r="AM357" s="3">
        <v>11</v>
      </c>
      <c r="AN357" s="3">
        <v>3</v>
      </c>
      <c r="AO357" s="3">
        <v>3</v>
      </c>
      <c r="AP357" s="3">
        <v>2</v>
      </c>
      <c r="AQ357" s="3">
        <v>2</v>
      </c>
      <c r="AR357" s="2" t="s">
        <v>5</v>
      </c>
      <c r="AS357" s="2" t="s">
        <v>90</v>
      </c>
      <c r="AT357" s="5" t="str">
        <f>HYPERLINK("http://catalog.hathitrust.org/Record/000245645","HathiTrust Record")</f>
        <v>HathiTrust Record</v>
      </c>
      <c r="AU357" s="5" t="str">
        <f>HYPERLINK("https://creighton-primo.hosted.exlibrisgroup.com/primo-explore/search?tab=default_tab&amp;search_scope=EVERYTHING&amp;vid=01CRU&amp;lang=en_US&amp;offset=0&amp;query=any,contains,991000729529702656","Catalog Record")</f>
        <v>Catalog Record</v>
      </c>
      <c r="AV357" s="5" t="str">
        <f>HYPERLINK("http://www.worldcat.org/oclc/9829400","WorldCat Record")</f>
        <v>WorldCat Record</v>
      </c>
      <c r="AW357" s="2" t="s">
        <v>4640</v>
      </c>
      <c r="AX357" s="2" t="s">
        <v>4641</v>
      </c>
      <c r="AY357" s="2" t="s">
        <v>4642</v>
      </c>
      <c r="AZ357" s="2" t="s">
        <v>4642</v>
      </c>
      <c r="BA357" s="2" t="s">
        <v>4643</v>
      </c>
      <c r="BB357" s="2" t="s">
        <v>19</v>
      </c>
      <c r="BD357" s="2" t="s">
        <v>4644</v>
      </c>
      <c r="BE357" s="2" t="s">
        <v>4645</v>
      </c>
      <c r="BF357" s="2" t="s">
        <v>4646</v>
      </c>
    </row>
    <row r="358" spans="1:58" ht="50.25" customHeight="1" x14ac:dyDescent="0.25">
      <c r="A358" s="8" t="s">
        <v>5</v>
      </c>
      <c r="B358" s="1" t="s">
        <v>0</v>
      </c>
      <c r="C358" s="1" t="s">
        <v>1</v>
      </c>
      <c r="D358" s="1" t="s">
        <v>4647</v>
      </c>
      <c r="E358" s="1" t="s">
        <v>4648</v>
      </c>
      <c r="F358" s="1" t="s">
        <v>4649</v>
      </c>
      <c r="H358" s="2" t="s">
        <v>5</v>
      </c>
      <c r="I358" s="2" t="s">
        <v>6</v>
      </c>
      <c r="J358" s="2" t="s">
        <v>5</v>
      </c>
      <c r="K358" s="2" t="s">
        <v>5</v>
      </c>
      <c r="L358" s="2" t="s">
        <v>7</v>
      </c>
      <c r="M358" s="1" t="s">
        <v>4650</v>
      </c>
      <c r="N358" s="1" t="s">
        <v>4651</v>
      </c>
      <c r="O358" s="2" t="s">
        <v>274</v>
      </c>
      <c r="Q358" s="2" t="s">
        <v>10</v>
      </c>
      <c r="R358" s="2" t="s">
        <v>77</v>
      </c>
      <c r="S358" s="1" t="s">
        <v>3444</v>
      </c>
      <c r="T358" s="2" t="s">
        <v>12</v>
      </c>
      <c r="U358" s="3">
        <v>15</v>
      </c>
      <c r="V358" s="3">
        <v>15</v>
      </c>
      <c r="W358" s="4" t="s">
        <v>1715</v>
      </c>
      <c r="X358" s="4" t="s">
        <v>1715</v>
      </c>
      <c r="Y358" s="4" t="s">
        <v>4652</v>
      </c>
      <c r="Z358" s="4" t="s">
        <v>4652</v>
      </c>
      <c r="AA358" s="3">
        <v>233</v>
      </c>
      <c r="AB358" s="3">
        <v>148</v>
      </c>
      <c r="AC358" s="3">
        <v>153</v>
      </c>
      <c r="AD358" s="3">
        <v>1</v>
      </c>
      <c r="AE358" s="3">
        <v>1</v>
      </c>
      <c r="AF358" s="3">
        <v>3</v>
      </c>
      <c r="AG358" s="3">
        <v>3</v>
      </c>
      <c r="AH358" s="3">
        <v>0</v>
      </c>
      <c r="AI358" s="3">
        <v>0</v>
      </c>
      <c r="AJ358" s="3">
        <v>1</v>
      </c>
      <c r="AK358" s="3">
        <v>1</v>
      </c>
      <c r="AL358" s="3">
        <v>2</v>
      </c>
      <c r="AM358" s="3">
        <v>2</v>
      </c>
      <c r="AN358" s="3">
        <v>0</v>
      </c>
      <c r="AO358" s="3">
        <v>0</v>
      </c>
      <c r="AP358" s="3">
        <v>0</v>
      </c>
      <c r="AQ358" s="3">
        <v>0</v>
      </c>
      <c r="AR358" s="2" t="s">
        <v>5</v>
      </c>
      <c r="AS358" s="2" t="s">
        <v>5</v>
      </c>
      <c r="AU358" s="5" t="str">
        <f>HYPERLINK("https://creighton-primo.hosted.exlibrisgroup.com/primo-explore/search?tab=default_tab&amp;search_scope=EVERYTHING&amp;vid=01CRU&amp;lang=en_US&amp;offset=0&amp;query=any,contains,991001024499702656","Catalog Record")</f>
        <v>Catalog Record</v>
      </c>
      <c r="AV358" s="5" t="str">
        <f>HYPERLINK("http://www.worldcat.org/oclc/21901447","WorldCat Record")</f>
        <v>WorldCat Record</v>
      </c>
      <c r="AW358" s="2" t="s">
        <v>4653</v>
      </c>
      <c r="AX358" s="2" t="s">
        <v>4654</v>
      </c>
      <c r="AY358" s="2" t="s">
        <v>4655</v>
      </c>
      <c r="AZ358" s="2" t="s">
        <v>4655</v>
      </c>
      <c r="BA358" s="2" t="s">
        <v>4656</v>
      </c>
      <c r="BB358" s="2" t="s">
        <v>19</v>
      </c>
      <c r="BD358" s="2" t="s">
        <v>4657</v>
      </c>
      <c r="BE358" s="2" t="s">
        <v>4658</v>
      </c>
      <c r="BF358" s="2" t="s">
        <v>4659</v>
      </c>
    </row>
    <row r="359" spans="1:58" ht="50.25" customHeight="1" x14ac:dyDescent="0.25">
      <c r="A359" s="8" t="s">
        <v>5</v>
      </c>
      <c r="B359" s="1" t="s">
        <v>0</v>
      </c>
      <c r="C359" s="1" t="s">
        <v>1</v>
      </c>
      <c r="D359" s="1" t="s">
        <v>4660</v>
      </c>
      <c r="E359" s="1" t="s">
        <v>4661</v>
      </c>
      <c r="F359" s="1" t="s">
        <v>4662</v>
      </c>
      <c r="H359" s="2" t="s">
        <v>5</v>
      </c>
      <c r="I359" s="2" t="s">
        <v>6</v>
      </c>
      <c r="J359" s="2" t="s">
        <v>5</v>
      </c>
      <c r="K359" s="2" t="s">
        <v>5</v>
      </c>
      <c r="L359" s="2" t="s">
        <v>7</v>
      </c>
      <c r="N359" s="1" t="s">
        <v>4663</v>
      </c>
      <c r="O359" s="2" t="s">
        <v>289</v>
      </c>
      <c r="Q359" s="2" t="s">
        <v>10</v>
      </c>
      <c r="R359" s="2" t="s">
        <v>405</v>
      </c>
      <c r="T359" s="2" t="s">
        <v>12</v>
      </c>
      <c r="U359" s="3">
        <v>2</v>
      </c>
      <c r="V359" s="3">
        <v>2</v>
      </c>
      <c r="W359" s="4" t="s">
        <v>2611</v>
      </c>
      <c r="X359" s="4" t="s">
        <v>2611</v>
      </c>
      <c r="Y359" s="4" t="s">
        <v>2611</v>
      </c>
      <c r="Z359" s="4" t="s">
        <v>2611</v>
      </c>
      <c r="AA359" s="3">
        <v>361</v>
      </c>
      <c r="AB359" s="3">
        <v>270</v>
      </c>
      <c r="AC359" s="3">
        <v>277</v>
      </c>
      <c r="AD359" s="3">
        <v>2</v>
      </c>
      <c r="AE359" s="3">
        <v>2</v>
      </c>
      <c r="AF359" s="3">
        <v>15</v>
      </c>
      <c r="AG359" s="3">
        <v>15</v>
      </c>
      <c r="AH359" s="3">
        <v>5</v>
      </c>
      <c r="AI359" s="3">
        <v>5</v>
      </c>
      <c r="AJ359" s="3">
        <v>4</v>
      </c>
      <c r="AK359" s="3">
        <v>4</v>
      </c>
      <c r="AL359" s="3">
        <v>8</v>
      </c>
      <c r="AM359" s="3">
        <v>8</v>
      </c>
      <c r="AN359" s="3">
        <v>1</v>
      </c>
      <c r="AO359" s="3">
        <v>1</v>
      </c>
      <c r="AP359" s="3">
        <v>1</v>
      </c>
      <c r="AQ359" s="3">
        <v>1</v>
      </c>
      <c r="AR359" s="2" t="s">
        <v>5</v>
      </c>
      <c r="AS359" s="2" t="s">
        <v>90</v>
      </c>
      <c r="AT359" s="5" t="str">
        <f>HYPERLINK("http://catalog.hathitrust.org/Record/004016177","HathiTrust Record")</f>
        <v>HathiTrust Record</v>
      </c>
      <c r="AU359" s="5" t="str">
        <f>HYPERLINK("https://creighton-primo.hosted.exlibrisgroup.com/primo-explore/search?tab=default_tab&amp;search_scope=EVERYTHING&amp;vid=01CRU&amp;lang=en_US&amp;offset=0&amp;query=any,contains,991000381369702656","Catalog Record")</f>
        <v>Catalog Record</v>
      </c>
      <c r="AV359" s="5" t="str">
        <f>HYPERLINK("http://www.worldcat.org/oclc/39051870","WorldCat Record")</f>
        <v>WorldCat Record</v>
      </c>
      <c r="AW359" s="2" t="s">
        <v>4664</v>
      </c>
      <c r="AX359" s="2" t="s">
        <v>4665</v>
      </c>
      <c r="AY359" s="2" t="s">
        <v>4666</v>
      </c>
      <c r="AZ359" s="2" t="s">
        <v>4666</v>
      </c>
      <c r="BA359" s="2" t="s">
        <v>4667</v>
      </c>
      <c r="BB359" s="2" t="s">
        <v>19</v>
      </c>
      <c r="BD359" s="2" t="s">
        <v>4668</v>
      </c>
      <c r="BE359" s="2" t="s">
        <v>4669</v>
      </c>
      <c r="BF359" s="2" t="s">
        <v>4670</v>
      </c>
    </row>
    <row r="360" spans="1:58" ht="50.25" customHeight="1" x14ac:dyDescent="0.25">
      <c r="A360" s="8" t="s">
        <v>5</v>
      </c>
      <c r="B360" s="1" t="s">
        <v>0</v>
      </c>
      <c r="C360" s="1" t="s">
        <v>1</v>
      </c>
      <c r="D360" s="1" t="s">
        <v>4671</v>
      </c>
      <c r="E360" s="1" t="s">
        <v>4672</v>
      </c>
      <c r="F360" s="1" t="s">
        <v>4673</v>
      </c>
      <c r="H360" s="2" t="s">
        <v>5</v>
      </c>
      <c r="I360" s="2" t="s">
        <v>6</v>
      </c>
      <c r="J360" s="2" t="s">
        <v>5</v>
      </c>
      <c r="K360" s="2" t="s">
        <v>5</v>
      </c>
      <c r="L360" s="2" t="s">
        <v>7</v>
      </c>
      <c r="N360" s="1" t="s">
        <v>4674</v>
      </c>
      <c r="O360" s="2" t="s">
        <v>213</v>
      </c>
      <c r="Q360" s="2" t="s">
        <v>10</v>
      </c>
      <c r="R360" s="2" t="s">
        <v>77</v>
      </c>
      <c r="T360" s="2" t="s">
        <v>12</v>
      </c>
      <c r="U360" s="3">
        <v>10</v>
      </c>
      <c r="V360" s="3">
        <v>10</v>
      </c>
      <c r="W360" s="4" t="s">
        <v>4675</v>
      </c>
      <c r="X360" s="4" t="s">
        <v>4675</v>
      </c>
      <c r="Y360" s="4" t="s">
        <v>611</v>
      </c>
      <c r="Z360" s="4" t="s">
        <v>611</v>
      </c>
      <c r="AA360" s="3">
        <v>256</v>
      </c>
      <c r="AB360" s="3">
        <v>114</v>
      </c>
      <c r="AC360" s="3">
        <v>120</v>
      </c>
      <c r="AD360" s="3">
        <v>1</v>
      </c>
      <c r="AE360" s="3">
        <v>1</v>
      </c>
      <c r="AF360" s="3">
        <v>2</v>
      </c>
      <c r="AG360" s="3">
        <v>2</v>
      </c>
      <c r="AH360" s="3">
        <v>0</v>
      </c>
      <c r="AI360" s="3">
        <v>0</v>
      </c>
      <c r="AJ360" s="3">
        <v>2</v>
      </c>
      <c r="AK360" s="3">
        <v>2</v>
      </c>
      <c r="AL360" s="3">
        <v>1</v>
      </c>
      <c r="AM360" s="3">
        <v>1</v>
      </c>
      <c r="AN360" s="3">
        <v>0</v>
      </c>
      <c r="AO360" s="3">
        <v>0</v>
      </c>
      <c r="AP360" s="3">
        <v>0</v>
      </c>
      <c r="AQ360" s="3">
        <v>0</v>
      </c>
      <c r="AR360" s="2" t="s">
        <v>5</v>
      </c>
      <c r="AS360" s="2" t="s">
        <v>5</v>
      </c>
      <c r="AU360" s="5" t="str">
        <f>HYPERLINK("https://creighton-primo.hosted.exlibrisgroup.com/primo-explore/search?tab=default_tab&amp;search_scope=EVERYTHING&amp;vid=01CRU&amp;lang=en_US&amp;offset=0&amp;query=any,contains,991001432099702656","Catalog Record")</f>
        <v>Catalog Record</v>
      </c>
      <c r="AV360" s="5" t="str">
        <f>HYPERLINK("http://www.worldcat.org/oclc/24009535","WorldCat Record")</f>
        <v>WorldCat Record</v>
      </c>
      <c r="AW360" s="2" t="s">
        <v>4676</v>
      </c>
      <c r="AX360" s="2" t="s">
        <v>4677</v>
      </c>
      <c r="AY360" s="2" t="s">
        <v>4678</v>
      </c>
      <c r="AZ360" s="2" t="s">
        <v>4678</v>
      </c>
      <c r="BA360" s="2" t="s">
        <v>4679</v>
      </c>
      <c r="BB360" s="2" t="s">
        <v>19</v>
      </c>
      <c r="BD360" s="2" t="s">
        <v>4680</v>
      </c>
      <c r="BE360" s="2" t="s">
        <v>4681</v>
      </c>
      <c r="BF360" s="2" t="s">
        <v>4682</v>
      </c>
    </row>
    <row r="361" spans="1:58" ht="50.25" customHeight="1" x14ac:dyDescent="0.25">
      <c r="A361" s="8" t="s">
        <v>5</v>
      </c>
      <c r="B361" s="1" t="s">
        <v>0</v>
      </c>
      <c r="C361" s="1" t="s">
        <v>1</v>
      </c>
      <c r="D361" s="1" t="s">
        <v>4683</v>
      </c>
      <c r="E361" s="1" t="s">
        <v>4684</v>
      </c>
      <c r="F361" s="1" t="s">
        <v>4685</v>
      </c>
      <c r="H361" s="2" t="s">
        <v>5</v>
      </c>
      <c r="I361" s="2" t="s">
        <v>6</v>
      </c>
      <c r="J361" s="2" t="s">
        <v>5</v>
      </c>
      <c r="K361" s="2" t="s">
        <v>5</v>
      </c>
      <c r="L361" s="2" t="s">
        <v>7</v>
      </c>
      <c r="N361" s="1" t="s">
        <v>4686</v>
      </c>
      <c r="O361" s="2" t="s">
        <v>228</v>
      </c>
      <c r="Q361" s="2" t="s">
        <v>10</v>
      </c>
      <c r="R361" s="2" t="s">
        <v>29</v>
      </c>
      <c r="T361" s="2" t="s">
        <v>12</v>
      </c>
      <c r="U361" s="3">
        <v>10</v>
      </c>
      <c r="V361" s="3">
        <v>10</v>
      </c>
      <c r="W361" s="4" t="s">
        <v>4687</v>
      </c>
      <c r="X361" s="4" t="s">
        <v>4687</v>
      </c>
      <c r="Y361" s="4" t="s">
        <v>4688</v>
      </c>
      <c r="Z361" s="4" t="s">
        <v>4688</v>
      </c>
      <c r="AA361" s="3">
        <v>292</v>
      </c>
      <c r="AB361" s="3">
        <v>231</v>
      </c>
      <c r="AC361" s="3">
        <v>238</v>
      </c>
      <c r="AD361" s="3">
        <v>1</v>
      </c>
      <c r="AE361" s="3">
        <v>1</v>
      </c>
      <c r="AF361" s="3">
        <v>8</v>
      </c>
      <c r="AG361" s="3">
        <v>8</v>
      </c>
      <c r="AH361" s="3">
        <v>1</v>
      </c>
      <c r="AI361" s="3">
        <v>1</v>
      </c>
      <c r="AJ361" s="3">
        <v>3</v>
      </c>
      <c r="AK361" s="3">
        <v>3</v>
      </c>
      <c r="AL361" s="3">
        <v>5</v>
      </c>
      <c r="AM361" s="3">
        <v>5</v>
      </c>
      <c r="AN361" s="3">
        <v>0</v>
      </c>
      <c r="AO361" s="3">
        <v>0</v>
      </c>
      <c r="AP361" s="3">
        <v>2</v>
      </c>
      <c r="AQ361" s="3">
        <v>2</v>
      </c>
      <c r="AR361" s="2" t="s">
        <v>5</v>
      </c>
      <c r="AS361" s="2" t="s">
        <v>90</v>
      </c>
      <c r="AT361" s="5" t="str">
        <f>HYPERLINK("http://catalog.hathitrust.org/Record/001075844","HathiTrust Record")</f>
        <v>HathiTrust Record</v>
      </c>
      <c r="AU361" s="5" t="str">
        <f>HYPERLINK("https://creighton-primo.hosted.exlibrisgroup.com/primo-explore/search?tab=default_tab&amp;search_scope=EVERYTHING&amp;vid=01CRU&amp;lang=en_US&amp;offset=0&amp;query=any,contains,991001251349702656","Catalog Record")</f>
        <v>Catalog Record</v>
      </c>
      <c r="AV361" s="5" t="str">
        <f>HYPERLINK("http://www.worldcat.org/oclc/16225436","WorldCat Record")</f>
        <v>WorldCat Record</v>
      </c>
      <c r="AW361" s="2" t="s">
        <v>4689</v>
      </c>
      <c r="AX361" s="2" t="s">
        <v>4690</v>
      </c>
      <c r="AY361" s="2" t="s">
        <v>4691</v>
      </c>
      <c r="AZ361" s="2" t="s">
        <v>4691</v>
      </c>
      <c r="BA361" s="2" t="s">
        <v>4692</v>
      </c>
      <c r="BB361" s="2" t="s">
        <v>19</v>
      </c>
      <c r="BD361" s="2" t="s">
        <v>4693</v>
      </c>
      <c r="BE361" s="2" t="s">
        <v>4694</v>
      </c>
      <c r="BF361" s="2" t="s">
        <v>4695</v>
      </c>
    </row>
    <row r="362" spans="1:58" ht="50.25" customHeight="1" x14ac:dyDescent="0.25">
      <c r="A362" s="8" t="s">
        <v>5</v>
      </c>
      <c r="B362" s="1" t="s">
        <v>0</v>
      </c>
      <c r="C362" s="1" t="s">
        <v>1</v>
      </c>
      <c r="D362" s="1" t="s">
        <v>4696</v>
      </c>
      <c r="E362" s="1" t="s">
        <v>4697</v>
      </c>
      <c r="F362" s="1" t="s">
        <v>4698</v>
      </c>
      <c r="H362" s="2" t="s">
        <v>5</v>
      </c>
      <c r="I362" s="2" t="s">
        <v>6</v>
      </c>
      <c r="J362" s="2" t="s">
        <v>5</v>
      </c>
      <c r="K362" s="2" t="s">
        <v>5</v>
      </c>
      <c r="L362" s="2" t="s">
        <v>6</v>
      </c>
      <c r="M362" s="1" t="s">
        <v>4699</v>
      </c>
      <c r="N362" s="1" t="s">
        <v>4700</v>
      </c>
      <c r="O362" s="2" t="s">
        <v>274</v>
      </c>
      <c r="Q362" s="2" t="s">
        <v>10</v>
      </c>
      <c r="R362" s="2" t="s">
        <v>45</v>
      </c>
      <c r="T362" s="2" t="s">
        <v>12</v>
      </c>
      <c r="U362" s="3">
        <v>16</v>
      </c>
      <c r="V362" s="3">
        <v>16</v>
      </c>
      <c r="W362" s="4" t="s">
        <v>4269</v>
      </c>
      <c r="X362" s="4" t="s">
        <v>4269</v>
      </c>
      <c r="Y362" s="4" t="s">
        <v>4701</v>
      </c>
      <c r="Z362" s="4" t="s">
        <v>4701</v>
      </c>
      <c r="AA362" s="3">
        <v>388</v>
      </c>
      <c r="AB362" s="3">
        <v>313</v>
      </c>
      <c r="AC362" s="3">
        <v>1006</v>
      </c>
      <c r="AD362" s="3">
        <v>1</v>
      </c>
      <c r="AE362" s="3">
        <v>15</v>
      </c>
      <c r="AF362" s="3">
        <v>11</v>
      </c>
      <c r="AG362" s="3">
        <v>42</v>
      </c>
      <c r="AH362" s="3">
        <v>4</v>
      </c>
      <c r="AI362" s="3">
        <v>15</v>
      </c>
      <c r="AJ362" s="3">
        <v>5</v>
      </c>
      <c r="AK362" s="3">
        <v>8</v>
      </c>
      <c r="AL362" s="3">
        <v>5</v>
      </c>
      <c r="AM362" s="3">
        <v>12</v>
      </c>
      <c r="AN362" s="3">
        <v>0</v>
      </c>
      <c r="AO362" s="3">
        <v>13</v>
      </c>
      <c r="AP362" s="3">
        <v>0</v>
      </c>
      <c r="AQ362" s="3">
        <v>1</v>
      </c>
      <c r="AR362" s="2" t="s">
        <v>5</v>
      </c>
      <c r="AS362" s="2" t="s">
        <v>5</v>
      </c>
      <c r="AU362" s="5" t="str">
        <f>HYPERLINK("https://creighton-primo.hosted.exlibrisgroup.com/primo-explore/search?tab=default_tab&amp;search_scope=EVERYTHING&amp;vid=01CRU&amp;lang=en_US&amp;offset=0&amp;query=any,contains,991001299229702656","Catalog Record")</f>
        <v>Catalog Record</v>
      </c>
      <c r="AV362" s="5" t="str">
        <f>HYPERLINK("http://www.worldcat.org/oclc/21873635","WorldCat Record")</f>
        <v>WorldCat Record</v>
      </c>
      <c r="AW362" s="2" t="s">
        <v>4702</v>
      </c>
      <c r="AX362" s="2" t="s">
        <v>4703</v>
      </c>
      <c r="AY362" s="2" t="s">
        <v>4704</v>
      </c>
      <c r="AZ362" s="2" t="s">
        <v>4704</v>
      </c>
      <c r="BA362" s="2" t="s">
        <v>4705</v>
      </c>
      <c r="BB362" s="2" t="s">
        <v>19</v>
      </c>
      <c r="BD362" s="2" t="s">
        <v>4706</v>
      </c>
      <c r="BE362" s="2" t="s">
        <v>4707</v>
      </c>
      <c r="BF362" s="2" t="s">
        <v>4708</v>
      </c>
    </row>
    <row r="363" spans="1:58" ht="50.25" customHeight="1" x14ac:dyDescent="0.25">
      <c r="A363" s="8" t="s">
        <v>5</v>
      </c>
      <c r="B363" s="1" t="s">
        <v>0</v>
      </c>
      <c r="C363" s="1" t="s">
        <v>1</v>
      </c>
      <c r="D363" s="1" t="s">
        <v>4709</v>
      </c>
      <c r="E363" s="1" t="s">
        <v>4710</v>
      </c>
      <c r="F363" s="1" t="s">
        <v>4711</v>
      </c>
      <c r="G363" s="2" t="s">
        <v>839</v>
      </c>
      <c r="H363" s="2" t="s">
        <v>90</v>
      </c>
      <c r="I363" s="2" t="s">
        <v>6</v>
      </c>
      <c r="J363" s="2" t="s">
        <v>5</v>
      </c>
      <c r="K363" s="2" t="s">
        <v>5</v>
      </c>
      <c r="L363" s="2" t="s">
        <v>7</v>
      </c>
      <c r="M363" s="1" t="s">
        <v>4712</v>
      </c>
      <c r="N363" s="1" t="s">
        <v>4713</v>
      </c>
      <c r="O363" s="2" t="s">
        <v>274</v>
      </c>
      <c r="Q363" s="2" t="s">
        <v>10</v>
      </c>
      <c r="R363" s="2" t="s">
        <v>11</v>
      </c>
      <c r="T363" s="2" t="s">
        <v>12</v>
      </c>
      <c r="U363" s="3">
        <v>13</v>
      </c>
      <c r="V363" s="3">
        <v>28</v>
      </c>
      <c r="W363" s="4" t="s">
        <v>2937</v>
      </c>
      <c r="X363" s="4" t="s">
        <v>2937</v>
      </c>
      <c r="Y363" s="4" t="s">
        <v>3607</v>
      </c>
      <c r="Z363" s="4" t="s">
        <v>3607</v>
      </c>
      <c r="AA363" s="3">
        <v>574</v>
      </c>
      <c r="AB363" s="3">
        <v>477</v>
      </c>
      <c r="AC363" s="3">
        <v>642</v>
      </c>
      <c r="AD363" s="3">
        <v>2</v>
      </c>
      <c r="AE363" s="3">
        <v>2</v>
      </c>
      <c r="AF363" s="3">
        <v>19</v>
      </c>
      <c r="AG363" s="3">
        <v>23</v>
      </c>
      <c r="AH363" s="3">
        <v>9</v>
      </c>
      <c r="AI363" s="3">
        <v>12</v>
      </c>
      <c r="AJ363" s="3">
        <v>4</v>
      </c>
      <c r="AK363" s="3">
        <v>6</v>
      </c>
      <c r="AL363" s="3">
        <v>11</v>
      </c>
      <c r="AM363" s="3">
        <v>12</v>
      </c>
      <c r="AN363" s="3">
        <v>1</v>
      </c>
      <c r="AO363" s="3">
        <v>1</v>
      </c>
      <c r="AP363" s="3">
        <v>0</v>
      </c>
      <c r="AQ363" s="3">
        <v>0</v>
      </c>
      <c r="AR363" s="2" t="s">
        <v>5</v>
      </c>
      <c r="AS363" s="2" t="s">
        <v>90</v>
      </c>
      <c r="AT363" s="5" t="str">
        <f>HYPERLINK("http://catalog.hathitrust.org/Record/002437499","HathiTrust Record")</f>
        <v>HathiTrust Record</v>
      </c>
      <c r="AU363" s="5" t="str">
        <f>HYPERLINK("https://creighton-primo.hosted.exlibrisgroup.com/primo-explore/search?tab=default_tab&amp;search_scope=EVERYTHING&amp;vid=01CRU&amp;lang=en_US&amp;offset=0&amp;query=any,contains,991000827139702656","Catalog Record")</f>
        <v>Catalog Record</v>
      </c>
      <c r="AV363" s="5" t="str">
        <f>HYPERLINK("http://www.worldcat.org/oclc/21525183","WorldCat Record")</f>
        <v>WorldCat Record</v>
      </c>
      <c r="AW363" s="2" t="s">
        <v>4714</v>
      </c>
      <c r="AX363" s="2" t="s">
        <v>4715</v>
      </c>
      <c r="AY363" s="2" t="s">
        <v>4716</v>
      </c>
      <c r="AZ363" s="2" t="s">
        <v>4716</v>
      </c>
      <c r="BA363" s="2" t="s">
        <v>4717</v>
      </c>
      <c r="BB363" s="2" t="s">
        <v>19</v>
      </c>
      <c r="BD363" s="2" t="s">
        <v>4718</v>
      </c>
      <c r="BE363" s="2" t="s">
        <v>4719</v>
      </c>
      <c r="BF363" s="2" t="s">
        <v>4720</v>
      </c>
    </row>
    <row r="364" spans="1:58" ht="50.25" customHeight="1" x14ac:dyDescent="0.25">
      <c r="A364" s="8" t="s">
        <v>5</v>
      </c>
      <c r="B364" s="1" t="s">
        <v>0</v>
      </c>
      <c r="C364" s="1" t="s">
        <v>1</v>
      </c>
      <c r="D364" s="1" t="s">
        <v>4721</v>
      </c>
      <c r="E364" s="1" t="s">
        <v>4722</v>
      </c>
      <c r="F364" s="1" t="s">
        <v>4711</v>
      </c>
      <c r="G364" s="2" t="s">
        <v>822</v>
      </c>
      <c r="H364" s="2" t="s">
        <v>90</v>
      </c>
      <c r="I364" s="2" t="s">
        <v>6</v>
      </c>
      <c r="J364" s="2" t="s">
        <v>5</v>
      </c>
      <c r="K364" s="2" t="s">
        <v>5</v>
      </c>
      <c r="L364" s="2" t="s">
        <v>7</v>
      </c>
      <c r="M364" s="1" t="s">
        <v>4712</v>
      </c>
      <c r="N364" s="1" t="s">
        <v>4713</v>
      </c>
      <c r="O364" s="2" t="s">
        <v>274</v>
      </c>
      <c r="Q364" s="2" t="s">
        <v>10</v>
      </c>
      <c r="R364" s="2" t="s">
        <v>11</v>
      </c>
      <c r="T364" s="2" t="s">
        <v>12</v>
      </c>
      <c r="U364" s="3">
        <v>15</v>
      </c>
      <c r="V364" s="3">
        <v>28</v>
      </c>
      <c r="W364" s="4" t="s">
        <v>4723</v>
      </c>
      <c r="X364" s="4" t="s">
        <v>2937</v>
      </c>
      <c r="Y364" s="4" t="s">
        <v>4724</v>
      </c>
      <c r="Z364" s="4" t="s">
        <v>3607</v>
      </c>
      <c r="AA364" s="3">
        <v>574</v>
      </c>
      <c r="AB364" s="3">
        <v>477</v>
      </c>
      <c r="AC364" s="3">
        <v>642</v>
      </c>
      <c r="AD364" s="3">
        <v>2</v>
      </c>
      <c r="AE364" s="3">
        <v>2</v>
      </c>
      <c r="AF364" s="3">
        <v>19</v>
      </c>
      <c r="AG364" s="3">
        <v>23</v>
      </c>
      <c r="AH364" s="3">
        <v>9</v>
      </c>
      <c r="AI364" s="3">
        <v>12</v>
      </c>
      <c r="AJ364" s="3">
        <v>4</v>
      </c>
      <c r="AK364" s="3">
        <v>6</v>
      </c>
      <c r="AL364" s="3">
        <v>11</v>
      </c>
      <c r="AM364" s="3">
        <v>12</v>
      </c>
      <c r="AN364" s="3">
        <v>1</v>
      </c>
      <c r="AO364" s="3">
        <v>1</v>
      </c>
      <c r="AP364" s="3">
        <v>0</v>
      </c>
      <c r="AQ364" s="3">
        <v>0</v>
      </c>
      <c r="AR364" s="2" t="s">
        <v>5</v>
      </c>
      <c r="AS364" s="2" t="s">
        <v>90</v>
      </c>
      <c r="AT364" s="5" t="str">
        <f>HYPERLINK("http://catalog.hathitrust.org/Record/002437499","HathiTrust Record")</f>
        <v>HathiTrust Record</v>
      </c>
      <c r="AU364" s="5" t="str">
        <f>HYPERLINK("https://creighton-primo.hosted.exlibrisgroup.com/primo-explore/search?tab=default_tab&amp;search_scope=EVERYTHING&amp;vid=01CRU&amp;lang=en_US&amp;offset=0&amp;query=any,contains,991000827139702656","Catalog Record")</f>
        <v>Catalog Record</v>
      </c>
      <c r="AV364" s="5" t="str">
        <f>HYPERLINK("http://www.worldcat.org/oclc/21525183","WorldCat Record")</f>
        <v>WorldCat Record</v>
      </c>
      <c r="AW364" s="2" t="s">
        <v>4714</v>
      </c>
      <c r="AX364" s="2" t="s">
        <v>4715</v>
      </c>
      <c r="AY364" s="2" t="s">
        <v>4716</v>
      </c>
      <c r="AZ364" s="2" t="s">
        <v>4716</v>
      </c>
      <c r="BA364" s="2" t="s">
        <v>4717</v>
      </c>
      <c r="BB364" s="2" t="s">
        <v>19</v>
      </c>
      <c r="BD364" s="2" t="s">
        <v>4718</v>
      </c>
      <c r="BE364" s="2" t="s">
        <v>4725</v>
      </c>
      <c r="BF364" s="2" t="s">
        <v>4726</v>
      </c>
    </row>
    <row r="365" spans="1:58" ht="50.25" customHeight="1" x14ac:dyDescent="0.25">
      <c r="A365" s="8" t="s">
        <v>5</v>
      </c>
      <c r="B365" s="1" t="s">
        <v>0</v>
      </c>
      <c r="C365" s="1" t="s">
        <v>1</v>
      </c>
      <c r="D365" s="1" t="s">
        <v>4727</v>
      </c>
      <c r="E365" s="1" t="s">
        <v>4728</v>
      </c>
      <c r="F365" s="1" t="s">
        <v>4729</v>
      </c>
      <c r="H365" s="2" t="s">
        <v>5</v>
      </c>
      <c r="I365" s="2" t="s">
        <v>6</v>
      </c>
      <c r="J365" s="2" t="s">
        <v>5</v>
      </c>
      <c r="K365" s="2" t="s">
        <v>5</v>
      </c>
      <c r="L365" s="2" t="s">
        <v>7</v>
      </c>
      <c r="N365" s="1" t="s">
        <v>4730</v>
      </c>
      <c r="O365" s="2" t="s">
        <v>28</v>
      </c>
      <c r="Q365" s="2" t="s">
        <v>10</v>
      </c>
      <c r="R365" s="2" t="s">
        <v>29</v>
      </c>
      <c r="S365" s="1" t="s">
        <v>4731</v>
      </c>
      <c r="T365" s="2" t="s">
        <v>12</v>
      </c>
      <c r="U365" s="3">
        <v>16</v>
      </c>
      <c r="V365" s="3">
        <v>16</v>
      </c>
      <c r="W365" s="4" t="s">
        <v>4732</v>
      </c>
      <c r="X365" s="4" t="s">
        <v>4732</v>
      </c>
      <c r="Y365" s="4" t="s">
        <v>4733</v>
      </c>
      <c r="Z365" s="4" t="s">
        <v>4733</v>
      </c>
      <c r="AA365" s="3">
        <v>335</v>
      </c>
      <c r="AB365" s="3">
        <v>197</v>
      </c>
      <c r="AC365" s="3">
        <v>202</v>
      </c>
      <c r="AD365" s="3">
        <v>1</v>
      </c>
      <c r="AE365" s="3">
        <v>1</v>
      </c>
      <c r="AF365" s="3">
        <v>6</v>
      </c>
      <c r="AG365" s="3">
        <v>6</v>
      </c>
      <c r="AH365" s="3">
        <v>2</v>
      </c>
      <c r="AI365" s="3">
        <v>2</v>
      </c>
      <c r="AJ365" s="3">
        <v>2</v>
      </c>
      <c r="AK365" s="3">
        <v>2</v>
      </c>
      <c r="AL365" s="3">
        <v>2</v>
      </c>
      <c r="AM365" s="3">
        <v>2</v>
      </c>
      <c r="AN365" s="3">
        <v>0</v>
      </c>
      <c r="AO365" s="3">
        <v>0</v>
      </c>
      <c r="AP365" s="3">
        <v>1</v>
      </c>
      <c r="AQ365" s="3">
        <v>1</v>
      </c>
      <c r="AR365" s="2" t="s">
        <v>5</v>
      </c>
      <c r="AS365" s="2" t="s">
        <v>5</v>
      </c>
      <c r="AU365" s="5" t="str">
        <f>HYPERLINK("https://creighton-primo.hosted.exlibrisgroup.com/primo-explore/search?tab=default_tab&amp;search_scope=EVERYTHING&amp;vid=01CRU&amp;lang=en_US&amp;offset=0&amp;query=any,contains,991001454849702656","Catalog Record")</f>
        <v>Catalog Record</v>
      </c>
      <c r="AV365" s="5" t="str">
        <f>HYPERLINK("http://www.worldcat.org/oclc/17768682","WorldCat Record")</f>
        <v>WorldCat Record</v>
      </c>
      <c r="AW365" s="2" t="s">
        <v>4734</v>
      </c>
      <c r="AX365" s="2" t="s">
        <v>4735</v>
      </c>
      <c r="AY365" s="2" t="s">
        <v>4736</v>
      </c>
      <c r="AZ365" s="2" t="s">
        <v>4736</v>
      </c>
      <c r="BA365" s="2" t="s">
        <v>4737</v>
      </c>
      <c r="BB365" s="2" t="s">
        <v>19</v>
      </c>
      <c r="BD365" s="2" t="s">
        <v>4738</v>
      </c>
      <c r="BE365" s="2" t="s">
        <v>4739</v>
      </c>
      <c r="BF365" s="2" t="s">
        <v>4740</v>
      </c>
    </row>
    <row r="366" spans="1:58" ht="50.25" customHeight="1" x14ac:dyDescent="0.25">
      <c r="A366" s="8" t="s">
        <v>5</v>
      </c>
      <c r="B366" s="1" t="s">
        <v>0</v>
      </c>
      <c r="C366" s="1" t="s">
        <v>1</v>
      </c>
      <c r="D366" s="1" t="s">
        <v>4741</v>
      </c>
      <c r="E366" s="1" t="s">
        <v>4742</v>
      </c>
      <c r="F366" s="1" t="s">
        <v>4743</v>
      </c>
      <c r="H366" s="2" t="s">
        <v>5</v>
      </c>
      <c r="I366" s="2" t="s">
        <v>6</v>
      </c>
      <c r="J366" s="2" t="s">
        <v>5</v>
      </c>
      <c r="K366" s="2" t="s">
        <v>5</v>
      </c>
      <c r="L366" s="2" t="s">
        <v>6</v>
      </c>
      <c r="M366" s="1" t="s">
        <v>4744</v>
      </c>
      <c r="N366" s="1" t="s">
        <v>4745</v>
      </c>
      <c r="O366" s="2" t="s">
        <v>489</v>
      </c>
      <c r="Q366" s="2" t="s">
        <v>10</v>
      </c>
      <c r="R366" s="2" t="s">
        <v>405</v>
      </c>
      <c r="T366" s="2" t="s">
        <v>12</v>
      </c>
      <c r="U366" s="3">
        <v>0</v>
      </c>
      <c r="V366" s="3">
        <v>0</v>
      </c>
      <c r="W366" s="4" t="s">
        <v>1702</v>
      </c>
      <c r="X366" s="4" t="s">
        <v>1702</v>
      </c>
      <c r="Y366" s="4" t="s">
        <v>1944</v>
      </c>
      <c r="Z366" s="4" t="s">
        <v>1944</v>
      </c>
      <c r="AA366" s="3">
        <v>371</v>
      </c>
      <c r="AB366" s="3">
        <v>347</v>
      </c>
      <c r="AC366" s="3">
        <v>1050</v>
      </c>
      <c r="AD366" s="3">
        <v>2</v>
      </c>
      <c r="AE366" s="3">
        <v>14</v>
      </c>
      <c r="AF366" s="3">
        <v>20</v>
      </c>
      <c r="AG366" s="3">
        <v>43</v>
      </c>
      <c r="AH366" s="3">
        <v>5</v>
      </c>
      <c r="AI366" s="3">
        <v>12</v>
      </c>
      <c r="AJ366" s="3">
        <v>6</v>
      </c>
      <c r="AK366" s="3">
        <v>10</v>
      </c>
      <c r="AL366" s="3">
        <v>12</v>
      </c>
      <c r="AM366" s="3">
        <v>16</v>
      </c>
      <c r="AN366" s="3">
        <v>1</v>
      </c>
      <c r="AO366" s="3">
        <v>12</v>
      </c>
      <c r="AP366" s="3">
        <v>0</v>
      </c>
      <c r="AQ366" s="3">
        <v>1</v>
      </c>
      <c r="AR366" s="2" t="s">
        <v>5</v>
      </c>
      <c r="AS366" s="2" t="s">
        <v>90</v>
      </c>
      <c r="AT366" s="5" t="str">
        <f>HYPERLINK("http://catalog.hathitrust.org/Record/004119150","HathiTrust Record")</f>
        <v>HathiTrust Record</v>
      </c>
      <c r="AU366" s="5" t="str">
        <f>HYPERLINK("https://creighton-primo.hosted.exlibrisgroup.com/primo-explore/search?tab=default_tab&amp;search_scope=EVERYTHING&amp;vid=01CRU&amp;lang=en_US&amp;offset=0&amp;query=any,contains,991000372249702656","Catalog Record")</f>
        <v>Catalog Record</v>
      </c>
      <c r="AV366" s="5" t="str">
        <f>HYPERLINK("http://www.worldcat.org/oclc/41662237","WorldCat Record")</f>
        <v>WorldCat Record</v>
      </c>
      <c r="AW366" s="2" t="s">
        <v>4746</v>
      </c>
      <c r="AX366" s="2" t="s">
        <v>4747</v>
      </c>
      <c r="AY366" s="2" t="s">
        <v>4748</v>
      </c>
      <c r="AZ366" s="2" t="s">
        <v>4748</v>
      </c>
      <c r="BA366" s="2" t="s">
        <v>4749</v>
      </c>
      <c r="BB366" s="2" t="s">
        <v>19</v>
      </c>
      <c r="BD366" s="2" t="s">
        <v>4750</v>
      </c>
      <c r="BE366" s="2" t="s">
        <v>4751</v>
      </c>
      <c r="BF366" s="2" t="s">
        <v>4752</v>
      </c>
    </row>
    <row r="367" spans="1:58" ht="50.25" customHeight="1" x14ac:dyDescent="0.25">
      <c r="A367" s="8" t="s">
        <v>5</v>
      </c>
      <c r="B367" s="1" t="s">
        <v>0</v>
      </c>
      <c r="C367" s="1" t="s">
        <v>1</v>
      </c>
      <c r="D367" s="1" t="s">
        <v>4753</v>
      </c>
      <c r="E367" s="1" t="s">
        <v>4754</v>
      </c>
      <c r="F367" s="1" t="s">
        <v>4755</v>
      </c>
      <c r="H367" s="2" t="s">
        <v>5</v>
      </c>
      <c r="I367" s="2" t="s">
        <v>6</v>
      </c>
      <c r="J367" s="2" t="s">
        <v>5</v>
      </c>
      <c r="K367" s="2" t="s">
        <v>5</v>
      </c>
      <c r="L367" s="2" t="s">
        <v>7</v>
      </c>
      <c r="N367" s="1" t="s">
        <v>4756</v>
      </c>
      <c r="O367" s="2" t="s">
        <v>474</v>
      </c>
      <c r="Q367" s="2" t="s">
        <v>10</v>
      </c>
      <c r="R367" s="2" t="s">
        <v>29</v>
      </c>
      <c r="T367" s="2" t="s">
        <v>12</v>
      </c>
      <c r="U367" s="3">
        <v>2</v>
      </c>
      <c r="V367" s="3">
        <v>2</v>
      </c>
      <c r="W367" s="4" t="s">
        <v>4757</v>
      </c>
      <c r="X367" s="4" t="s">
        <v>4757</v>
      </c>
      <c r="Y367" s="4" t="s">
        <v>4758</v>
      </c>
      <c r="Z367" s="4" t="s">
        <v>4758</v>
      </c>
      <c r="AA367" s="3">
        <v>258</v>
      </c>
      <c r="AB367" s="3">
        <v>253</v>
      </c>
      <c r="AC367" s="3">
        <v>264</v>
      </c>
      <c r="AD367" s="3">
        <v>1</v>
      </c>
      <c r="AE367" s="3">
        <v>1</v>
      </c>
      <c r="AF367" s="3">
        <v>7</v>
      </c>
      <c r="AG367" s="3">
        <v>7</v>
      </c>
      <c r="AH367" s="3">
        <v>1</v>
      </c>
      <c r="AI367" s="3">
        <v>1</v>
      </c>
      <c r="AJ367" s="3">
        <v>1</v>
      </c>
      <c r="AK367" s="3">
        <v>1</v>
      </c>
      <c r="AL367" s="3">
        <v>4</v>
      </c>
      <c r="AM367" s="3">
        <v>4</v>
      </c>
      <c r="AN367" s="3">
        <v>0</v>
      </c>
      <c r="AO367" s="3">
        <v>0</v>
      </c>
      <c r="AP367" s="3">
        <v>2</v>
      </c>
      <c r="AQ367" s="3">
        <v>2</v>
      </c>
      <c r="AR367" s="2" t="s">
        <v>90</v>
      </c>
      <c r="AS367" s="2" t="s">
        <v>5</v>
      </c>
      <c r="AT367" s="5" t="str">
        <f>HYPERLINK("http://catalog.hathitrust.org/Record/002481939","HathiTrust Record")</f>
        <v>HathiTrust Record</v>
      </c>
      <c r="AU367" s="5" t="str">
        <f>HYPERLINK("https://creighton-primo.hosted.exlibrisgroup.com/primo-explore/search?tab=default_tab&amp;search_scope=EVERYTHING&amp;vid=01CRU&amp;lang=en_US&amp;offset=0&amp;query=any,contains,991001305279702656","Catalog Record")</f>
        <v>Catalog Record</v>
      </c>
      <c r="AV367" s="5" t="str">
        <f>HYPERLINK("http://www.worldcat.org/oclc/25675286","WorldCat Record")</f>
        <v>WorldCat Record</v>
      </c>
      <c r="AW367" s="2" t="s">
        <v>4759</v>
      </c>
      <c r="AX367" s="2" t="s">
        <v>4760</v>
      </c>
      <c r="AY367" s="2" t="s">
        <v>4761</v>
      </c>
      <c r="AZ367" s="2" t="s">
        <v>4761</v>
      </c>
      <c r="BA367" s="2" t="s">
        <v>4762</v>
      </c>
      <c r="BB367" s="2" t="s">
        <v>19</v>
      </c>
      <c r="BE367" s="2" t="s">
        <v>4763</v>
      </c>
      <c r="BF367" s="2" t="s">
        <v>4764</v>
      </c>
    </row>
    <row r="368" spans="1:58" ht="50.25" customHeight="1" x14ac:dyDescent="0.25">
      <c r="A368" s="8" t="s">
        <v>5</v>
      </c>
      <c r="B368" s="1" t="s">
        <v>0</v>
      </c>
      <c r="C368" s="1" t="s">
        <v>1</v>
      </c>
      <c r="D368" s="1" t="s">
        <v>4765</v>
      </c>
      <c r="E368" s="1" t="s">
        <v>4766</v>
      </c>
      <c r="F368" s="1" t="s">
        <v>4767</v>
      </c>
      <c r="H368" s="2" t="s">
        <v>5</v>
      </c>
      <c r="I368" s="2" t="s">
        <v>6</v>
      </c>
      <c r="J368" s="2" t="s">
        <v>5</v>
      </c>
      <c r="K368" s="2" t="s">
        <v>5</v>
      </c>
      <c r="L368" s="2" t="s">
        <v>7</v>
      </c>
      <c r="M368" s="1" t="s">
        <v>4768</v>
      </c>
      <c r="N368" s="1" t="s">
        <v>4769</v>
      </c>
      <c r="O368" s="2" t="s">
        <v>169</v>
      </c>
      <c r="Q368" s="2" t="s">
        <v>10</v>
      </c>
      <c r="R368" s="2" t="s">
        <v>11</v>
      </c>
      <c r="T368" s="2" t="s">
        <v>12</v>
      </c>
      <c r="U368" s="3">
        <v>1</v>
      </c>
      <c r="V368" s="3">
        <v>1</v>
      </c>
      <c r="W368" s="4" t="s">
        <v>4770</v>
      </c>
      <c r="X368" s="4" t="s">
        <v>4770</v>
      </c>
      <c r="Y368" s="4" t="s">
        <v>2636</v>
      </c>
      <c r="Z368" s="4" t="s">
        <v>2636</v>
      </c>
      <c r="AA368" s="3">
        <v>255</v>
      </c>
      <c r="AB368" s="3">
        <v>188</v>
      </c>
      <c r="AC368" s="3">
        <v>215</v>
      </c>
      <c r="AD368" s="3">
        <v>2</v>
      </c>
      <c r="AE368" s="3">
        <v>2</v>
      </c>
      <c r="AF368" s="3">
        <v>10</v>
      </c>
      <c r="AG368" s="3">
        <v>10</v>
      </c>
      <c r="AH368" s="3">
        <v>2</v>
      </c>
      <c r="AI368" s="3">
        <v>2</v>
      </c>
      <c r="AJ368" s="3">
        <v>4</v>
      </c>
      <c r="AK368" s="3">
        <v>4</v>
      </c>
      <c r="AL368" s="3">
        <v>6</v>
      </c>
      <c r="AM368" s="3">
        <v>6</v>
      </c>
      <c r="AN368" s="3">
        <v>1</v>
      </c>
      <c r="AO368" s="3">
        <v>1</v>
      </c>
      <c r="AP368" s="3">
        <v>0</v>
      </c>
      <c r="AQ368" s="3">
        <v>0</v>
      </c>
      <c r="AR368" s="2" t="s">
        <v>5</v>
      </c>
      <c r="AS368" s="2" t="s">
        <v>5</v>
      </c>
      <c r="AU368" s="5" t="str">
        <f>HYPERLINK("https://creighton-primo.hosted.exlibrisgroup.com/primo-explore/search?tab=default_tab&amp;search_scope=EVERYTHING&amp;vid=01CRU&amp;lang=en_US&amp;offset=0&amp;query=any,contains,991000383139702656","Catalog Record")</f>
        <v>Catalog Record</v>
      </c>
      <c r="AV368" s="5" t="str">
        <f>HYPERLINK("http://www.worldcat.org/oclc/36915874","WorldCat Record")</f>
        <v>WorldCat Record</v>
      </c>
      <c r="AW368" s="2" t="s">
        <v>4771</v>
      </c>
      <c r="AX368" s="2" t="s">
        <v>4772</v>
      </c>
      <c r="AY368" s="2" t="s">
        <v>4773</v>
      </c>
      <c r="AZ368" s="2" t="s">
        <v>4773</v>
      </c>
      <c r="BA368" s="2" t="s">
        <v>4774</v>
      </c>
      <c r="BB368" s="2" t="s">
        <v>19</v>
      </c>
      <c r="BD368" s="2" t="s">
        <v>4775</v>
      </c>
      <c r="BE368" s="2" t="s">
        <v>4776</v>
      </c>
      <c r="BF368" s="2" t="s">
        <v>4777</v>
      </c>
    </row>
    <row r="369" spans="1:58" ht="50.25" customHeight="1" x14ac:dyDescent="0.25">
      <c r="A369" s="8" t="s">
        <v>5</v>
      </c>
      <c r="B369" s="1" t="s">
        <v>0</v>
      </c>
      <c r="C369" s="1" t="s">
        <v>1</v>
      </c>
      <c r="D369" s="1" t="s">
        <v>4778</v>
      </c>
      <c r="E369" s="1" t="s">
        <v>4779</v>
      </c>
      <c r="F369" s="1" t="s">
        <v>4780</v>
      </c>
      <c r="H369" s="2" t="s">
        <v>5</v>
      </c>
      <c r="I369" s="2" t="s">
        <v>6</v>
      </c>
      <c r="J369" s="2" t="s">
        <v>5</v>
      </c>
      <c r="K369" s="2" t="s">
        <v>5</v>
      </c>
      <c r="L369" s="2" t="s">
        <v>7</v>
      </c>
      <c r="N369" s="1" t="s">
        <v>4781</v>
      </c>
      <c r="O369" s="2" t="s">
        <v>274</v>
      </c>
      <c r="P369" s="1" t="s">
        <v>404</v>
      </c>
      <c r="Q369" s="2" t="s">
        <v>10</v>
      </c>
      <c r="R369" s="2" t="s">
        <v>184</v>
      </c>
      <c r="T369" s="2" t="s">
        <v>12</v>
      </c>
      <c r="U369" s="3">
        <v>10</v>
      </c>
      <c r="V369" s="3">
        <v>10</v>
      </c>
      <c r="W369" s="4" t="s">
        <v>4782</v>
      </c>
      <c r="X369" s="4" t="s">
        <v>4782</v>
      </c>
      <c r="Y369" s="4" t="s">
        <v>4783</v>
      </c>
      <c r="Z369" s="4" t="s">
        <v>4783</v>
      </c>
      <c r="AA369" s="3">
        <v>335</v>
      </c>
      <c r="AB369" s="3">
        <v>285</v>
      </c>
      <c r="AC369" s="3">
        <v>287</v>
      </c>
      <c r="AD369" s="3">
        <v>2</v>
      </c>
      <c r="AE369" s="3">
        <v>2</v>
      </c>
      <c r="AF369" s="3">
        <v>13</v>
      </c>
      <c r="AG369" s="3">
        <v>13</v>
      </c>
      <c r="AH369" s="3">
        <v>4</v>
      </c>
      <c r="AI369" s="3">
        <v>4</v>
      </c>
      <c r="AJ369" s="3">
        <v>3</v>
      </c>
      <c r="AK369" s="3">
        <v>3</v>
      </c>
      <c r="AL369" s="3">
        <v>9</v>
      </c>
      <c r="AM369" s="3">
        <v>9</v>
      </c>
      <c r="AN369" s="3">
        <v>1</v>
      </c>
      <c r="AO369" s="3">
        <v>1</v>
      </c>
      <c r="AP369" s="3">
        <v>0</v>
      </c>
      <c r="AQ369" s="3">
        <v>0</v>
      </c>
      <c r="AR369" s="2" t="s">
        <v>5</v>
      </c>
      <c r="AS369" s="2" t="s">
        <v>90</v>
      </c>
      <c r="AT369" s="5" t="str">
        <f>HYPERLINK("http://catalog.hathitrust.org/Record/004512219","HathiTrust Record")</f>
        <v>HathiTrust Record</v>
      </c>
      <c r="AU369" s="5" t="str">
        <f>HYPERLINK("https://creighton-primo.hosted.exlibrisgroup.com/primo-explore/search?tab=default_tab&amp;search_scope=EVERYTHING&amp;vid=01CRU&amp;lang=en_US&amp;offset=0&amp;query=any,contains,991001340099702656","Catalog Record")</f>
        <v>Catalog Record</v>
      </c>
      <c r="AV369" s="5" t="str">
        <f>HYPERLINK("http://www.worldcat.org/oclc/27729108","WorldCat Record")</f>
        <v>WorldCat Record</v>
      </c>
      <c r="AW369" s="2" t="s">
        <v>4784</v>
      </c>
      <c r="AX369" s="2" t="s">
        <v>4785</v>
      </c>
      <c r="AY369" s="2" t="s">
        <v>4786</v>
      </c>
      <c r="AZ369" s="2" t="s">
        <v>4786</v>
      </c>
      <c r="BA369" s="2" t="s">
        <v>4787</v>
      </c>
      <c r="BB369" s="2" t="s">
        <v>19</v>
      </c>
      <c r="BD369" s="2" t="s">
        <v>4788</v>
      </c>
      <c r="BE369" s="2" t="s">
        <v>4789</v>
      </c>
      <c r="BF369" s="2" t="s">
        <v>4790</v>
      </c>
    </row>
    <row r="370" spans="1:58" ht="50.25" customHeight="1" x14ac:dyDescent="0.25">
      <c r="A370" s="8" t="s">
        <v>5</v>
      </c>
      <c r="B370" s="1" t="s">
        <v>0</v>
      </c>
      <c r="C370" s="1" t="s">
        <v>1</v>
      </c>
      <c r="D370" s="1" t="s">
        <v>4791</v>
      </c>
      <c r="E370" s="1" t="s">
        <v>4792</v>
      </c>
      <c r="F370" s="1" t="s">
        <v>4793</v>
      </c>
      <c r="H370" s="2" t="s">
        <v>5</v>
      </c>
      <c r="I370" s="2" t="s">
        <v>6</v>
      </c>
      <c r="J370" s="2" t="s">
        <v>5</v>
      </c>
      <c r="K370" s="2" t="s">
        <v>5</v>
      </c>
      <c r="L370" s="2" t="s">
        <v>7</v>
      </c>
      <c r="M370" s="1" t="s">
        <v>4794</v>
      </c>
      <c r="N370" s="1" t="s">
        <v>4795</v>
      </c>
      <c r="O370" s="2" t="s">
        <v>596</v>
      </c>
      <c r="Q370" s="2" t="s">
        <v>10</v>
      </c>
      <c r="R370" s="2" t="s">
        <v>29</v>
      </c>
      <c r="S370" s="1" t="s">
        <v>4796</v>
      </c>
      <c r="T370" s="2" t="s">
        <v>12</v>
      </c>
      <c r="U370" s="3">
        <v>2</v>
      </c>
      <c r="V370" s="3">
        <v>2</v>
      </c>
      <c r="W370" s="4" t="s">
        <v>4797</v>
      </c>
      <c r="X370" s="4" t="s">
        <v>4797</v>
      </c>
      <c r="Y370" s="4" t="s">
        <v>4798</v>
      </c>
      <c r="Z370" s="4" t="s">
        <v>4798</v>
      </c>
      <c r="AA370" s="3">
        <v>118</v>
      </c>
      <c r="AB370" s="3">
        <v>110</v>
      </c>
      <c r="AC370" s="3">
        <v>110</v>
      </c>
      <c r="AD370" s="3">
        <v>2</v>
      </c>
      <c r="AE370" s="3">
        <v>2</v>
      </c>
      <c r="AF370" s="3">
        <v>5</v>
      </c>
      <c r="AG370" s="3">
        <v>5</v>
      </c>
      <c r="AH370" s="3">
        <v>0</v>
      </c>
      <c r="AI370" s="3">
        <v>0</v>
      </c>
      <c r="AJ370" s="3">
        <v>2</v>
      </c>
      <c r="AK370" s="3">
        <v>2</v>
      </c>
      <c r="AL370" s="3">
        <v>4</v>
      </c>
      <c r="AM370" s="3">
        <v>4</v>
      </c>
      <c r="AN370" s="3">
        <v>0</v>
      </c>
      <c r="AO370" s="3">
        <v>0</v>
      </c>
      <c r="AP370" s="3">
        <v>0</v>
      </c>
      <c r="AQ370" s="3">
        <v>0</v>
      </c>
      <c r="AR370" s="2" t="s">
        <v>5</v>
      </c>
      <c r="AS370" s="2" t="s">
        <v>5</v>
      </c>
      <c r="AU370" s="5" t="str">
        <f>HYPERLINK("https://creighton-primo.hosted.exlibrisgroup.com/primo-explore/search?tab=default_tab&amp;search_scope=EVERYTHING&amp;vid=01CRU&amp;lang=en_US&amp;offset=0&amp;query=any,contains,991001386249702656","Catalog Record")</f>
        <v>Catalog Record</v>
      </c>
      <c r="AV370" s="5" t="str">
        <f>HYPERLINK("http://www.worldcat.org/oclc/15220116","WorldCat Record")</f>
        <v>WorldCat Record</v>
      </c>
      <c r="AW370" s="2" t="s">
        <v>4799</v>
      </c>
      <c r="AX370" s="2" t="s">
        <v>4800</v>
      </c>
      <c r="AY370" s="2" t="s">
        <v>4801</v>
      </c>
      <c r="AZ370" s="2" t="s">
        <v>4801</v>
      </c>
      <c r="BA370" s="2" t="s">
        <v>4802</v>
      </c>
      <c r="BB370" s="2" t="s">
        <v>19</v>
      </c>
      <c r="BD370" s="2" t="s">
        <v>4803</v>
      </c>
      <c r="BE370" s="2" t="s">
        <v>4804</v>
      </c>
      <c r="BF370" s="2" t="s">
        <v>4805</v>
      </c>
    </row>
    <row r="371" spans="1:58" ht="50.25" customHeight="1" x14ac:dyDescent="0.25">
      <c r="A371" s="8" t="s">
        <v>5</v>
      </c>
      <c r="B371" s="1" t="s">
        <v>0</v>
      </c>
      <c r="C371" s="1" t="s">
        <v>1</v>
      </c>
      <c r="D371" s="1" t="s">
        <v>4806</v>
      </c>
      <c r="E371" s="1" t="s">
        <v>4807</v>
      </c>
      <c r="F371" s="1" t="s">
        <v>4808</v>
      </c>
      <c r="H371" s="2" t="s">
        <v>5</v>
      </c>
      <c r="I371" s="2" t="s">
        <v>6</v>
      </c>
      <c r="J371" s="2" t="s">
        <v>5</v>
      </c>
      <c r="K371" s="2" t="s">
        <v>5</v>
      </c>
      <c r="L371" s="2" t="s">
        <v>7</v>
      </c>
      <c r="N371" s="1" t="s">
        <v>4809</v>
      </c>
      <c r="O371" s="2" t="s">
        <v>3003</v>
      </c>
      <c r="Q371" s="2" t="s">
        <v>10</v>
      </c>
      <c r="R371" s="2" t="s">
        <v>184</v>
      </c>
      <c r="S371" s="1" t="s">
        <v>4810</v>
      </c>
      <c r="T371" s="2" t="s">
        <v>12</v>
      </c>
      <c r="U371" s="3">
        <v>2</v>
      </c>
      <c r="V371" s="3">
        <v>2</v>
      </c>
      <c r="W371" s="4" t="s">
        <v>4811</v>
      </c>
      <c r="X371" s="4" t="s">
        <v>4811</v>
      </c>
      <c r="Y371" s="4" t="s">
        <v>4639</v>
      </c>
      <c r="Z371" s="4" t="s">
        <v>4639</v>
      </c>
      <c r="AA371" s="3">
        <v>17</v>
      </c>
      <c r="AB371" s="3">
        <v>17</v>
      </c>
      <c r="AC371" s="3">
        <v>18</v>
      </c>
      <c r="AD371" s="3">
        <v>1</v>
      </c>
      <c r="AE371" s="3">
        <v>1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2" t="s">
        <v>5</v>
      </c>
      <c r="AS371" s="2" t="s">
        <v>5</v>
      </c>
      <c r="AU371" s="5" t="str">
        <f>HYPERLINK("https://creighton-primo.hosted.exlibrisgroup.com/primo-explore/search?tab=default_tab&amp;search_scope=EVERYTHING&amp;vid=01CRU&amp;lang=en_US&amp;offset=0&amp;query=any,contains,991000730819702656","Catalog Record")</f>
        <v>Catalog Record</v>
      </c>
      <c r="AV371" s="5" t="str">
        <f>HYPERLINK("http://www.worldcat.org/oclc/12016079","WorldCat Record")</f>
        <v>WorldCat Record</v>
      </c>
      <c r="AW371" s="2" t="s">
        <v>4812</v>
      </c>
      <c r="AX371" s="2" t="s">
        <v>4813</v>
      </c>
      <c r="AY371" s="2" t="s">
        <v>4814</v>
      </c>
      <c r="AZ371" s="2" t="s">
        <v>4814</v>
      </c>
      <c r="BA371" s="2" t="s">
        <v>4815</v>
      </c>
      <c r="BB371" s="2" t="s">
        <v>19</v>
      </c>
      <c r="BE371" s="2" t="s">
        <v>4816</v>
      </c>
      <c r="BF371" s="2" t="s">
        <v>4817</v>
      </c>
    </row>
    <row r="372" spans="1:58" ht="50.25" customHeight="1" x14ac:dyDescent="0.25">
      <c r="A372" s="8" t="s">
        <v>5</v>
      </c>
      <c r="B372" s="1" t="s">
        <v>0</v>
      </c>
      <c r="C372" s="1" t="s">
        <v>1</v>
      </c>
      <c r="D372" s="1" t="s">
        <v>4818</v>
      </c>
      <c r="E372" s="1" t="s">
        <v>4819</v>
      </c>
      <c r="F372" s="1" t="s">
        <v>4820</v>
      </c>
      <c r="H372" s="2" t="s">
        <v>5</v>
      </c>
      <c r="I372" s="2" t="s">
        <v>6</v>
      </c>
      <c r="J372" s="2" t="s">
        <v>5</v>
      </c>
      <c r="K372" s="2" t="s">
        <v>5</v>
      </c>
      <c r="L372" s="2" t="s">
        <v>7</v>
      </c>
      <c r="M372" s="1" t="s">
        <v>4821</v>
      </c>
      <c r="N372" s="1" t="s">
        <v>4822</v>
      </c>
      <c r="O372" s="2" t="s">
        <v>489</v>
      </c>
      <c r="Q372" s="2" t="s">
        <v>10</v>
      </c>
      <c r="R372" s="2" t="s">
        <v>184</v>
      </c>
      <c r="T372" s="2" t="s">
        <v>12</v>
      </c>
      <c r="U372" s="3">
        <v>8</v>
      </c>
      <c r="V372" s="3">
        <v>8</v>
      </c>
      <c r="W372" s="4" t="s">
        <v>4823</v>
      </c>
      <c r="X372" s="4" t="s">
        <v>4823</v>
      </c>
      <c r="Y372" s="4" t="s">
        <v>4824</v>
      </c>
      <c r="Z372" s="4" t="s">
        <v>4824</v>
      </c>
      <c r="AA372" s="3">
        <v>149</v>
      </c>
      <c r="AB372" s="3">
        <v>147</v>
      </c>
      <c r="AC372" s="3">
        <v>147</v>
      </c>
      <c r="AD372" s="3">
        <v>2</v>
      </c>
      <c r="AE372" s="3">
        <v>2</v>
      </c>
      <c r="AF372" s="3">
        <v>7</v>
      </c>
      <c r="AG372" s="3">
        <v>7</v>
      </c>
      <c r="AH372" s="3">
        <v>0</v>
      </c>
      <c r="AI372" s="3">
        <v>0</v>
      </c>
      <c r="AJ372" s="3">
        <v>1</v>
      </c>
      <c r="AK372" s="3">
        <v>1</v>
      </c>
      <c r="AL372" s="3">
        <v>5</v>
      </c>
      <c r="AM372" s="3">
        <v>5</v>
      </c>
      <c r="AN372" s="3">
        <v>1</v>
      </c>
      <c r="AO372" s="3">
        <v>1</v>
      </c>
      <c r="AP372" s="3">
        <v>0</v>
      </c>
      <c r="AQ372" s="3">
        <v>0</v>
      </c>
      <c r="AR372" s="2" t="s">
        <v>5</v>
      </c>
      <c r="AS372" s="2" t="s">
        <v>5</v>
      </c>
      <c r="AU372" s="5" t="str">
        <f>HYPERLINK("https://creighton-primo.hosted.exlibrisgroup.com/primo-explore/search?tab=default_tab&amp;search_scope=EVERYTHING&amp;vid=01CRU&amp;lang=en_US&amp;offset=0&amp;query=any,contains,991000306429702656","Catalog Record")</f>
        <v>Catalog Record</v>
      </c>
      <c r="AV372" s="5" t="str">
        <f>HYPERLINK("http://www.worldcat.org/oclc/46318203","WorldCat Record")</f>
        <v>WorldCat Record</v>
      </c>
      <c r="AW372" s="2" t="s">
        <v>4825</v>
      </c>
      <c r="AX372" s="2" t="s">
        <v>4826</v>
      </c>
      <c r="AY372" s="2" t="s">
        <v>4827</v>
      </c>
      <c r="AZ372" s="2" t="s">
        <v>4827</v>
      </c>
      <c r="BA372" s="2" t="s">
        <v>4828</v>
      </c>
      <c r="BB372" s="2" t="s">
        <v>19</v>
      </c>
      <c r="BD372" s="2" t="s">
        <v>4829</v>
      </c>
      <c r="BE372" s="2" t="s">
        <v>4830</v>
      </c>
      <c r="BF372" s="2" t="s">
        <v>4831</v>
      </c>
    </row>
    <row r="373" spans="1:58" ht="50.25" customHeight="1" x14ac:dyDescent="0.25">
      <c r="A373" s="8" t="s">
        <v>5</v>
      </c>
      <c r="B373" s="1" t="s">
        <v>0</v>
      </c>
      <c r="C373" s="1" t="s">
        <v>1</v>
      </c>
      <c r="D373" s="1" t="s">
        <v>4832</v>
      </c>
      <c r="E373" s="1" t="s">
        <v>4833</v>
      </c>
      <c r="F373" s="1" t="s">
        <v>4834</v>
      </c>
      <c r="H373" s="2" t="s">
        <v>5</v>
      </c>
      <c r="I373" s="2" t="s">
        <v>6</v>
      </c>
      <c r="J373" s="2" t="s">
        <v>5</v>
      </c>
      <c r="K373" s="2" t="s">
        <v>5</v>
      </c>
      <c r="L373" s="2" t="s">
        <v>7</v>
      </c>
      <c r="M373" s="1" t="s">
        <v>4835</v>
      </c>
      <c r="N373" s="1" t="s">
        <v>4836</v>
      </c>
      <c r="O373" s="2" t="s">
        <v>169</v>
      </c>
      <c r="Q373" s="2" t="s">
        <v>10</v>
      </c>
      <c r="R373" s="2" t="s">
        <v>1150</v>
      </c>
      <c r="T373" s="2" t="s">
        <v>12</v>
      </c>
      <c r="U373" s="3">
        <v>4</v>
      </c>
      <c r="V373" s="3">
        <v>4</v>
      </c>
      <c r="W373" s="4" t="s">
        <v>4837</v>
      </c>
      <c r="X373" s="4" t="s">
        <v>4837</v>
      </c>
      <c r="Y373" s="4" t="s">
        <v>4838</v>
      </c>
      <c r="Z373" s="4" t="s">
        <v>4838</v>
      </c>
      <c r="AA373" s="3">
        <v>102</v>
      </c>
      <c r="AB373" s="3">
        <v>92</v>
      </c>
      <c r="AC373" s="3">
        <v>92</v>
      </c>
      <c r="AD373" s="3">
        <v>2</v>
      </c>
      <c r="AE373" s="3">
        <v>2</v>
      </c>
      <c r="AF373" s="3">
        <v>5</v>
      </c>
      <c r="AG373" s="3">
        <v>5</v>
      </c>
      <c r="AH373" s="3">
        <v>0</v>
      </c>
      <c r="AI373" s="3">
        <v>0</v>
      </c>
      <c r="AJ373" s="3">
        <v>2</v>
      </c>
      <c r="AK373" s="3">
        <v>2</v>
      </c>
      <c r="AL373" s="3">
        <v>4</v>
      </c>
      <c r="AM373" s="3">
        <v>4</v>
      </c>
      <c r="AN373" s="3">
        <v>1</v>
      </c>
      <c r="AO373" s="3">
        <v>1</v>
      </c>
      <c r="AP373" s="3">
        <v>0</v>
      </c>
      <c r="AQ373" s="3">
        <v>0</v>
      </c>
      <c r="AR373" s="2" t="s">
        <v>5</v>
      </c>
      <c r="AS373" s="2" t="s">
        <v>5</v>
      </c>
      <c r="AU373" s="5" t="str">
        <f>HYPERLINK("https://creighton-primo.hosted.exlibrisgroup.com/primo-explore/search?tab=default_tab&amp;search_scope=EVERYTHING&amp;vid=01CRU&amp;lang=en_US&amp;offset=0&amp;query=any,contains,991001531269702656","Catalog Record")</f>
        <v>Catalog Record</v>
      </c>
      <c r="AV373" s="5" t="str">
        <f>HYPERLINK("http://www.worldcat.org/oclc/37513178","WorldCat Record")</f>
        <v>WorldCat Record</v>
      </c>
      <c r="AW373" s="2" t="s">
        <v>4839</v>
      </c>
      <c r="AX373" s="2" t="s">
        <v>4840</v>
      </c>
      <c r="AY373" s="2" t="s">
        <v>4841</v>
      </c>
      <c r="AZ373" s="2" t="s">
        <v>4841</v>
      </c>
      <c r="BA373" s="2" t="s">
        <v>4842</v>
      </c>
      <c r="BB373" s="2" t="s">
        <v>19</v>
      </c>
      <c r="BD373" s="2" t="s">
        <v>4843</v>
      </c>
      <c r="BE373" s="2" t="s">
        <v>4844</v>
      </c>
      <c r="BF373" s="2" t="s">
        <v>4845</v>
      </c>
    </row>
    <row r="374" spans="1:58" ht="50.25" customHeight="1" x14ac:dyDescent="0.25">
      <c r="A374" s="8" t="s">
        <v>5</v>
      </c>
      <c r="B374" s="1" t="s">
        <v>0</v>
      </c>
      <c r="C374" s="1" t="s">
        <v>1</v>
      </c>
      <c r="D374" s="1" t="s">
        <v>4846</v>
      </c>
      <c r="E374" s="1" t="s">
        <v>4847</v>
      </c>
      <c r="F374" s="1" t="s">
        <v>4848</v>
      </c>
      <c r="H374" s="2" t="s">
        <v>5</v>
      </c>
      <c r="I374" s="2" t="s">
        <v>6</v>
      </c>
      <c r="J374" s="2" t="s">
        <v>5</v>
      </c>
      <c r="K374" s="2" t="s">
        <v>5</v>
      </c>
      <c r="L374" s="2" t="s">
        <v>7</v>
      </c>
      <c r="M374" s="1" t="s">
        <v>4444</v>
      </c>
      <c r="N374" s="1" t="s">
        <v>4849</v>
      </c>
      <c r="O374" s="2" t="s">
        <v>4850</v>
      </c>
      <c r="Q374" s="2" t="s">
        <v>10</v>
      </c>
      <c r="R374" s="2" t="s">
        <v>11</v>
      </c>
      <c r="T374" s="2" t="s">
        <v>12</v>
      </c>
      <c r="U374" s="3">
        <v>3</v>
      </c>
      <c r="V374" s="3">
        <v>3</v>
      </c>
      <c r="W374" s="4" t="s">
        <v>4851</v>
      </c>
      <c r="X374" s="4" t="s">
        <v>4851</v>
      </c>
      <c r="Y374" s="4" t="s">
        <v>4639</v>
      </c>
      <c r="Z374" s="4" t="s">
        <v>4639</v>
      </c>
      <c r="AA374" s="3">
        <v>452</v>
      </c>
      <c r="AB374" s="3">
        <v>366</v>
      </c>
      <c r="AC374" s="3">
        <v>373</v>
      </c>
      <c r="AD374" s="3">
        <v>3</v>
      </c>
      <c r="AE374" s="3">
        <v>3</v>
      </c>
      <c r="AF374" s="3">
        <v>12</v>
      </c>
      <c r="AG374" s="3">
        <v>12</v>
      </c>
      <c r="AH374" s="3">
        <v>3</v>
      </c>
      <c r="AI374" s="3">
        <v>3</v>
      </c>
      <c r="AJ374" s="3">
        <v>3</v>
      </c>
      <c r="AK374" s="3">
        <v>3</v>
      </c>
      <c r="AL374" s="3">
        <v>8</v>
      </c>
      <c r="AM374" s="3">
        <v>8</v>
      </c>
      <c r="AN374" s="3">
        <v>2</v>
      </c>
      <c r="AO374" s="3">
        <v>2</v>
      </c>
      <c r="AP374" s="3">
        <v>0</v>
      </c>
      <c r="AQ374" s="3">
        <v>0</v>
      </c>
      <c r="AR374" s="2" t="s">
        <v>5</v>
      </c>
      <c r="AS374" s="2" t="s">
        <v>90</v>
      </c>
      <c r="AT374" s="5" t="str">
        <f>HYPERLINK("http://catalog.hathitrust.org/Record/000033559","HathiTrust Record")</f>
        <v>HathiTrust Record</v>
      </c>
      <c r="AU374" s="5" t="str">
        <f>HYPERLINK("https://creighton-primo.hosted.exlibrisgroup.com/primo-explore/search?tab=default_tab&amp;search_scope=EVERYTHING&amp;vid=01CRU&amp;lang=en_US&amp;offset=0&amp;query=any,contains,991000731009702656","Catalog Record")</f>
        <v>Catalog Record</v>
      </c>
      <c r="AV374" s="5" t="str">
        <f>HYPERLINK("http://www.worldcat.org/oclc/1119443","WorldCat Record")</f>
        <v>WorldCat Record</v>
      </c>
      <c r="AW374" s="2" t="s">
        <v>4852</v>
      </c>
      <c r="AX374" s="2" t="s">
        <v>4853</v>
      </c>
      <c r="AY374" s="2" t="s">
        <v>4854</v>
      </c>
      <c r="AZ374" s="2" t="s">
        <v>4854</v>
      </c>
      <c r="BA374" s="2" t="s">
        <v>4855</v>
      </c>
      <c r="BB374" s="2" t="s">
        <v>19</v>
      </c>
      <c r="BD374" s="2" t="s">
        <v>4856</v>
      </c>
      <c r="BE374" s="2" t="s">
        <v>4857</v>
      </c>
      <c r="BF374" s="2" t="s">
        <v>4858</v>
      </c>
    </row>
    <row r="375" spans="1:58" ht="50.25" customHeight="1" x14ac:dyDescent="0.25">
      <c r="A375" s="8" t="s">
        <v>5</v>
      </c>
      <c r="B375" s="1" t="s">
        <v>0</v>
      </c>
      <c r="C375" s="1" t="s">
        <v>1</v>
      </c>
      <c r="D375" s="1" t="s">
        <v>4859</v>
      </c>
      <c r="E375" s="1" t="s">
        <v>4860</v>
      </c>
      <c r="F375" s="1" t="s">
        <v>4861</v>
      </c>
      <c r="H375" s="2" t="s">
        <v>5</v>
      </c>
      <c r="I375" s="2" t="s">
        <v>6</v>
      </c>
      <c r="J375" s="2" t="s">
        <v>5</v>
      </c>
      <c r="K375" s="2" t="s">
        <v>5</v>
      </c>
      <c r="L375" s="2" t="s">
        <v>7</v>
      </c>
      <c r="M375" s="1" t="s">
        <v>4862</v>
      </c>
      <c r="N375" s="1" t="s">
        <v>4090</v>
      </c>
      <c r="O375" s="2" t="s">
        <v>3003</v>
      </c>
      <c r="Q375" s="2" t="s">
        <v>10</v>
      </c>
      <c r="R375" s="2" t="s">
        <v>29</v>
      </c>
      <c r="T375" s="2" t="s">
        <v>12</v>
      </c>
      <c r="U375" s="3">
        <v>5</v>
      </c>
      <c r="V375" s="3">
        <v>5</v>
      </c>
      <c r="W375" s="4" t="s">
        <v>4811</v>
      </c>
      <c r="X375" s="4" t="s">
        <v>4811</v>
      </c>
      <c r="Y375" s="4" t="s">
        <v>519</v>
      </c>
      <c r="Z375" s="4" t="s">
        <v>519</v>
      </c>
      <c r="AA375" s="3">
        <v>339</v>
      </c>
      <c r="AB375" s="3">
        <v>277</v>
      </c>
      <c r="AC375" s="3">
        <v>284</v>
      </c>
      <c r="AD375" s="3">
        <v>2</v>
      </c>
      <c r="AE375" s="3">
        <v>2</v>
      </c>
      <c r="AF375" s="3">
        <v>8</v>
      </c>
      <c r="AG375" s="3">
        <v>8</v>
      </c>
      <c r="AH375" s="3">
        <v>4</v>
      </c>
      <c r="AI375" s="3">
        <v>4</v>
      </c>
      <c r="AJ375" s="3">
        <v>1</v>
      </c>
      <c r="AK375" s="3">
        <v>1</v>
      </c>
      <c r="AL375" s="3">
        <v>6</v>
      </c>
      <c r="AM375" s="3">
        <v>6</v>
      </c>
      <c r="AN375" s="3">
        <v>1</v>
      </c>
      <c r="AO375" s="3">
        <v>1</v>
      </c>
      <c r="AP375" s="3">
        <v>0</v>
      </c>
      <c r="AQ375" s="3">
        <v>0</v>
      </c>
      <c r="AR375" s="2" t="s">
        <v>5</v>
      </c>
      <c r="AS375" s="2" t="s">
        <v>90</v>
      </c>
      <c r="AT375" s="5" t="str">
        <f>HYPERLINK("http://catalog.hathitrust.org/Record/000448349","HathiTrust Record")</f>
        <v>HathiTrust Record</v>
      </c>
      <c r="AU375" s="5" t="str">
        <f>HYPERLINK("https://creighton-primo.hosted.exlibrisgroup.com/primo-explore/search?tab=default_tab&amp;search_scope=EVERYTHING&amp;vid=01CRU&amp;lang=en_US&amp;offset=0&amp;query=any,contains,991000754239702656","Catalog Record")</f>
        <v>Catalog Record</v>
      </c>
      <c r="AV375" s="5" t="str">
        <f>HYPERLINK("http://www.worldcat.org/oclc/9853861","WorldCat Record")</f>
        <v>WorldCat Record</v>
      </c>
      <c r="AW375" s="2" t="s">
        <v>4863</v>
      </c>
      <c r="AX375" s="2" t="s">
        <v>4864</v>
      </c>
      <c r="AY375" s="2" t="s">
        <v>4865</v>
      </c>
      <c r="AZ375" s="2" t="s">
        <v>4865</v>
      </c>
      <c r="BA375" s="2" t="s">
        <v>4866</v>
      </c>
      <c r="BB375" s="2" t="s">
        <v>19</v>
      </c>
      <c r="BD375" s="2" t="s">
        <v>4867</v>
      </c>
      <c r="BE375" s="2" t="s">
        <v>4868</v>
      </c>
      <c r="BF375" s="2" t="s">
        <v>4869</v>
      </c>
    </row>
    <row r="376" spans="1:58" ht="50.25" customHeight="1" x14ac:dyDescent="0.25">
      <c r="A376" s="8" t="s">
        <v>5</v>
      </c>
      <c r="B376" s="1" t="s">
        <v>0</v>
      </c>
      <c r="C376" s="1" t="s">
        <v>1</v>
      </c>
      <c r="D376" s="1" t="s">
        <v>4870</v>
      </c>
      <c r="E376" s="1" t="s">
        <v>4871</v>
      </c>
      <c r="F376" s="1" t="s">
        <v>4872</v>
      </c>
      <c r="H376" s="2" t="s">
        <v>5</v>
      </c>
      <c r="I376" s="2" t="s">
        <v>6</v>
      </c>
      <c r="J376" s="2" t="s">
        <v>5</v>
      </c>
      <c r="K376" s="2" t="s">
        <v>5</v>
      </c>
      <c r="L376" s="2" t="s">
        <v>7</v>
      </c>
      <c r="M376" s="1" t="s">
        <v>4061</v>
      </c>
      <c r="N376" s="1" t="s">
        <v>3930</v>
      </c>
      <c r="O376" s="2" t="s">
        <v>274</v>
      </c>
      <c r="P376" s="1" t="s">
        <v>568</v>
      </c>
      <c r="Q376" s="2" t="s">
        <v>10</v>
      </c>
      <c r="R376" s="2" t="s">
        <v>1279</v>
      </c>
      <c r="T376" s="2" t="s">
        <v>12</v>
      </c>
      <c r="U376" s="3">
        <v>7</v>
      </c>
      <c r="V376" s="3">
        <v>7</v>
      </c>
      <c r="W376" s="4" t="s">
        <v>4873</v>
      </c>
      <c r="X376" s="4" t="s">
        <v>4873</v>
      </c>
      <c r="Y376" s="4" t="s">
        <v>4874</v>
      </c>
      <c r="Z376" s="4" t="s">
        <v>4874</v>
      </c>
      <c r="AA376" s="3">
        <v>304</v>
      </c>
      <c r="AB376" s="3">
        <v>266</v>
      </c>
      <c r="AC376" s="3">
        <v>266</v>
      </c>
      <c r="AD376" s="3">
        <v>2</v>
      </c>
      <c r="AE376" s="3">
        <v>2</v>
      </c>
      <c r="AF376" s="3">
        <v>12</v>
      </c>
      <c r="AG376" s="3">
        <v>12</v>
      </c>
      <c r="AH376" s="3">
        <v>4</v>
      </c>
      <c r="AI376" s="3">
        <v>4</v>
      </c>
      <c r="AJ376" s="3">
        <v>3</v>
      </c>
      <c r="AK376" s="3">
        <v>3</v>
      </c>
      <c r="AL376" s="3">
        <v>9</v>
      </c>
      <c r="AM376" s="3">
        <v>9</v>
      </c>
      <c r="AN376" s="3">
        <v>1</v>
      </c>
      <c r="AO376" s="3">
        <v>1</v>
      </c>
      <c r="AP376" s="3">
        <v>0</v>
      </c>
      <c r="AQ376" s="3">
        <v>0</v>
      </c>
      <c r="AR376" s="2" t="s">
        <v>5</v>
      </c>
      <c r="AS376" s="2" t="s">
        <v>5</v>
      </c>
      <c r="AU376" s="5" t="str">
        <f>HYPERLINK("https://creighton-primo.hosted.exlibrisgroup.com/primo-explore/search?tab=default_tab&amp;search_scope=EVERYTHING&amp;vid=01CRU&amp;lang=en_US&amp;offset=0&amp;query=any,contains,991000938729702656","Catalog Record")</f>
        <v>Catalog Record</v>
      </c>
      <c r="AV376" s="5" t="str">
        <f>HYPERLINK("http://www.worldcat.org/oclc/22665350","WorldCat Record")</f>
        <v>WorldCat Record</v>
      </c>
      <c r="AW376" s="2" t="s">
        <v>4875</v>
      </c>
      <c r="AX376" s="2" t="s">
        <v>4876</v>
      </c>
      <c r="AY376" s="2" t="s">
        <v>4877</v>
      </c>
      <c r="AZ376" s="2" t="s">
        <v>4877</v>
      </c>
      <c r="BA376" s="2" t="s">
        <v>4878</v>
      </c>
      <c r="BB376" s="2" t="s">
        <v>19</v>
      </c>
      <c r="BD376" s="2" t="s">
        <v>4879</v>
      </c>
      <c r="BE376" s="2" t="s">
        <v>4880</v>
      </c>
      <c r="BF376" s="2" t="s">
        <v>4881</v>
      </c>
    </row>
    <row r="377" spans="1:58" ht="50.25" customHeight="1" x14ac:dyDescent="0.25">
      <c r="A377" s="8" t="s">
        <v>5</v>
      </c>
      <c r="B377" s="1" t="s">
        <v>0</v>
      </c>
      <c r="C377" s="1" t="s">
        <v>1</v>
      </c>
      <c r="D377" s="1" t="s">
        <v>4882</v>
      </c>
      <c r="E377" s="1" t="s">
        <v>4883</v>
      </c>
      <c r="F377" s="1" t="s">
        <v>4884</v>
      </c>
      <c r="H377" s="2" t="s">
        <v>5</v>
      </c>
      <c r="I377" s="2" t="s">
        <v>6</v>
      </c>
      <c r="J377" s="2" t="s">
        <v>5</v>
      </c>
      <c r="K377" s="2" t="s">
        <v>5</v>
      </c>
      <c r="L377" s="2" t="s">
        <v>7</v>
      </c>
      <c r="N377" s="1" t="s">
        <v>4885</v>
      </c>
      <c r="O377" s="2" t="s">
        <v>60</v>
      </c>
      <c r="Q377" s="2" t="s">
        <v>10</v>
      </c>
      <c r="R377" s="2" t="s">
        <v>184</v>
      </c>
      <c r="T377" s="2" t="s">
        <v>12</v>
      </c>
      <c r="U377" s="3">
        <v>1</v>
      </c>
      <c r="V377" s="3">
        <v>1</v>
      </c>
      <c r="W377" s="4" t="s">
        <v>4471</v>
      </c>
      <c r="X377" s="4" t="s">
        <v>4471</v>
      </c>
      <c r="Y377" s="4" t="s">
        <v>983</v>
      </c>
      <c r="Z377" s="4" t="s">
        <v>983</v>
      </c>
      <c r="AA377" s="3">
        <v>201</v>
      </c>
      <c r="AB377" s="3">
        <v>136</v>
      </c>
      <c r="AC377" s="3">
        <v>1145</v>
      </c>
      <c r="AD377" s="3">
        <v>2</v>
      </c>
      <c r="AE377" s="3">
        <v>31</v>
      </c>
      <c r="AF377" s="3">
        <v>5</v>
      </c>
      <c r="AG377" s="3">
        <v>37</v>
      </c>
      <c r="AH377" s="3">
        <v>0</v>
      </c>
      <c r="AI377" s="3">
        <v>12</v>
      </c>
      <c r="AJ377" s="3">
        <v>3</v>
      </c>
      <c r="AK377" s="3">
        <v>7</v>
      </c>
      <c r="AL377" s="3">
        <v>2</v>
      </c>
      <c r="AM377" s="3">
        <v>9</v>
      </c>
      <c r="AN377" s="3">
        <v>1</v>
      </c>
      <c r="AO377" s="3">
        <v>12</v>
      </c>
      <c r="AP377" s="3">
        <v>0</v>
      </c>
      <c r="AQ377" s="3">
        <v>1</v>
      </c>
      <c r="AR377" s="2" t="s">
        <v>5</v>
      </c>
      <c r="AS377" s="2" t="s">
        <v>5</v>
      </c>
      <c r="AU377" s="5" t="str">
        <f>HYPERLINK("https://creighton-primo.hosted.exlibrisgroup.com/primo-explore/search?tab=default_tab&amp;search_scope=EVERYTHING&amp;vid=01CRU&amp;lang=en_US&amp;offset=0&amp;query=any,contains,991000604679702656","Catalog Record")</f>
        <v>Catalog Record</v>
      </c>
      <c r="AV377" s="5" t="str">
        <f>HYPERLINK("http://www.worldcat.org/oclc/52520644","WorldCat Record")</f>
        <v>WorldCat Record</v>
      </c>
      <c r="AW377" s="2" t="s">
        <v>4886</v>
      </c>
      <c r="AX377" s="2" t="s">
        <v>4887</v>
      </c>
      <c r="AY377" s="2" t="s">
        <v>4888</v>
      </c>
      <c r="AZ377" s="2" t="s">
        <v>4888</v>
      </c>
      <c r="BA377" s="2" t="s">
        <v>4889</v>
      </c>
      <c r="BB377" s="2" t="s">
        <v>19</v>
      </c>
      <c r="BD377" s="2" t="s">
        <v>4890</v>
      </c>
      <c r="BE377" s="2" t="s">
        <v>4891</v>
      </c>
      <c r="BF377" s="2" t="s">
        <v>4892</v>
      </c>
    </row>
    <row r="378" spans="1:58" ht="50.25" customHeight="1" x14ac:dyDescent="0.25">
      <c r="A378" s="8" t="s">
        <v>5</v>
      </c>
      <c r="B378" s="1" t="s">
        <v>0</v>
      </c>
      <c r="C378" s="1" t="s">
        <v>1</v>
      </c>
      <c r="D378" s="1" t="s">
        <v>4893</v>
      </c>
      <c r="E378" s="1" t="s">
        <v>4894</v>
      </c>
      <c r="F378" s="1" t="s">
        <v>4895</v>
      </c>
      <c r="H378" s="2" t="s">
        <v>5</v>
      </c>
      <c r="I378" s="2" t="s">
        <v>6</v>
      </c>
      <c r="J378" s="2" t="s">
        <v>5</v>
      </c>
      <c r="K378" s="2" t="s">
        <v>5</v>
      </c>
      <c r="L378" s="2" t="s">
        <v>7</v>
      </c>
      <c r="M378" s="1" t="s">
        <v>4896</v>
      </c>
      <c r="N378" s="1" t="s">
        <v>4897</v>
      </c>
      <c r="O378" s="2" t="s">
        <v>259</v>
      </c>
      <c r="P378" s="1" t="s">
        <v>404</v>
      </c>
      <c r="Q378" s="2" t="s">
        <v>10</v>
      </c>
      <c r="R378" s="2" t="s">
        <v>1279</v>
      </c>
      <c r="T378" s="2" t="s">
        <v>12</v>
      </c>
      <c r="U378" s="3">
        <v>8</v>
      </c>
      <c r="V378" s="3">
        <v>8</v>
      </c>
      <c r="W378" s="4" t="s">
        <v>4898</v>
      </c>
      <c r="X378" s="4" t="s">
        <v>4898</v>
      </c>
      <c r="Y378" s="4" t="s">
        <v>4899</v>
      </c>
      <c r="Z378" s="4" t="s">
        <v>4899</v>
      </c>
      <c r="AA378" s="3">
        <v>242</v>
      </c>
      <c r="AB378" s="3">
        <v>207</v>
      </c>
      <c r="AC378" s="3">
        <v>543</v>
      </c>
      <c r="AD378" s="3">
        <v>3</v>
      </c>
      <c r="AE378" s="3">
        <v>7</v>
      </c>
      <c r="AF378" s="3">
        <v>6</v>
      </c>
      <c r="AG378" s="3">
        <v>21</v>
      </c>
      <c r="AH378" s="3">
        <v>2</v>
      </c>
      <c r="AI378" s="3">
        <v>6</v>
      </c>
      <c r="AJ378" s="3">
        <v>0</v>
      </c>
      <c r="AK378" s="3">
        <v>4</v>
      </c>
      <c r="AL378" s="3">
        <v>3</v>
      </c>
      <c r="AM378" s="3">
        <v>12</v>
      </c>
      <c r="AN378" s="3">
        <v>2</v>
      </c>
      <c r="AO378" s="3">
        <v>5</v>
      </c>
      <c r="AP378" s="3">
        <v>0</v>
      </c>
      <c r="AQ378" s="3">
        <v>1</v>
      </c>
      <c r="AR378" s="2" t="s">
        <v>5</v>
      </c>
      <c r="AS378" s="2" t="s">
        <v>90</v>
      </c>
      <c r="AT378" s="5" t="str">
        <f>HYPERLINK("http://catalog.hathitrust.org/Record/004547728","HathiTrust Record")</f>
        <v>HathiTrust Record</v>
      </c>
      <c r="AU378" s="5" t="str">
        <f>HYPERLINK("https://creighton-primo.hosted.exlibrisgroup.com/primo-explore/search?tab=default_tab&amp;search_scope=EVERYTHING&amp;vid=01CRU&amp;lang=en_US&amp;offset=0&amp;query=any,contains,991001161449702656","Catalog Record")</f>
        <v>Catalog Record</v>
      </c>
      <c r="AV378" s="5" t="str">
        <f>HYPERLINK("http://www.worldcat.org/oclc/29430077","WorldCat Record")</f>
        <v>WorldCat Record</v>
      </c>
      <c r="AW378" s="2" t="s">
        <v>4900</v>
      </c>
      <c r="AX378" s="2" t="s">
        <v>4901</v>
      </c>
      <c r="AY378" s="2" t="s">
        <v>4902</v>
      </c>
      <c r="AZ378" s="2" t="s">
        <v>4902</v>
      </c>
      <c r="BA378" s="2" t="s">
        <v>4903</v>
      </c>
      <c r="BB378" s="2" t="s">
        <v>19</v>
      </c>
      <c r="BD378" s="2" t="s">
        <v>4904</v>
      </c>
      <c r="BE378" s="2" t="s">
        <v>4905</v>
      </c>
      <c r="BF378" s="2" t="s">
        <v>4906</v>
      </c>
    </row>
    <row r="379" spans="1:58" ht="50.25" customHeight="1" x14ac:dyDescent="0.25">
      <c r="A379" s="8" t="s">
        <v>5</v>
      </c>
      <c r="B379" s="1" t="s">
        <v>0</v>
      </c>
      <c r="C379" s="1" t="s">
        <v>1</v>
      </c>
      <c r="D379" s="1" t="s">
        <v>4907</v>
      </c>
      <c r="E379" s="1" t="s">
        <v>4908</v>
      </c>
      <c r="F379" s="1" t="s">
        <v>4909</v>
      </c>
      <c r="H379" s="2" t="s">
        <v>5</v>
      </c>
      <c r="I379" s="2" t="s">
        <v>6</v>
      </c>
      <c r="J379" s="2" t="s">
        <v>5</v>
      </c>
      <c r="K379" s="2" t="s">
        <v>5</v>
      </c>
      <c r="L379" s="2" t="s">
        <v>6</v>
      </c>
      <c r="M379" s="1" t="s">
        <v>4910</v>
      </c>
      <c r="N379" s="1" t="s">
        <v>4911</v>
      </c>
      <c r="O379" s="2" t="s">
        <v>489</v>
      </c>
      <c r="Q379" s="2" t="s">
        <v>10</v>
      </c>
      <c r="R379" s="2" t="s">
        <v>11</v>
      </c>
      <c r="T379" s="2" t="s">
        <v>12</v>
      </c>
      <c r="U379" s="3">
        <v>16</v>
      </c>
      <c r="V379" s="3">
        <v>16</v>
      </c>
      <c r="W379" s="4" t="s">
        <v>1768</v>
      </c>
      <c r="X379" s="4" t="s">
        <v>1768</v>
      </c>
      <c r="Y379" s="4" t="s">
        <v>4912</v>
      </c>
      <c r="Z379" s="4" t="s">
        <v>4912</v>
      </c>
      <c r="AA379" s="3">
        <v>372</v>
      </c>
      <c r="AB379" s="3">
        <v>280</v>
      </c>
      <c r="AC379" s="3">
        <v>1134</v>
      </c>
      <c r="AD379" s="3">
        <v>1</v>
      </c>
      <c r="AE379" s="3">
        <v>14</v>
      </c>
      <c r="AF379" s="3">
        <v>14</v>
      </c>
      <c r="AG379" s="3">
        <v>49</v>
      </c>
      <c r="AH379" s="3">
        <v>5</v>
      </c>
      <c r="AI379" s="3">
        <v>16</v>
      </c>
      <c r="AJ379" s="3">
        <v>4</v>
      </c>
      <c r="AK379" s="3">
        <v>12</v>
      </c>
      <c r="AL379" s="3">
        <v>9</v>
      </c>
      <c r="AM379" s="3">
        <v>16</v>
      </c>
      <c r="AN379" s="3">
        <v>0</v>
      </c>
      <c r="AO379" s="3">
        <v>12</v>
      </c>
      <c r="AP379" s="3">
        <v>0</v>
      </c>
      <c r="AQ379" s="3">
        <v>2</v>
      </c>
      <c r="AR379" s="2" t="s">
        <v>5</v>
      </c>
      <c r="AS379" s="2" t="s">
        <v>90</v>
      </c>
      <c r="AT379" s="5" t="str">
        <f>HYPERLINK("http://catalog.hathitrust.org/Record/003452281","HathiTrust Record")</f>
        <v>HathiTrust Record</v>
      </c>
      <c r="AU379" s="5" t="str">
        <f>HYPERLINK("https://creighton-primo.hosted.exlibrisgroup.com/primo-explore/search?tab=default_tab&amp;search_scope=EVERYTHING&amp;vid=01CRU&amp;lang=en_US&amp;offset=0&amp;query=any,contains,991001713949702656","Catalog Record")</f>
        <v>Catalog Record</v>
      </c>
      <c r="AV379" s="5" t="str">
        <f>HYPERLINK("http://www.worldcat.org/oclc/41266034","WorldCat Record")</f>
        <v>WorldCat Record</v>
      </c>
      <c r="AW379" s="2" t="s">
        <v>4913</v>
      </c>
      <c r="AX379" s="2" t="s">
        <v>4914</v>
      </c>
      <c r="AY379" s="2" t="s">
        <v>4915</v>
      </c>
      <c r="AZ379" s="2" t="s">
        <v>4915</v>
      </c>
      <c r="BA379" s="2" t="s">
        <v>4916</v>
      </c>
      <c r="BB379" s="2" t="s">
        <v>19</v>
      </c>
      <c r="BD379" s="2" t="s">
        <v>4917</v>
      </c>
      <c r="BE379" s="2" t="s">
        <v>4918</v>
      </c>
      <c r="BF379" s="2" t="s">
        <v>4919</v>
      </c>
    </row>
    <row r="380" spans="1:58" ht="50.25" customHeight="1" x14ac:dyDescent="0.25">
      <c r="A380" s="8" t="s">
        <v>5</v>
      </c>
      <c r="B380" s="1" t="s">
        <v>0</v>
      </c>
      <c r="C380" s="1" t="s">
        <v>1</v>
      </c>
      <c r="D380" s="1" t="s">
        <v>4920</v>
      </c>
      <c r="E380" s="1" t="s">
        <v>4921</v>
      </c>
      <c r="F380" s="1" t="s">
        <v>4922</v>
      </c>
      <c r="H380" s="2" t="s">
        <v>5</v>
      </c>
      <c r="I380" s="2" t="s">
        <v>6</v>
      </c>
      <c r="J380" s="2" t="s">
        <v>5</v>
      </c>
      <c r="K380" s="2" t="s">
        <v>5</v>
      </c>
      <c r="L380" s="2" t="s">
        <v>7</v>
      </c>
      <c r="N380" s="1" t="s">
        <v>4923</v>
      </c>
      <c r="O380" s="2" t="s">
        <v>155</v>
      </c>
      <c r="Q380" s="2" t="s">
        <v>10</v>
      </c>
      <c r="R380" s="2" t="s">
        <v>1279</v>
      </c>
      <c r="T380" s="2" t="s">
        <v>12</v>
      </c>
      <c r="U380" s="3">
        <v>25</v>
      </c>
      <c r="V380" s="3">
        <v>25</v>
      </c>
      <c r="W380" s="4" t="s">
        <v>4924</v>
      </c>
      <c r="X380" s="4" t="s">
        <v>4924</v>
      </c>
      <c r="Y380" s="4" t="s">
        <v>4925</v>
      </c>
      <c r="Z380" s="4" t="s">
        <v>4925</v>
      </c>
      <c r="AA380" s="3">
        <v>257</v>
      </c>
      <c r="AB380" s="3">
        <v>226</v>
      </c>
      <c r="AC380" s="3">
        <v>233</v>
      </c>
      <c r="AD380" s="3">
        <v>2</v>
      </c>
      <c r="AE380" s="3">
        <v>2</v>
      </c>
      <c r="AF380" s="3">
        <v>7</v>
      </c>
      <c r="AG380" s="3">
        <v>7</v>
      </c>
      <c r="AH380" s="3">
        <v>1</v>
      </c>
      <c r="AI380" s="3">
        <v>1</v>
      </c>
      <c r="AJ380" s="3">
        <v>4</v>
      </c>
      <c r="AK380" s="3">
        <v>4</v>
      </c>
      <c r="AL380" s="3">
        <v>5</v>
      </c>
      <c r="AM380" s="3">
        <v>5</v>
      </c>
      <c r="AN380" s="3">
        <v>1</v>
      </c>
      <c r="AO380" s="3">
        <v>1</v>
      </c>
      <c r="AP380" s="3">
        <v>0</v>
      </c>
      <c r="AQ380" s="3">
        <v>0</v>
      </c>
      <c r="AR380" s="2" t="s">
        <v>5</v>
      </c>
      <c r="AS380" s="2" t="s">
        <v>90</v>
      </c>
      <c r="AT380" s="5" t="str">
        <f>HYPERLINK("http://catalog.hathitrust.org/Record/004567895","HathiTrust Record")</f>
        <v>HathiTrust Record</v>
      </c>
      <c r="AU380" s="5" t="str">
        <f>HYPERLINK("https://creighton-primo.hosted.exlibrisgroup.com/primo-explore/search?tab=default_tab&amp;search_scope=EVERYTHING&amp;vid=01CRU&amp;lang=en_US&amp;offset=0&amp;query=any,contains,991001261989702656","Catalog Record")</f>
        <v>Catalog Record</v>
      </c>
      <c r="AV380" s="5" t="str">
        <f>HYPERLINK("http://www.worldcat.org/oclc/36252762","WorldCat Record")</f>
        <v>WorldCat Record</v>
      </c>
      <c r="AW380" s="2" t="s">
        <v>4926</v>
      </c>
      <c r="AX380" s="2" t="s">
        <v>4927</v>
      </c>
      <c r="AY380" s="2" t="s">
        <v>4928</v>
      </c>
      <c r="AZ380" s="2" t="s">
        <v>4928</v>
      </c>
      <c r="BA380" s="2" t="s">
        <v>4929</v>
      </c>
      <c r="BB380" s="2" t="s">
        <v>19</v>
      </c>
      <c r="BD380" s="2" t="s">
        <v>4930</v>
      </c>
      <c r="BE380" s="2" t="s">
        <v>4931</v>
      </c>
      <c r="BF380" s="2" t="s">
        <v>4932</v>
      </c>
    </row>
    <row r="381" spans="1:58" ht="50.25" customHeight="1" x14ac:dyDescent="0.25">
      <c r="A381" s="8" t="s">
        <v>5</v>
      </c>
      <c r="B381" s="1" t="s">
        <v>0</v>
      </c>
      <c r="C381" s="1" t="s">
        <v>1</v>
      </c>
      <c r="D381" s="1" t="s">
        <v>4933</v>
      </c>
      <c r="E381" s="1" t="s">
        <v>4934</v>
      </c>
      <c r="F381" s="1" t="s">
        <v>4935</v>
      </c>
      <c r="H381" s="2" t="s">
        <v>5</v>
      </c>
      <c r="I381" s="2" t="s">
        <v>6</v>
      </c>
      <c r="J381" s="2" t="s">
        <v>5</v>
      </c>
      <c r="K381" s="2" t="s">
        <v>5</v>
      </c>
      <c r="L381" s="2" t="s">
        <v>7</v>
      </c>
      <c r="N381" s="1" t="s">
        <v>4936</v>
      </c>
      <c r="O381" s="2" t="s">
        <v>349</v>
      </c>
      <c r="Q381" s="2" t="s">
        <v>10</v>
      </c>
      <c r="R381" s="2" t="s">
        <v>77</v>
      </c>
      <c r="T381" s="2" t="s">
        <v>12</v>
      </c>
      <c r="U381" s="3">
        <v>0</v>
      </c>
      <c r="V381" s="3">
        <v>0</v>
      </c>
      <c r="W381" s="4" t="s">
        <v>1702</v>
      </c>
      <c r="X381" s="4" t="s">
        <v>1702</v>
      </c>
      <c r="Y381" s="4" t="s">
        <v>1702</v>
      </c>
      <c r="Z381" s="4" t="s">
        <v>1702</v>
      </c>
      <c r="AA381" s="3">
        <v>234</v>
      </c>
      <c r="AB381" s="3">
        <v>167</v>
      </c>
      <c r="AC381" s="3">
        <v>174</v>
      </c>
      <c r="AD381" s="3">
        <v>1</v>
      </c>
      <c r="AE381" s="3">
        <v>1</v>
      </c>
      <c r="AF381" s="3">
        <v>6</v>
      </c>
      <c r="AG381" s="3">
        <v>6</v>
      </c>
      <c r="AH381" s="3">
        <v>3</v>
      </c>
      <c r="AI381" s="3">
        <v>3</v>
      </c>
      <c r="AJ381" s="3">
        <v>2</v>
      </c>
      <c r="AK381" s="3">
        <v>2</v>
      </c>
      <c r="AL381" s="3">
        <v>3</v>
      </c>
      <c r="AM381" s="3">
        <v>3</v>
      </c>
      <c r="AN381" s="3">
        <v>0</v>
      </c>
      <c r="AO381" s="3">
        <v>0</v>
      </c>
      <c r="AP381" s="3">
        <v>0</v>
      </c>
      <c r="AQ381" s="3">
        <v>0</v>
      </c>
      <c r="AR381" s="2" t="s">
        <v>5</v>
      </c>
      <c r="AS381" s="2" t="s">
        <v>90</v>
      </c>
      <c r="AT381" s="5" t="str">
        <f>HYPERLINK("http://catalog.hathitrust.org/Record/004146572","HathiTrust Record")</f>
        <v>HathiTrust Record</v>
      </c>
      <c r="AU381" s="5" t="str">
        <f>HYPERLINK("https://creighton-primo.hosted.exlibrisgroup.com/primo-explore/search?tab=default_tab&amp;search_scope=EVERYTHING&amp;vid=01CRU&amp;lang=en_US&amp;offset=0&amp;query=any,contains,991000372959702656","Catalog Record")</f>
        <v>Catalog Record</v>
      </c>
      <c r="AV381" s="5" t="str">
        <f>HYPERLINK("http://www.worldcat.org/oclc/44578884","WorldCat Record")</f>
        <v>WorldCat Record</v>
      </c>
      <c r="AW381" s="2" t="s">
        <v>4937</v>
      </c>
      <c r="AX381" s="2" t="s">
        <v>4938</v>
      </c>
      <c r="AY381" s="2" t="s">
        <v>4939</v>
      </c>
      <c r="AZ381" s="2" t="s">
        <v>4939</v>
      </c>
      <c r="BA381" s="2" t="s">
        <v>4940</v>
      </c>
      <c r="BB381" s="2" t="s">
        <v>19</v>
      </c>
      <c r="BD381" s="2" t="s">
        <v>4941</v>
      </c>
      <c r="BE381" s="2" t="s">
        <v>4942</v>
      </c>
      <c r="BF381" s="2" t="s">
        <v>4943</v>
      </c>
    </row>
    <row r="382" spans="1:58" ht="50.25" customHeight="1" x14ac:dyDescent="0.25">
      <c r="A382" s="8" t="s">
        <v>5</v>
      </c>
      <c r="B382" s="1" t="s">
        <v>0</v>
      </c>
      <c r="C382" s="1" t="s">
        <v>1</v>
      </c>
      <c r="D382" s="1" t="s">
        <v>4944</v>
      </c>
      <c r="E382" s="1" t="s">
        <v>4945</v>
      </c>
      <c r="F382" s="1" t="s">
        <v>4946</v>
      </c>
      <c r="H382" s="2" t="s">
        <v>5</v>
      </c>
      <c r="I382" s="2" t="s">
        <v>6</v>
      </c>
      <c r="J382" s="2" t="s">
        <v>5</v>
      </c>
      <c r="K382" s="2" t="s">
        <v>5</v>
      </c>
      <c r="L382" s="2" t="s">
        <v>7</v>
      </c>
      <c r="M382" s="1" t="s">
        <v>4947</v>
      </c>
      <c r="N382" s="1" t="s">
        <v>273</v>
      </c>
      <c r="O382" s="2" t="s">
        <v>474</v>
      </c>
      <c r="Q382" s="2" t="s">
        <v>10</v>
      </c>
      <c r="R382" s="2" t="s">
        <v>77</v>
      </c>
      <c r="S382" s="1" t="s">
        <v>3444</v>
      </c>
      <c r="T382" s="2" t="s">
        <v>12</v>
      </c>
      <c r="U382" s="3">
        <v>13</v>
      </c>
      <c r="V382" s="3">
        <v>13</v>
      </c>
      <c r="W382" s="4" t="s">
        <v>4898</v>
      </c>
      <c r="X382" s="4" t="s">
        <v>4898</v>
      </c>
      <c r="Y382" s="4" t="s">
        <v>1844</v>
      </c>
      <c r="Z382" s="4" t="s">
        <v>1844</v>
      </c>
      <c r="AA382" s="3">
        <v>328</v>
      </c>
      <c r="AB382" s="3">
        <v>207</v>
      </c>
      <c r="AC382" s="3">
        <v>293</v>
      </c>
      <c r="AD382" s="3">
        <v>2</v>
      </c>
      <c r="AE382" s="3">
        <v>2</v>
      </c>
      <c r="AF382" s="3">
        <v>9</v>
      </c>
      <c r="AG382" s="3">
        <v>11</v>
      </c>
      <c r="AH382" s="3">
        <v>5</v>
      </c>
      <c r="AI382" s="3">
        <v>6</v>
      </c>
      <c r="AJ382" s="3">
        <v>1</v>
      </c>
      <c r="AK382" s="3">
        <v>2</v>
      </c>
      <c r="AL382" s="3">
        <v>4</v>
      </c>
      <c r="AM382" s="3">
        <v>5</v>
      </c>
      <c r="AN382" s="3">
        <v>1</v>
      </c>
      <c r="AO382" s="3">
        <v>1</v>
      </c>
      <c r="AP382" s="3">
        <v>0</v>
      </c>
      <c r="AQ382" s="3">
        <v>0</v>
      </c>
      <c r="AR382" s="2" t="s">
        <v>5</v>
      </c>
      <c r="AS382" s="2" t="s">
        <v>5</v>
      </c>
      <c r="AU382" s="5" t="str">
        <f>HYPERLINK("https://creighton-primo.hosted.exlibrisgroup.com/primo-explore/search?tab=default_tab&amp;search_scope=EVERYTHING&amp;vid=01CRU&amp;lang=en_US&amp;offset=0&amp;query=any,contains,991000825599702656","Catalog Record")</f>
        <v>Catalog Record</v>
      </c>
      <c r="AV382" s="5" t="str">
        <f>HYPERLINK("http://www.worldcat.org/oclc/20393408","WorldCat Record")</f>
        <v>WorldCat Record</v>
      </c>
      <c r="AW382" s="2" t="s">
        <v>4948</v>
      </c>
      <c r="AX382" s="2" t="s">
        <v>4949</v>
      </c>
      <c r="AY382" s="2" t="s">
        <v>4950</v>
      </c>
      <c r="AZ382" s="2" t="s">
        <v>4950</v>
      </c>
      <c r="BA382" s="2" t="s">
        <v>4951</v>
      </c>
      <c r="BB382" s="2" t="s">
        <v>19</v>
      </c>
      <c r="BD382" s="2" t="s">
        <v>4952</v>
      </c>
      <c r="BE382" s="2" t="s">
        <v>4953</v>
      </c>
      <c r="BF382" s="2" t="s">
        <v>4954</v>
      </c>
    </row>
    <row r="383" spans="1:58" ht="50.25" customHeight="1" x14ac:dyDescent="0.25">
      <c r="A383" s="8" t="s">
        <v>5</v>
      </c>
      <c r="B383" s="1" t="s">
        <v>0</v>
      </c>
      <c r="C383" s="1" t="s">
        <v>1</v>
      </c>
      <c r="D383" s="1" t="s">
        <v>4955</v>
      </c>
      <c r="E383" s="1" t="s">
        <v>4956</v>
      </c>
      <c r="F383" s="1" t="s">
        <v>4957</v>
      </c>
      <c r="H383" s="2" t="s">
        <v>5</v>
      </c>
      <c r="I383" s="2" t="s">
        <v>6</v>
      </c>
      <c r="J383" s="2" t="s">
        <v>5</v>
      </c>
      <c r="K383" s="2" t="s">
        <v>5</v>
      </c>
      <c r="L383" s="2" t="s">
        <v>6</v>
      </c>
      <c r="N383" s="1" t="s">
        <v>1201</v>
      </c>
      <c r="O383" s="2" t="s">
        <v>474</v>
      </c>
      <c r="Q383" s="2" t="s">
        <v>10</v>
      </c>
      <c r="R383" s="2" t="s">
        <v>29</v>
      </c>
      <c r="T383" s="2" t="s">
        <v>12</v>
      </c>
      <c r="U383" s="3">
        <v>19</v>
      </c>
      <c r="V383" s="3">
        <v>19</v>
      </c>
      <c r="W383" s="4" t="s">
        <v>4958</v>
      </c>
      <c r="X383" s="4" t="s">
        <v>4958</v>
      </c>
      <c r="Y383" s="4" t="s">
        <v>4959</v>
      </c>
      <c r="Z383" s="4" t="s">
        <v>4959</v>
      </c>
      <c r="AA383" s="3">
        <v>335</v>
      </c>
      <c r="AB383" s="3">
        <v>273</v>
      </c>
      <c r="AC383" s="3">
        <v>1514</v>
      </c>
      <c r="AD383" s="3">
        <v>2</v>
      </c>
      <c r="AE383" s="3">
        <v>15</v>
      </c>
      <c r="AF383" s="3">
        <v>16</v>
      </c>
      <c r="AG383" s="3">
        <v>62</v>
      </c>
      <c r="AH383" s="3">
        <v>4</v>
      </c>
      <c r="AI383" s="3">
        <v>24</v>
      </c>
      <c r="AJ383" s="3">
        <v>4</v>
      </c>
      <c r="AK383" s="3">
        <v>12</v>
      </c>
      <c r="AL383" s="3">
        <v>12</v>
      </c>
      <c r="AM383" s="3">
        <v>22</v>
      </c>
      <c r="AN383" s="3">
        <v>1</v>
      </c>
      <c r="AO383" s="3">
        <v>13</v>
      </c>
      <c r="AP383" s="3">
        <v>0</v>
      </c>
      <c r="AQ383" s="3">
        <v>2</v>
      </c>
      <c r="AR383" s="2" t="s">
        <v>5</v>
      </c>
      <c r="AS383" s="2" t="s">
        <v>90</v>
      </c>
      <c r="AT383" s="5" t="str">
        <f>HYPERLINK("http://catalog.hathitrust.org/Record/004488555","HathiTrust Record")</f>
        <v>HathiTrust Record</v>
      </c>
      <c r="AU383" s="5" t="str">
        <f>HYPERLINK("https://creighton-primo.hosted.exlibrisgroup.com/primo-explore/search?tab=default_tab&amp;search_scope=EVERYTHING&amp;vid=01CRU&amp;lang=en_US&amp;offset=0&amp;query=any,contains,991000827199702656","Catalog Record")</f>
        <v>Catalog Record</v>
      </c>
      <c r="AV383" s="5" t="str">
        <f>HYPERLINK("http://www.worldcat.org/oclc/20827936","WorldCat Record")</f>
        <v>WorldCat Record</v>
      </c>
      <c r="AW383" s="2" t="s">
        <v>4960</v>
      </c>
      <c r="AX383" s="2" t="s">
        <v>4961</v>
      </c>
      <c r="AY383" s="2" t="s">
        <v>4962</v>
      </c>
      <c r="AZ383" s="2" t="s">
        <v>4962</v>
      </c>
      <c r="BA383" s="2" t="s">
        <v>4963</v>
      </c>
      <c r="BB383" s="2" t="s">
        <v>19</v>
      </c>
      <c r="BD383" s="2" t="s">
        <v>4964</v>
      </c>
      <c r="BE383" s="2" t="s">
        <v>4965</v>
      </c>
      <c r="BF383" s="2" t="s">
        <v>4966</v>
      </c>
    </row>
    <row r="384" spans="1:58" ht="50.25" customHeight="1" x14ac:dyDescent="0.25">
      <c r="A384" s="8" t="s">
        <v>5</v>
      </c>
      <c r="B384" s="1" t="s">
        <v>0</v>
      </c>
      <c r="C384" s="1" t="s">
        <v>1</v>
      </c>
      <c r="D384" s="1" t="s">
        <v>4967</v>
      </c>
      <c r="E384" s="1" t="s">
        <v>4968</v>
      </c>
      <c r="F384" s="1" t="s">
        <v>4969</v>
      </c>
      <c r="H384" s="2" t="s">
        <v>5</v>
      </c>
      <c r="I384" s="2" t="s">
        <v>6</v>
      </c>
      <c r="J384" s="2" t="s">
        <v>5</v>
      </c>
      <c r="K384" s="2" t="s">
        <v>5</v>
      </c>
      <c r="L384" s="2" t="s">
        <v>7</v>
      </c>
      <c r="N384" s="1" t="s">
        <v>3443</v>
      </c>
      <c r="O384" s="2" t="s">
        <v>228</v>
      </c>
      <c r="Q384" s="2" t="s">
        <v>10</v>
      </c>
      <c r="R384" s="2" t="s">
        <v>77</v>
      </c>
      <c r="S384" s="1" t="s">
        <v>3444</v>
      </c>
      <c r="T384" s="2" t="s">
        <v>12</v>
      </c>
      <c r="U384" s="3">
        <v>5</v>
      </c>
      <c r="V384" s="3">
        <v>5</v>
      </c>
      <c r="W384" s="4" t="s">
        <v>4970</v>
      </c>
      <c r="X384" s="4" t="s">
        <v>4970</v>
      </c>
      <c r="Y384" s="4" t="s">
        <v>1844</v>
      </c>
      <c r="Z384" s="4" t="s">
        <v>1844</v>
      </c>
      <c r="AA384" s="3">
        <v>223</v>
      </c>
      <c r="AB384" s="3">
        <v>131</v>
      </c>
      <c r="AC384" s="3">
        <v>135</v>
      </c>
      <c r="AD384" s="3">
        <v>2</v>
      </c>
      <c r="AE384" s="3">
        <v>2</v>
      </c>
      <c r="AF384" s="3">
        <v>5</v>
      </c>
      <c r="AG384" s="3">
        <v>5</v>
      </c>
      <c r="AH384" s="3">
        <v>1</v>
      </c>
      <c r="AI384" s="3">
        <v>1</v>
      </c>
      <c r="AJ384" s="3">
        <v>2</v>
      </c>
      <c r="AK384" s="3">
        <v>2</v>
      </c>
      <c r="AL384" s="3">
        <v>2</v>
      </c>
      <c r="AM384" s="3">
        <v>2</v>
      </c>
      <c r="AN384" s="3">
        <v>1</v>
      </c>
      <c r="AO384" s="3">
        <v>1</v>
      </c>
      <c r="AP384" s="3">
        <v>0</v>
      </c>
      <c r="AQ384" s="3">
        <v>0</v>
      </c>
      <c r="AR384" s="2" t="s">
        <v>5</v>
      </c>
      <c r="AS384" s="2" t="s">
        <v>90</v>
      </c>
      <c r="AT384" s="5" t="str">
        <f>HYPERLINK("http://catalog.hathitrust.org/Record/001090365","HathiTrust Record")</f>
        <v>HathiTrust Record</v>
      </c>
      <c r="AU384" s="5" t="str">
        <f>HYPERLINK("https://creighton-primo.hosted.exlibrisgroup.com/primo-explore/search?tab=default_tab&amp;search_scope=EVERYTHING&amp;vid=01CRU&amp;lang=en_US&amp;offset=0&amp;query=any,contains,991000814739702656","Catalog Record")</f>
        <v>Catalog Record</v>
      </c>
      <c r="AV384" s="5" t="str">
        <f>HYPERLINK("http://www.worldcat.org/oclc/17954464","WorldCat Record")</f>
        <v>WorldCat Record</v>
      </c>
      <c r="AW384" s="2" t="s">
        <v>4971</v>
      </c>
      <c r="AX384" s="2" t="s">
        <v>4972</v>
      </c>
      <c r="AY384" s="2" t="s">
        <v>4973</v>
      </c>
      <c r="AZ384" s="2" t="s">
        <v>4973</v>
      </c>
      <c r="BA384" s="2" t="s">
        <v>4974</v>
      </c>
      <c r="BB384" s="2" t="s">
        <v>19</v>
      </c>
      <c r="BD384" s="2" t="s">
        <v>4975</v>
      </c>
      <c r="BE384" s="2" t="s">
        <v>4976</v>
      </c>
      <c r="BF384" s="2" t="s">
        <v>4977</v>
      </c>
    </row>
    <row r="385" spans="1:58" ht="50.25" customHeight="1" x14ac:dyDescent="0.25">
      <c r="A385" s="8" t="s">
        <v>5</v>
      </c>
      <c r="B385" s="1" t="s">
        <v>0</v>
      </c>
      <c r="C385" s="1" t="s">
        <v>1</v>
      </c>
      <c r="D385" s="1" t="s">
        <v>4978</v>
      </c>
      <c r="E385" s="1" t="s">
        <v>4979</v>
      </c>
      <c r="F385" s="1" t="s">
        <v>4980</v>
      </c>
      <c r="H385" s="2" t="s">
        <v>5</v>
      </c>
      <c r="I385" s="2" t="s">
        <v>6</v>
      </c>
      <c r="J385" s="2" t="s">
        <v>5</v>
      </c>
      <c r="K385" s="2" t="s">
        <v>5</v>
      </c>
      <c r="L385" s="2" t="s">
        <v>7</v>
      </c>
      <c r="N385" s="1" t="s">
        <v>4981</v>
      </c>
      <c r="O385" s="2" t="s">
        <v>274</v>
      </c>
      <c r="Q385" s="2" t="s">
        <v>10</v>
      </c>
      <c r="R385" s="2" t="s">
        <v>184</v>
      </c>
      <c r="T385" s="2" t="s">
        <v>12</v>
      </c>
      <c r="U385" s="3">
        <v>2</v>
      </c>
      <c r="V385" s="3">
        <v>2</v>
      </c>
      <c r="W385" s="4" t="s">
        <v>4982</v>
      </c>
      <c r="X385" s="4" t="s">
        <v>4982</v>
      </c>
      <c r="Y385" s="4" t="s">
        <v>4983</v>
      </c>
      <c r="Z385" s="4" t="s">
        <v>4983</v>
      </c>
      <c r="AA385" s="3">
        <v>60</v>
      </c>
      <c r="AB385" s="3">
        <v>57</v>
      </c>
      <c r="AC385" s="3">
        <v>57</v>
      </c>
      <c r="AD385" s="3">
        <v>2</v>
      </c>
      <c r="AE385" s="3">
        <v>2</v>
      </c>
      <c r="AF385" s="3">
        <v>4</v>
      </c>
      <c r="AG385" s="3">
        <v>4</v>
      </c>
      <c r="AH385" s="3">
        <v>1</v>
      </c>
      <c r="AI385" s="3">
        <v>1</v>
      </c>
      <c r="AJ385" s="3">
        <v>1</v>
      </c>
      <c r="AK385" s="3">
        <v>1</v>
      </c>
      <c r="AL385" s="3">
        <v>2</v>
      </c>
      <c r="AM385" s="3">
        <v>2</v>
      </c>
      <c r="AN385" s="3">
        <v>0</v>
      </c>
      <c r="AO385" s="3">
        <v>0</v>
      </c>
      <c r="AP385" s="3">
        <v>1</v>
      </c>
      <c r="AQ385" s="3">
        <v>1</v>
      </c>
      <c r="AR385" s="2" t="s">
        <v>5</v>
      </c>
      <c r="AS385" s="2" t="s">
        <v>5</v>
      </c>
      <c r="AU385" s="5" t="str">
        <f>HYPERLINK("https://creighton-primo.hosted.exlibrisgroup.com/primo-explore/search?tab=default_tab&amp;search_scope=EVERYTHING&amp;vid=01CRU&amp;lang=en_US&amp;offset=0&amp;query=any,contains,991000947409702656","Catalog Record")</f>
        <v>Catalog Record</v>
      </c>
      <c r="AV385" s="5" t="str">
        <f>HYPERLINK("http://www.worldcat.org/oclc/24384137","WorldCat Record")</f>
        <v>WorldCat Record</v>
      </c>
      <c r="AW385" s="2" t="s">
        <v>4984</v>
      </c>
      <c r="AX385" s="2" t="s">
        <v>4985</v>
      </c>
      <c r="AY385" s="2" t="s">
        <v>4986</v>
      </c>
      <c r="AZ385" s="2" t="s">
        <v>4986</v>
      </c>
      <c r="BA385" s="2" t="s">
        <v>4987</v>
      </c>
      <c r="BB385" s="2" t="s">
        <v>19</v>
      </c>
      <c r="BD385" s="2" t="s">
        <v>4988</v>
      </c>
      <c r="BE385" s="2" t="s">
        <v>4989</v>
      </c>
      <c r="BF385" s="2" t="s">
        <v>4990</v>
      </c>
    </row>
    <row r="386" spans="1:58" ht="50.25" customHeight="1" x14ac:dyDescent="0.25">
      <c r="A386" s="8" t="s">
        <v>5</v>
      </c>
      <c r="B386" s="1" t="s">
        <v>0</v>
      </c>
      <c r="C386" s="1" t="s">
        <v>1</v>
      </c>
      <c r="D386" s="1" t="s">
        <v>4991</v>
      </c>
      <c r="E386" s="1" t="s">
        <v>4992</v>
      </c>
      <c r="F386" s="1" t="s">
        <v>4993</v>
      </c>
      <c r="H386" s="2" t="s">
        <v>5</v>
      </c>
      <c r="I386" s="2" t="s">
        <v>6</v>
      </c>
      <c r="J386" s="2" t="s">
        <v>5</v>
      </c>
      <c r="K386" s="2" t="s">
        <v>5</v>
      </c>
      <c r="L386" s="2" t="s">
        <v>7</v>
      </c>
      <c r="N386" s="1" t="s">
        <v>4994</v>
      </c>
      <c r="O386" s="2" t="s">
        <v>2287</v>
      </c>
      <c r="P386" s="1" t="s">
        <v>320</v>
      </c>
      <c r="Q386" s="2" t="s">
        <v>10</v>
      </c>
      <c r="R386" s="2" t="s">
        <v>29</v>
      </c>
      <c r="T386" s="2" t="s">
        <v>12</v>
      </c>
      <c r="U386" s="3">
        <v>17</v>
      </c>
      <c r="V386" s="3">
        <v>17</v>
      </c>
      <c r="W386" s="4" t="s">
        <v>4995</v>
      </c>
      <c r="X386" s="4" t="s">
        <v>4995</v>
      </c>
      <c r="Y386" s="4" t="s">
        <v>519</v>
      </c>
      <c r="Z386" s="4" t="s">
        <v>519</v>
      </c>
      <c r="AA386" s="3">
        <v>374</v>
      </c>
      <c r="AB386" s="3">
        <v>293</v>
      </c>
      <c r="AC386" s="3">
        <v>300</v>
      </c>
      <c r="AD386" s="3">
        <v>3</v>
      </c>
      <c r="AE386" s="3">
        <v>3</v>
      </c>
      <c r="AF386" s="3">
        <v>5</v>
      </c>
      <c r="AG386" s="3">
        <v>5</v>
      </c>
      <c r="AH386" s="3">
        <v>2</v>
      </c>
      <c r="AI386" s="3">
        <v>2</v>
      </c>
      <c r="AJ386" s="3">
        <v>1</v>
      </c>
      <c r="AK386" s="3">
        <v>1</v>
      </c>
      <c r="AL386" s="3">
        <v>1</v>
      </c>
      <c r="AM386" s="3">
        <v>1</v>
      </c>
      <c r="AN386" s="3">
        <v>1</v>
      </c>
      <c r="AO386" s="3">
        <v>1</v>
      </c>
      <c r="AP386" s="3">
        <v>0</v>
      </c>
      <c r="AQ386" s="3">
        <v>0</v>
      </c>
      <c r="AR386" s="2" t="s">
        <v>5</v>
      </c>
      <c r="AS386" s="2" t="s">
        <v>90</v>
      </c>
      <c r="AT386" s="5" t="str">
        <f>HYPERLINK("http://catalog.hathitrust.org/Record/000266262","HathiTrust Record")</f>
        <v>HathiTrust Record</v>
      </c>
      <c r="AU386" s="5" t="str">
        <f>HYPERLINK("https://creighton-primo.hosted.exlibrisgroup.com/primo-explore/search?tab=default_tab&amp;search_scope=EVERYTHING&amp;vid=01CRU&amp;lang=en_US&amp;offset=0&amp;query=any,contains,991000754409702656","Catalog Record")</f>
        <v>Catalog Record</v>
      </c>
      <c r="AV386" s="5" t="str">
        <f>HYPERLINK("http://www.worldcat.org/oclc/5935187","WorldCat Record")</f>
        <v>WorldCat Record</v>
      </c>
      <c r="AW386" s="2" t="s">
        <v>4996</v>
      </c>
      <c r="AX386" s="2" t="s">
        <v>4997</v>
      </c>
      <c r="AY386" s="2" t="s">
        <v>4998</v>
      </c>
      <c r="AZ386" s="2" t="s">
        <v>4998</v>
      </c>
      <c r="BA386" s="2" t="s">
        <v>4999</v>
      </c>
      <c r="BB386" s="2" t="s">
        <v>19</v>
      </c>
      <c r="BD386" s="2" t="s">
        <v>5000</v>
      </c>
      <c r="BE386" s="2" t="s">
        <v>5001</v>
      </c>
      <c r="BF386" s="2" t="s">
        <v>5002</v>
      </c>
    </row>
    <row r="387" spans="1:58" ht="50.25" customHeight="1" x14ac:dyDescent="0.25">
      <c r="A387" s="8" t="s">
        <v>5</v>
      </c>
      <c r="B387" s="1" t="s">
        <v>0</v>
      </c>
      <c r="C387" s="1" t="s">
        <v>1</v>
      </c>
      <c r="D387" s="1" t="s">
        <v>5003</v>
      </c>
      <c r="E387" s="1" t="s">
        <v>5004</v>
      </c>
      <c r="F387" s="1" t="s">
        <v>5005</v>
      </c>
      <c r="H387" s="2" t="s">
        <v>5</v>
      </c>
      <c r="I387" s="2" t="s">
        <v>6</v>
      </c>
      <c r="J387" s="2" t="s">
        <v>5</v>
      </c>
      <c r="K387" s="2" t="s">
        <v>5</v>
      </c>
      <c r="L387" s="2" t="s">
        <v>7</v>
      </c>
      <c r="N387" s="1" t="s">
        <v>5006</v>
      </c>
      <c r="O387" s="2" t="s">
        <v>1138</v>
      </c>
      <c r="Q387" s="2" t="s">
        <v>10</v>
      </c>
      <c r="R387" s="2" t="s">
        <v>29</v>
      </c>
      <c r="T387" s="2" t="s">
        <v>12</v>
      </c>
      <c r="U387" s="3">
        <v>8</v>
      </c>
      <c r="V387" s="3">
        <v>8</v>
      </c>
      <c r="W387" s="4" t="s">
        <v>5007</v>
      </c>
      <c r="X387" s="4" t="s">
        <v>5007</v>
      </c>
      <c r="Y387" s="4" t="s">
        <v>4639</v>
      </c>
      <c r="Z387" s="4" t="s">
        <v>4639</v>
      </c>
      <c r="AA387" s="3">
        <v>189</v>
      </c>
      <c r="AB387" s="3">
        <v>147</v>
      </c>
      <c r="AC387" s="3">
        <v>152</v>
      </c>
      <c r="AD387" s="3">
        <v>1</v>
      </c>
      <c r="AE387" s="3">
        <v>1</v>
      </c>
      <c r="AF387" s="3">
        <v>2</v>
      </c>
      <c r="AG387" s="3">
        <v>2</v>
      </c>
      <c r="AH387" s="3">
        <v>1</v>
      </c>
      <c r="AI387" s="3">
        <v>1</v>
      </c>
      <c r="AJ387" s="3">
        <v>0</v>
      </c>
      <c r="AK387" s="3">
        <v>0</v>
      </c>
      <c r="AL387" s="3">
        <v>2</v>
      </c>
      <c r="AM387" s="3">
        <v>2</v>
      </c>
      <c r="AN387" s="3">
        <v>0</v>
      </c>
      <c r="AO387" s="3">
        <v>0</v>
      </c>
      <c r="AP387" s="3">
        <v>0</v>
      </c>
      <c r="AQ387" s="3">
        <v>0</v>
      </c>
      <c r="AR387" s="2" t="s">
        <v>5</v>
      </c>
      <c r="AS387" s="2" t="s">
        <v>5</v>
      </c>
      <c r="AU387" s="5" t="str">
        <f>HYPERLINK("https://creighton-primo.hosted.exlibrisgroup.com/primo-explore/search?tab=default_tab&amp;search_scope=EVERYTHING&amp;vid=01CRU&amp;lang=en_US&amp;offset=0&amp;query=any,contains,991000731279702656","Catalog Record")</f>
        <v>Catalog Record</v>
      </c>
      <c r="AV387" s="5" t="str">
        <f>HYPERLINK("http://www.worldcat.org/oclc/8051910","WorldCat Record")</f>
        <v>WorldCat Record</v>
      </c>
      <c r="AW387" s="2" t="s">
        <v>5008</v>
      </c>
      <c r="AX387" s="2" t="s">
        <v>5009</v>
      </c>
      <c r="AY387" s="2" t="s">
        <v>5010</v>
      </c>
      <c r="AZ387" s="2" t="s">
        <v>5010</v>
      </c>
      <c r="BA387" s="2" t="s">
        <v>5011</v>
      </c>
      <c r="BB387" s="2" t="s">
        <v>19</v>
      </c>
      <c r="BD387" s="2" t="s">
        <v>5012</v>
      </c>
      <c r="BE387" s="2" t="s">
        <v>5013</v>
      </c>
      <c r="BF387" s="2" t="s">
        <v>5014</v>
      </c>
    </row>
    <row r="388" spans="1:58" ht="50.25" customHeight="1" x14ac:dyDescent="0.25">
      <c r="A388" s="8" t="s">
        <v>5</v>
      </c>
      <c r="B388" s="1" t="s">
        <v>0</v>
      </c>
      <c r="C388" s="1" t="s">
        <v>1</v>
      </c>
      <c r="D388" s="1" t="s">
        <v>5015</v>
      </c>
      <c r="E388" s="1" t="s">
        <v>5016</v>
      </c>
      <c r="F388" s="1" t="s">
        <v>5017</v>
      </c>
      <c r="H388" s="2" t="s">
        <v>5</v>
      </c>
      <c r="I388" s="2" t="s">
        <v>6</v>
      </c>
      <c r="J388" s="2" t="s">
        <v>5</v>
      </c>
      <c r="K388" s="2" t="s">
        <v>5</v>
      </c>
      <c r="L388" s="2" t="s">
        <v>7</v>
      </c>
      <c r="M388" s="1" t="s">
        <v>5018</v>
      </c>
      <c r="N388" s="1" t="s">
        <v>3606</v>
      </c>
      <c r="O388" s="2" t="s">
        <v>474</v>
      </c>
      <c r="P388" s="1" t="s">
        <v>568</v>
      </c>
      <c r="Q388" s="2" t="s">
        <v>10</v>
      </c>
      <c r="R388" s="2" t="s">
        <v>529</v>
      </c>
      <c r="T388" s="2" t="s">
        <v>12</v>
      </c>
      <c r="U388" s="3">
        <v>6</v>
      </c>
      <c r="V388" s="3">
        <v>6</v>
      </c>
      <c r="W388" s="4" t="s">
        <v>262</v>
      </c>
      <c r="X388" s="4" t="s">
        <v>262</v>
      </c>
      <c r="Y388" s="4" t="s">
        <v>531</v>
      </c>
      <c r="Z388" s="4" t="s">
        <v>531</v>
      </c>
      <c r="AA388" s="3">
        <v>222</v>
      </c>
      <c r="AB388" s="3">
        <v>169</v>
      </c>
      <c r="AC388" s="3">
        <v>305</v>
      </c>
      <c r="AD388" s="3">
        <v>2</v>
      </c>
      <c r="AE388" s="3">
        <v>3</v>
      </c>
      <c r="AF388" s="3">
        <v>8</v>
      </c>
      <c r="AG388" s="3">
        <v>12</v>
      </c>
      <c r="AH388" s="3">
        <v>2</v>
      </c>
      <c r="AI388" s="3">
        <v>4</v>
      </c>
      <c r="AJ388" s="3">
        <v>3</v>
      </c>
      <c r="AK388" s="3">
        <v>3</v>
      </c>
      <c r="AL388" s="3">
        <v>5</v>
      </c>
      <c r="AM388" s="3">
        <v>7</v>
      </c>
      <c r="AN388" s="3">
        <v>0</v>
      </c>
      <c r="AO388" s="3">
        <v>1</v>
      </c>
      <c r="AP388" s="3">
        <v>0</v>
      </c>
      <c r="AQ388" s="3">
        <v>0</v>
      </c>
      <c r="AR388" s="2" t="s">
        <v>5</v>
      </c>
      <c r="AS388" s="2" t="s">
        <v>90</v>
      </c>
      <c r="AT388" s="5" t="str">
        <f>HYPERLINK("http://catalog.hathitrust.org/Record/001827645","HathiTrust Record")</f>
        <v>HathiTrust Record</v>
      </c>
      <c r="AU388" s="5" t="str">
        <f>HYPERLINK("https://creighton-primo.hosted.exlibrisgroup.com/primo-explore/search?tab=default_tab&amp;search_scope=EVERYTHING&amp;vid=01CRU&amp;lang=en_US&amp;offset=0&amp;query=any,contains,991001473549702656","Catalog Record")</f>
        <v>Catalog Record</v>
      </c>
      <c r="AV388" s="5" t="str">
        <f>HYPERLINK("http://www.worldcat.org/oclc/20352468","WorldCat Record")</f>
        <v>WorldCat Record</v>
      </c>
      <c r="AW388" s="2" t="s">
        <v>5019</v>
      </c>
      <c r="AX388" s="2" t="s">
        <v>5020</v>
      </c>
      <c r="AY388" s="2" t="s">
        <v>5021</v>
      </c>
      <c r="AZ388" s="2" t="s">
        <v>5021</v>
      </c>
      <c r="BA388" s="2" t="s">
        <v>5022</v>
      </c>
      <c r="BB388" s="2" t="s">
        <v>19</v>
      </c>
      <c r="BD388" s="2" t="s">
        <v>5023</v>
      </c>
      <c r="BE388" s="2" t="s">
        <v>5024</v>
      </c>
      <c r="BF388" s="2" t="s">
        <v>5025</v>
      </c>
    </row>
    <row r="389" spans="1:58" ht="50.25" customHeight="1" x14ac:dyDescent="0.25">
      <c r="A389" s="8" t="s">
        <v>5</v>
      </c>
      <c r="B389" s="1" t="s">
        <v>0</v>
      </c>
      <c r="C389" s="1" t="s">
        <v>1</v>
      </c>
      <c r="D389" s="1" t="s">
        <v>5026</v>
      </c>
      <c r="E389" s="1" t="s">
        <v>5027</v>
      </c>
      <c r="F389" s="1" t="s">
        <v>5028</v>
      </c>
      <c r="H389" s="2" t="s">
        <v>5</v>
      </c>
      <c r="I389" s="2" t="s">
        <v>6</v>
      </c>
      <c r="J389" s="2" t="s">
        <v>5</v>
      </c>
      <c r="K389" s="2" t="s">
        <v>5</v>
      </c>
      <c r="L389" s="2" t="s">
        <v>7</v>
      </c>
      <c r="M389" s="1" t="s">
        <v>5029</v>
      </c>
      <c r="N389" s="1" t="s">
        <v>5030</v>
      </c>
      <c r="O389" s="2" t="s">
        <v>9</v>
      </c>
      <c r="Q389" s="2" t="s">
        <v>10</v>
      </c>
      <c r="R389" s="2" t="s">
        <v>110</v>
      </c>
      <c r="T389" s="2" t="s">
        <v>12</v>
      </c>
      <c r="U389" s="3">
        <v>1</v>
      </c>
      <c r="V389" s="3">
        <v>1</v>
      </c>
      <c r="W389" s="4" t="s">
        <v>5031</v>
      </c>
      <c r="X389" s="4" t="s">
        <v>5031</v>
      </c>
      <c r="Y389" s="4" t="s">
        <v>5032</v>
      </c>
      <c r="Z389" s="4" t="s">
        <v>5032</v>
      </c>
      <c r="AA389" s="3">
        <v>257</v>
      </c>
      <c r="AB389" s="3">
        <v>182</v>
      </c>
      <c r="AC389" s="3">
        <v>532</v>
      </c>
      <c r="AD389" s="3">
        <v>1</v>
      </c>
      <c r="AE389" s="3">
        <v>13</v>
      </c>
      <c r="AF389" s="3">
        <v>13</v>
      </c>
      <c r="AG389" s="3">
        <v>26</v>
      </c>
      <c r="AH389" s="3">
        <v>5</v>
      </c>
      <c r="AI389" s="3">
        <v>10</v>
      </c>
      <c r="AJ389" s="3">
        <v>2</v>
      </c>
      <c r="AK389" s="3">
        <v>3</v>
      </c>
      <c r="AL389" s="3">
        <v>9</v>
      </c>
      <c r="AM389" s="3">
        <v>10</v>
      </c>
      <c r="AN389" s="3">
        <v>0</v>
      </c>
      <c r="AO389" s="3">
        <v>8</v>
      </c>
      <c r="AP389" s="3">
        <v>0</v>
      </c>
      <c r="AQ389" s="3">
        <v>0</v>
      </c>
      <c r="AR389" s="2" t="s">
        <v>5</v>
      </c>
      <c r="AS389" s="2" t="s">
        <v>5</v>
      </c>
      <c r="AU389" s="5" t="str">
        <f>HYPERLINK("https://creighton-primo.hosted.exlibrisgroup.com/primo-explore/search?tab=default_tab&amp;search_scope=EVERYTHING&amp;vid=01CRU&amp;lang=en_US&amp;offset=0&amp;query=any,contains,991001745889702656","Catalog Record")</f>
        <v>Catalog Record</v>
      </c>
      <c r="AV389" s="5" t="str">
        <f>HYPERLINK("http://www.worldcat.org/oclc/62302242","WorldCat Record")</f>
        <v>WorldCat Record</v>
      </c>
      <c r="AW389" s="2" t="s">
        <v>5033</v>
      </c>
      <c r="AX389" s="2" t="s">
        <v>5034</v>
      </c>
      <c r="AY389" s="2" t="s">
        <v>5035</v>
      </c>
      <c r="AZ389" s="2" t="s">
        <v>5035</v>
      </c>
      <c r="BA389" s="2" t="s">
        <v>5036</v>
      </c>
      <c r="BB389" s="2" t="s">
        <v>19</v>
      </c>
      <c r="BD389" s="2" t="s">
        <v>5037</v>
      </c>
      <c r="BE389" s="2" t="s">
        <v>5038</v>
      </c>
      <c r="BF389" s="2" t="s">
        <v>5039</v>
      </c>
    </row>
    <row r="390" spans="1:58" ht="50.25" customHeight="1" x14ac:dyDescent="0.25">
      <c r="A390" s="8" t="s">
        <v>5</v>
      </c>
      <c r="B390" s="1" t="s">
        <v>0</v>
      </c>
      <c r="C390" s="1" t="s">
        <v>1</v>
      </c>
      <c r="D390" s="1" t="s">
        <v>5040</v>
      </c>
      <c r="E390" s="1" t="s">
        <v>5041</v>
      </c>
      <c r="F390" s="1" t="s">
        <v>5042</v>
      </c>
      <c r="H390" s="2" t="s">
        <v>5</v>
      </c>
      <c r="I390" s="2" t="s">
        <v>6</v>
      </c>
      <c r="J390" s="2" t="s">
        <v>5</v>
      </c>
      <c r="K390" s="2" t="s">
        <v>5</v>
      </c>
      <c r="L390" s="2" t="s">
        <v>7</v>
      </c>
      <c r="M390" s="1" t="s">
        <v>5043</v>
      </c>
      <c r="N390" s="1" t="s">
        <v>5044</v>
      </c>
      <c r="O390" s="2" t="s">
        <v>109</v>
      </c>
      <c r="Q390" s="2" t="s">
        <v>10</v>
      </c>
      <c r="R390" s="2" t="s">
        <v>11</v>
      </c>
      <c r="T390" s="2" t="s">
        <v>12</v>
      </c>
      <c r="U390" s="3">
        <v>1</v>
      </c>
      <c r="V390" s="3">
        <v>1</v>
      </c>
      <c r="W390" s="4" t="s">
        <v>5045</v>
      </c>
      <c r="X390" s="4" t="s">
        <v>5045</v>
      </c>
      <c r="Y390" s="4" t="s">
        <v>5046</v>
      </c>
      <c r="Z390" s="4" t="s">
        <v>5046</v>
      </c>
      <c r="AA390" s="3">
        <v>43</v>
      </c>
      <c r="AB390" s="3">
        <v>34</v>
      </c>
      <c r="AC390" s="3">
        <v>34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  <c r="AJ390" s="3">
        <v>1</v>
      </c>
      <c r="AK390" s="3">
        <v>1</v>
      </c>
      <c r="AL390" s="3">
        <v>1</v>
      </c>
      <c r="AM390" s="3">
        <v>1</v>
      </c>
      <c r="AN390" s="3">
        <v>0</v>
      </c>
      <c r="AO390" s="3">
        <v>0</v>
      </c>
      <c r="AP390" s="3">
        <v>0</v>
      </c>
      <c r="AQ390" s="3">
        <v>0</v>
      </c>
      <c r="AR390" s="2" t="s">
        <v>5</v>
      </c>
      <c r="AS390" s="2" t="s">
        <v>5</v>
      </c>
      <c r="AU390" s="5" t="str">
        <f>HYPERLINK("https://creighton-primo.hosted.exlibrisgroup.com/primo-explore/search?tab=default_tab&amp;search_scope=EVERYTHING&amp;vid=01CRU&amp;lang=en_US&amp;offset=0&amp;query=any,contains,991001491509702656","Catalog Record")</f>
        <v>Catalog Record</v>
      </c>
      <c r="AV390" s="5" t="str">
        <f>HYPERLINK("http://www.worldcat.org/oclc/55657627","WorldCat Record")</f>
        <v>WorldCat Record</v>
      </c>
      <c r="AW390" s="2" t="s">
        <v>5047</v>
      </c>
      <c r="AX390" s="2" t="s">
        <v>5048</v>
      </c>
      <c r="AY390" s="2" t="s">
        <v>5049</v>
      </c>
      <c r="AZ390" s="2" t="s">
        <v>5049</v>
      </c>
      <c r="BA390" s="2" t="s">
        <v>5050</v>
      </c>
      <c r="BB390" s="2" t="s">
        <v>19</v>
      </c>
      <c r="BD390" s="2" t="s">
        <v>5051</v>
      </c>
      <c r="BE390" s="2" t="s">
        <v>5052</v>
      </c>
      <c r="BF390" s="2" t="s">
        <v>5053</v>
      </c>
    </row>
    <row r="391" spans="1:58" ht="50.25" customHeight="1" x14ac:dyDescent="0.25">
      <c r="A391" s="8" t="s">
        <v>5</v>
      </c>
      <c r="B391" s="1" t="s">
        <v>0</v>
      </c>
      <c r="C391" s="1" t="s">
        <v>1</v>
      </c>
      <c r="D391" s="1" t="s">
        <v>5054</v>
      </c>
      <c r="E391" s="1" t="s">
        <v>5055</v>
      </c>
      <c r="F391" s="1" t="s">
        <v>5056</v>
      </c>
      <c r="H391" s="2" t="s">
        <v>5</v>
      </c>
      <c r="I391" s="2" t="s">
        <v>6</v>
      </c>
      <c r="J391" s="2" t="s">
        <v>5</v>
      </c>
      <c r="K391" s="2" t="s">
        <v>5</v>
      </c>
      <c r="L391" s="2" t="s">
        <v>7</v>
      </c>
      <c r="M391" s="1" t="s">
        <v>5057</v>
      </c>
      <c r="N391" s="1" t="s">
        <v>5058</v>
      </c>
      <c r="O391" s="2" t="s">
        <v>28</v>
      </c>
      <c r="Q391" s="2" t="s">
        <v>10</v>
      </c>
      <c r="R391" s="2" t="s">
        <v>29</v>
      </c>
      <c r="S391" s="1" t="s">
        <v>5059</v>
      </c>
      <c r="T391" s="2" t="s">
        <v>12</v>
      </c>
      <c r="U391" s="3">
        <v>4</v>
      </c>
      <c r="V391" s="3">
        <v>4</v>
      </c>
      <c r="W391" s="4" t="s">
        <v>5060</v>
      </c>
      <c r="X391" s="4" t="s">
        <v>5060</v>
      </c>
      <c r="Y391" s="4" t="s">
        <v>5061</v>
      </c>
      <c r="Z391" s="4" t="s">
        <v>5061</v>
      </c>
      <c r="AA391" s="3">
        <v>6</v>
      </c>
      <c r="AB391" s="3">
        <v>5</v>
      </c>
      <c r="AC391" s="3">
        <v>5</v>
      </c>
      <c r="AD391" s="3">
        <v>1</v>
      </c>
      <c r="AE391" s="3">
        <v>1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2" t="s">
        <v>5</v>
      </c>
      <c r="AS391" s="2" t="s">
        <v>5</v>
      </c>
      <c r="AU391" s="5" t="str">
        <f>HYPERLINK("https://creighton-primo.hosted.exlibrisgroup.com/primo-explore/search?tab=default_tab&amp;search_scope=EVERYTHING&amp;vid=01CRU&amp;lang=en_US&amp;offset=0&amp;query=any,contains,991001371699702656","Catalog Record")</f>
        <v>Catalog Record</v>
      </c>
      <c r="AV391" s="5" t="str">
        <f>HYPERLINK("http://www.worldcat.org/oclc/22544241","WorldCat Record")</f>
        <v>WorldCat Record</v>
      </c>
      <c r="AW391" s="2" t="s">
        <v>5062</v>
      </c>
      <c r="AX391" s="2" t="s">
        <v>5063</v>
      </c>
      <c r="AY391" s="2" t="s">
        <v>5064</v>
      </c>
      <c r="AZ391" s="2" t="s">
        <v>5064</v>
      </c>
      <c r="BA391" s="2" t="s">
        <v>5065</v>
      </c>
      <c r="BB391" s="2" t="s">
        <v>19</v>
      </c>
      <c r="BE391" s="2" t="s">
        <v>5066</v>
      </c>
      <c r="BF391" s="2" t="s">
        <v>5067</v>
      </c>
    </row>
    <row r="392" spans="1:58" ht="50.25" customHeight="1" x14ac:dyDescent="0.25">
      <c r="A392" s="8" t="s">
        <v>5</v>
      </c>
      <c r="B392" s="1" t="s">
        <v>0</v>
      </c>
      <c r="C392" s="1" t="s">
        <v>1</v>
      </c>
      <c r="D392" s="1" t="s">
        <v>5068</v>
      </c>
      <c r="E392" s="1" t="s">
        <v>5069</v>
      </c>
      <c r="F392" s="1" t="s">
        <v>5070</v>
      </c>
      <c r="H392" s="2" t="s">
        <v>5</v>
      </c>
      <c r="I392" s="2" t="s">
        <v>6</v>
      </c>
      <c r="J392" s="2" t="s">
        <v>5</v>
      </c>
      <c r="K392" s="2" t="s">
        <v>5</v>
      </c>
      <c r="L392" s="2" t="s">
        <v>7</v>
      </c>
      <c r="M392" s="1" t="s">
        <v>5071</v>
      </c>
      <c r="N392" s="1" t="s">
        <v>5072</v>
      </c>
      <c r="O392" s="2" t="s">
        <v>198</v>
      </c>
      <c r="Q392" s="2" t="s">
        <v>10</v>
      </c>
      <c r="R392" s="2" t="s">
        <v>29</v>
      </c>
      <c r="T392" s="2" t="s">
        <v>12</v>
      </c>
      <c r="U392" s="3">
        <v>13</v>
      </c>
      <c r="V392" s="3">
        <v>13</v>
      </c>
      <c r="W392" s="4" t="s">
        <v>5073</v>
      </c>
      <c r="X392" s="4" t="s">
        <v>5073</v>
      </c>
      <c r="Y392" s="4" t="s">
        <v>5074</v>
      </c>
      <c r="Z392" s="4" t="s">
        <v>5074</v>
      </c>
      <c r="AA392" s="3">
        <v>57</v>
      </c>
      <c r="AB392" s="3">
        <v>50</v>
      </c>
      <c r="AC392" s="3">
        <v>50</v>
      </c>
      <c r="AD392" s="3">
        <v>2</v>
      </c>
      <c r="AE392" s="3">
        <v>2</v>
      </c>
      <c r="AF392" s="3">
        <v>2</v>
      </c>
      <c r="AG392" s="3">
        <v>2</v>
      </c>
      <c r="AH392" s="3">
        <v>0</v>
      </c>
      <c r="AI392" s="3">
        <v>0</v>
      </c>
      <c r="AJ392" s="3">
        <v>0</v>
      </c>
      <c r="AK392" s="3">
        <v>0</v>
      </c>
      <c r="AL392" s="3">
        <v>1</v>
      </c>
      <c r="AM392" s="3">
        <v>1</v>
      </c>
      <c r="AN392" s="3">
        <v>1</v>
      </c>
      <c r="AO392" s="3">
        <v>1</v>
      </c>
      <c r="AP392" s="3">
        <v>0</v>
      </c>
      <c r="AQ392" s="3">
        <v>0</v>
      </c>
      <c r="AR392" s="2" t="s">
        <v>5</v>
      </c>
      <c r="AS392" s="2" t="s">
        <v>5</v>
      </c>
      <c r="AU392" s="5" t="str">
        <f>HYPERLINK("https://creighton-primo.hosted.exlibrisgroup.com/primo-explore/search?tab=default_tab&amp;search_scope=EVERYTHING&amp;vid=01CRU&amp;lang=en_US&amp;offset=0&amp;query=any,contains,991000731319702656","Catalog Record")</f>
        <v>Catalog Record</v>
      </c>
      <c r="AV392" s="5" t="str">
        <f>HYPERLINK("http://www.worldcat.org/oclc/11371957","WorldCat Record")</f>
        <v>WorldCat Record</v>
      </c>
      <c r="AW392" s="2" t="s">
        <v>5075</v>
      </c>
      <c r="AX392" s="2" t="s">
        <v>5076</v>
      </c>
      <c r="AY392" s="2" t="s">
        <v>5077</v>
      </c>
      <c r="AZ392" s="2" t="s">
        <v>5077</v>
      </c>
      <c r="BA392" s="2" t="s">
        <v>5078</v>
      </c>
      <c r="BB392" s="2" t="s">
        <v>19</v>
      </c>
      <c r="BD392" s="2" t="s">
        <v>5079</v>
      </c>
      <c r="BE392" s="2" t="s">
        <v>5080</v>
      </c>
      <c r="BF392" s="2" t="s">
        <v>5081</v>
      </c>
    </row>
    <row r="393" spans="1:58" ht="50.25" customHeight="1" x14ac:dyDescent="0.25">
      <c r="A393" s="8" t="s">
        <v>5</v>
      </c>
      <c r="B393" s="1" t="s">
        <v>0</v>
      </c>
      <c r="C393" s="1" t="s">
        <v>1</v>
      </c>
      <c r="D393" s="1" t="s">
        <v>5082</v>
      </c>
      <c r="E393" s="1" t="s">
        <v>5083</v>
      </c>
      <c r="F393" s="1" t="s">
        <v>5084</v>
      </c>
      <c r="H393" s="2" t="s">
        <v>5</v>
      </c>
      <c r="I393" s="2" t="s">
        <v>6</v>
      </c>
      <c r="J393" s="2" t="s">
        <v>5</v>
      </c>
      <c r="K393" s="2" t="s">
        <v>5</v>
      </c>
      <c r="L393" s="2" t="s">
        <v>7</v>
      </c>
      <c r="N393" s="1" t="s">
        <v>5085</v>
      </c>
      <c r="O393" s="2" t="s">
        <v>504</v>
      </c>
      <c r="Q393" s="2" t="s">
        <v>10</v>
      </c>
      <c r="R393" s="2" t="s">
        <v>11</v>
      </c>
      <c r="S393" s="1" t="s">
        <v>887</v>
      </c>
      <c r="T393" s="2" t="s">
        <v>12</v>
      </c>
      <c r="U393" s="3">
        <v>3</v>
      </c>
      <c r="V393" s="3">
        <v>3</v>
      </c>
      <c r="W393" s="4" t="s">
        <v>941</v>
      </c>
      <c r="X393" s="4" t="s">
        <v>941</v>
      </c>
      <c r="Y393" s="4" t="s">
        <v>4639</v>
      </c>
      <c r="Z393" s="4" t="s">
        <v>4639</v>
      </c>
      <c r="AA393" s="3">
        <v>286</v>
      </c>
      <c r="AB393" s="3">
        <v>228</v>
      </c>
      <c r="AC393" s="3">
        <v>231</v>
      </c>
      <c r="AD393" s="3">
        <v>3</v>
      </c>
      <c r="AE393" s="3">
        <v>3</v>
      </c>
      <c r="AF393" s="3">
        <v>10</v>
      </c>
      <c r="AG393" s="3">
        <v>10</v>
      </c>
      <c r="AH393" s="3">
        <v>2</v>
      </c>
      <c r="AI393" s="3">
        <v>2</v>
      </c>
      <c r="AJ393" s="3">
        <v>3</v>
      </c>
      <c r="AK393" s="3">
        <v>3</v>
      </c>
      <c r="AL393" s="3">
        <v>6</v>
      </c>
      <c r="AM393" s="3">
        <v>6</v>
      </c>
      <c r="AN393" s="3">
        <v>2</v>
      </c>
      <c r="AO393" s="3">
        <v>2</v>
      </c>
      <c r="AP393" s="3">
        <v>0</v>
      </c>
      <c r="AQ393" s="3">
        <v>0</v>
      </c>
      <c r="AR393" s="2" t="s">
        <v>5</v>
      </c>
      <c r="AS393" s="2" t="s">
        <v>90</v>
      </c>
      <c r="AT393" s="5" t="str">
        <f>HYPERLINK("http://catalog.hathitrust.org/Record/000028493","HathiTrust Record")</f>
        <v>HathiTrust Record</v>
      </c>
      <c r="AU393" s="5" t="str">
        <f>HYPERLINK("https://creighton-primo.hosted.exlibrisgroup.com/primo-explore/search?tab=default_tab&amp;search_scope=EVERYTHING&amp;vid=01CRU&amp;lang=en_US&amp;offset=0&amp;query=any,contains,991000731469702656","Catalog Record")</f>
        <v>Catalog Record</v>
      </c>
      <c r="AV393" s="5" t="str">
        <f>HYPERLINK("http://www.worldcat.org/oclc/4775333","WorldCat Record")</f>
        <v>WorldCat Record</v>
      </c>
      <c r="AW393" s="2" t="s">
        <v>5086</v>
      </c>
      <c r="AX393" s="2" t="s">
        <v>5087</v>
      </c>
      <c r="AY393" s="2" t="s">
        <v>5088</v>
      </c>
      <c r="AZ393" s="2" t="s">
        <v>5088</v>
      </c>
      <c r="BA393" s="2" t="s">
        <v>5089</v>
      </c>
      <c r="BB393" s="2" t="s">
        <v>19</v>
      </c>
      <c r="BD393" s="2" t="s">
        <v>5090</v>
      </c>
      <c r="BE393" s="2" t="s">
        <v>5091</v>
      </c>
      <c r="BF393" s="2" t="s">
        <v>5092</v>
      </c>
    </row>
    <row r="394" spans="1:58" ht="50.25" customHeight="1" x14ac:dyDescent="0.25">
      <c r="A394" s="8" t="s">
        <v>5</v>
      </c>
      <c r="B394" s="1" t="s">
        <v>0</v>
      </c>
      <c r="C394" s="1" t="s">
        <v>1</v>
      </c>
      <c r="D394" s="1" t="s">
        <v>5093</v>
      </c>
      <c r="E394" s="1" t="s">
        <v>5094</v>
      </c>
      <c r="F394" s="1" t="s">
        <v>5095</v>
      </c>
      <c r="H394" s="2" t="s">
        <v>5</v>
      </c>
      <c r="I394" s="2" t="s">
        <v>6</v>
      </c>
      <c r="J394" s="2" t="s">
        <v>5</v>
      </c>
      <c r="K394" s="2" t="s">
        <v>5</v>
      </c>
      <c r="L394" s="2" t="s">
        <v>7</v>
      </c>
      <c r="N394" s="1" t="s">
        <v>5096</v>
      </c>
      <c r="O394" s="2" t="s">
        <v>28</v>
      </c>
      <c r="Q394" s="2" t="s">
        <v>10</v>
      </c>
      <c r="R394" s="2" t="s">
        <v>171</v>
      </c>
      <c r="T394" s="2" t="s">
        <v>12</v>
      </c>
      <c r="U394" s="3">
        <v>10</v>
      </c>
      <c r="V394" s="3">
        <v>10</v>
      </c>
      <c r="W394" s="4" t="s">
        <v>5097</v>
      </c>
      <c r="X394" s="4" t="s">
        <v>5097</v>
      </c>
      <c r="Y394" s="4" t="s">
        <v>5098</v>
      </c>
      <c r="Z394" s="4" t="s">
        <v>5098</v>
      </c>
      <c r="AA394" s="3">
        <v>34</v>
      </c>
      <c r="AB394" s="3">
        <v>34</v>
      </c>
      <c r="AC394" s="3">
        <v>34</v>
      </c>
      <c r="AD394" s="3">
        <v>1</v>
      </c>
      <c r="AE394" s="3">
        <v>1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2" t="s">
        <v>5</v>
      </c>
      <c r="AS394" s="2" t="s">
        <v>5</v>
      </c>
      <c r="AU394" s="5" t="str">
        <f>HYPERLINK("https://creighton-primo.hosted.exlibrisgroup.com/primo-explore/search?tab=default_tab&amp;search_scope=EVERYTHING&amp;vid=01CRU&amp;lang=en_US&amp;offset=0&amp;query=any,contains,991001244939702656","Catalog Record")</f>
        <v>Catalog Record</v>
      </c>
      <c r="AV394" s="5" t="str">
        <f>HYPERLINK("http://www.worldcat.org/oclc/19678658","WorldCat Record")</f>
        <v>WorldCat Record</v>
      </c>
      <c r="AW394" s="2" t="s">
        <v>5099</v>
      </c>
      <c r="AX394" s="2" t="s">
        <v>5100</v>
      </c>
      <c r="AY394" s="2" t="s">
        <v>5101</v>
      </c>
      <c r="AZ394" s="2" t="s">
        <v>5101</v>
      </c>
      <c r="BA394" s="2" t="s">
        <v>5102</v>
      </c>
      <c r="BB394" s="2" t="s">
        <v>19</v>
      </c>
      <c r="BE394" s="2" t="s">
        <v>5103</v>
      </c>
      <c r="BF394" s="2" t="s">
        <v>5104</v>
      </c>
    </row>
    <row r="395" spans="1:58" ht="50.25" customHeight="1" x14ac:dyDescent="0.25">
      <c r="A395" s="8" t="s">
        <v>5</v>
      </c>
      <c r="B395" s="1" t="s">
        <v>0</v>
      </c>
      <c r="C395" s="1" t="s">
        <v>1</v>
      </c>
      <c r="D395" s="1" t="s">
        <v>5105</v>
      </c>
      <c r="E395" s="1" t="s">
        <v>5106</v>
      </c>
      <c r="F395" s="1" t="s">
        <v>5107</v>
      </c>
      <c r="H395" s="2" t="s">
        <v>5</v>
      </c>
      <c r="I395" s="2" t="s">
        <v>6</v>
      </c>
      <c r="J395" s="2" t="s">
        <v>5</v>
      </c>
      <c r="K395" s="2" t="s">
        <v>5</v>
      </c>
      <c r="L395" s="2" t="s">
        <v>7</v>
      </c>
      <c r="M395" s="1" t="s">
        <v>5108</v>
      </c>
      <c r="N395" s="1" t="s">
        <v>5109</v>
      </c>
      <c r="O395" s="2" t="s">
        <v>28</v>
      </c>
      <c r="P395" s="1" t="s">
        <v>320</v>
      </c>
      <c r="Q395" s="2" t="s">
        <v>10</v>
      </c>
      <c r="R395" s="2" t="s">
        <v>184</v>
      </c>
      <c r="T395" s="2" t="s">
        <v>12</v>
      </c>
      <c r="U395" s="3">
        <v>7</v>
      </c>
      <c r="V395" s="3">
        <v>7</v>
      </c>
      <c r="W395" s="4" t="s">
        <v>5110</v>
      </c>
      <c r="X395" s="4" t="s">
        <v>5110</v>
      </c>
      <c r="Y395" s="4" t="s">
        <v>5111</v>
      </c>
      <c r="Z395" s="4" t="s">
        <v>5111</v>
      </c>
      <c r="AA395" s="3">
        <v>91</v>
      </c>
      <c r="AB395" s="3">
        <v>86</v>
      </c>
      <c r="AC395" s="3">
        <v>91</v>
      </c>
      <c r="AD395" s="3">
        <v>2</v>
      </c>
      <c r="AE395" s="3">
        <v>2</v>
      </c>
      <c r="AF395" s="3">
        <v>3</v>
      </c>
      <c r="AG395" s="3">
        <v>3</v>
      </c>
      <c r="AH395" s="3">
        <v>1</v>
      </c>
      <c r="AI395" s="3">
        <v>1</v>
      </c>
      <c r="AJ395" s="3">
        <v>0</v>
      </c>
      <c r="AK395" s="3">
        <v>0</v>
      </c>
      <c r="AL395" s="3">
        <v>2</v>
      </c>
      <c r="AM395" s="3">
        <v>2</v>
      </c>
      <c r="AN395" s="3">
        <v>1</v>
      </c>
      <c r="AO395" s="3">
        <v>1</v>
      </c>
      <c r="AP395" s="3">
        <v>0</v>
      </c>
      <c r="AQ395" s="3">
        <v>0</v>
      </c>
      <c r="AR395" s="2" t="s">
        <v>5</v>
      </c>
      <c r="AS395" s="2" t="s">
        <v>90</v>
      </c>
      <c r="AT395" s="5" t="str">
        <f>HYPERLINK("http://catalog.hathitrust.org/Record/002168673","HathiTrust Record")</f>
        <v>HathiTrust Record</v>
      </c>
      <c r="AU395" s="5" t="str">
        <f>HYPERLINK("https://creighton-primo.hosted.exlibrisgroup.com/primo-explore/search?tab=default_tab&amp;search_scope=EVERYTHING&amp;vid=01CRU&amp;lang=en_US&amp;offset=0&amp;query=any,contains,991000545039702656","Catalog Record")</f>
        <v>Catalog Record</v>
      </c>
      <c r="AV395" s="5" t="str">
        <f>HYPERLINK("http://www.worldcat.org/oclc/23568560","WorldCat Record")</f>
        <v>WorldCat Record</v>
      </c>
      <c r="AW395" s="2" t="s">
        <v>5112</v>
      </c>
      <c r="AX395" s="2" t="s">
        <v>5113</v>
      </c>
      <c r="AY395" s="2" t="s">
        <v>5114</v>
      </c>
      <c r="AZ395" s="2" t="s">
        <v>5114</v>
      </c>
      <c r="BA395" s="2" t="s">
        <v>5115</v>
      </c>
      <c r="BB395" s="2" t="s">
        <v>19</v>
      </c>
      <c r="BD395" s="2" t="s">
        <v>5116</v>
      </c>
      <c r="BE395" s="2" t="s">
        <v>5117</v>
      </c>
      <c r="BF395" s="2" t="s">
        <v>5118</v>
      </c>
    </row>
    <row r="396" spans="1:58" ht="50.25" customHeight="1" x14ac:dyDescent="0.25">
      <c r="A396" s="8" t="s">
        <v>5</v>
      </c>
      <c r="B396" s="1" t="s">
        <v>0</v>
      </c>
      <c r="C396" s="1" t="s">
        <v>1</v>
      </c>
      <c r="D396" s="1" t="s">
        <v>5119</v>
      </c>
      <c r="E396" s="1" t="s">
        <v>5120</v>
      </c>
      <c r="F396" s="1" t="s">
        <v>5121</v>
      </c>
      <c r="H396" s="2" t="s">
        <v>5</v>
      </c>
      <c r="I396" s="2" t="s">
        <v>6</v>
      </c>
      <c r="J396" s="2" t="s">
        <v>5</v>
      </c>
      <c r="K396" s="2" t="s">
        <v>5</v>
      </c>
      <c r="L396" s="2" t="s">
        <v>7</v>
      </c>
      <c r="M396" s="1" t="s">
        <v>5122</v>
      </c>
      <c r="N396" s="1" t="s">
        <v>5123</v>
      </c>
      <c r="O396" s="2" t="s">
        <v>1138</v>
      </c>
      <c r="Q396" s="2" t="s">
        <v>10</v>
      </c>
      <c r="R396" s="2" t="s">
        <v>2850</v>
      </c>
      <c r="T396" s="2" t="s">
        <v>12</v>
      </c>
      <c r="U396" s="3">
        <v>1</v>
      </c>
      <c r="V396" s="3">
        <v>1</v>
      </c>
      <c r="W396" s="4" t="s">
        <v>5124</v>
      </c>
      <c r="X396" s="4" t="s">
        <v>5124</v>
      </c>
      <c r="Y396" s="4" t="s">
        <v>4639</v>
      </c>
      <c r="Z396" s="4" t="s">
        <v>4639</v>
      </c>
      <c r="AA396" s="3">
        <v>134</v>
      </c>
      <c r="AB396" s="3">
        <v>84</v>
      </c>
      <c r="AC396" s="3">
        <v>88</v>
      </c>
      <c r="AD396" s="3">
        <v>1</v>
      </c>
      <c r="AE396" s="3">
        <v>1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2" t="s">
        <v>5</v>
      </c>
      <c r="AS396" s="2" t="s">
        <v>5</v>
      </c>
      <c r="AU396" s="5" t="str">
        <f>HYPERLINK("https://creighton-primo.hosted.exlibrisgroup.com/primo-explore/search?tab=default_tab&amp;search_scope=EVERYTHING&amp;vid=01CRU&amp;lang=en_US&amp;offset=0&amp;query=any,contains,991000731829702656","Catalog Record")</f>
        <v>Catalog Record</v>
      </c>
      <c r="AV396" s="5" t="str">
        <f>HYPERLINK("http://www.worldcat.org/oclc/11089508","WorldCat Record")</f>
        <v>WorldCat Record</v>
      </c>
      <c r="AW396" s="2" t="s">
        <v>5125</v>
      </c>
      <c r="AX396" s="2" t="s">
        <v>5126</v>
      </c>
      <c r="AY396" s="2" t="s">
        <v>5127</v>
      </c>
      <c r="AZ396" s="2" t="s">
        <v>5127</v>
      </c>
      <c r="BA396" s="2" t="s">
        <v>5128</v>
      </c>
      <c r="BB396" s="2" t="s">
        <v>19</v>
      </c>
      <c r="BE396" s="2" t="s">
        <v>5129</v>
      </c>
      <c r="BF396" s="2" t="s">
        <v>5130</v>
      </c>
    </row>
    <row r="397" spans="1:58" ht="50.25" customHeight="1" x14ac:dyDescent="0.25">
      <c r="A397" s="8" t="s">
        <v>5</v>
      </c>
      <c r="B397" s="1" t="s">
        <v>0</v>
      </c>
      <c r="C397" s="1" t="s">
        <v>1</v>
      </c>
      <c r="D397" s="1" t="s">
        <v>5131</v>
      </c>
      <c r="E397" s="1" t="s">
        <v>5132</v>
      </c>
      <c r="F397" s="1" t="s">
        <v>5133</v>
      </c>
      <c r="H397" s="2" t="s">
        <v>5</v>
      </c>
      <c r="I397" s="2" t="s">
        <v>6</v>
      </c>
      <c r="J397" s="2" t="s">
        <v>5</v>
      </c>
      <c r="K397" s="2" t="s">
        <v>5</v>
      </c>
      <c r="L397" s="2" t="s">
        <v>7</v>
      </c>
      <c r="M397" s="1" t="s">
        <v>5134</v>
      </c>
      <c r="N397" s="1" t="s">
        <v>5135</v>
      </c>
      <c r="O397" s="2" t="s">
        <v>4850</v>
      </c>
      <c r="Q397" s="2" t="s">
        <v>10</v>
      </c>
      <c r="R397" s="2" t="s">
        <v>11</v>
      </c>
      <c r="T397" s="2" t="s">
        <v>12</v>
      </c>
      <c r="U397" s="3">
        <v>1</v>
      </c>
      <c r="V397" s="3">
        <v>1</v>
      </c>
      <c r="W397" s="4" t="s">
        <v>5136</v>
      </c>
      <c r="X397" s="4" t="s">
        <v>5136</v>
      </c>
      <c r="Y397" s="4" t="s">
        <v>4639</v>
      </c>
      <c r="Z397" s="4" t="s">
        <v>4639</v>
      </c>
      <c r="AA397" s="3">
        <v>477</v>
      </c>
      <c r="AB397" s="3">
        <v>374</v>
      </c>
      <c r="AC397" s="3">
        <v>388</v>
      </c>
      <c r="AD397" s="3">
        <v>3</v>
      </c>
      <c r="AE397" s="3">
        <v>3</v>
      </c>
      <c r="AF397" s="3">
        <v>17</v>
      </c>
      <c r="AG397" s="3">
        <v>18</v>
      </c>
      <c r="AH397" s="3">
        <v>4</v>
      </c>
      <c r="AI397" s="3">
        <v>5</v>
      </c>
      <c r="AJ397" s="3">
        <v>5</v>
      </c>
      <c r="AK397" s="3">
        <v>5</v>
      </c>
      <c r="AL397" s="3">
        <v>10</v>
      </c>
      <c r="AM397" s="3">
        <v>11</v>
      </c>
      <c r="AN397" s="3">
        <v>2</v>
      </c>
      <c r="AO397" s="3">
        <v>2</v>
      </c>
      <c r="AP397" s="3">
        <v>0</v>
      </c>
      <c r="AQ397" s="3">
        <v>0</v>
      </c>
      <c r="AR397" s="2" t="s">
        <v>5</v>
      </c>
      <c r="AS397" s="2" t="s">
        <v>90</v>
      </c>
      <c r="AT397" s="5" t="str">
        <f>HYPERLINK("http://catalog.hathitrust.org/Record/000042919","HathiTrust Record")</f>
        <v>HathiTrust Record</v>
      </c>
      <c r="AU397" s="5" t="str">
        <f>HYPERLINK("https://creighton-primo.hosted.exlibrisgroup.com/primo-explore/search?tab=default_tab&amp;search_scope=EVERYTHING&amp;vid=01CRU&amp;lang=en_US&amp;offset=0&amp;query=any,contains,991000731949702656","Catalog Record")</f>
        <v>Catalog Record</v>
      </c>
      <c r="AV397" s="5" t="str">
        <f>HYPERLINK("http://www.worldcat.org/oclc/1364158","WorldCat Record")</f>
        <v>WorldCat Record</v>
      </c>
      <c r="AW397" s="2" t="s">
        <v>5137</v>
      </c>
      <c r="AX397" s="2" t="s">
        <v>5138</v>
      </c>
      <c r="AY397" s="2" t="s">
        <v>5139</v>
      </c>
      <c r="AZ397" s="2" t="s">
        <v>5139</v>
      </c>
      <c r="BA397" s="2" t="s">
        <v>5140</v>
      </c>
      <c r="BB397" s="2" t="s">
        <v>19</v>
      </c>
      <c r="BD397" s="2" t="s">
        <v>5141</v>
      </c>
      <c r="BE397" s="2" t="s">
        <v>5142</v>
      </c>
      <c r="BF397" s="2" t="s">
        <v>5143</v>
      </c>
    </row>
    <row r="398" spans="1:58" ht="50.25" customHeight="1" x14ac:dyDescent="0.25">
      <c r="A398" s="8" t="s">
        <v>5</v>
      </c>
      <c r="B398" s="1" t="s">
        <v>0</v>
      </c>
      <c r="C398" s="1" t="s">
        <v>1</v>
      </c>
      <c r="D398" s="1" t="s">
        <v>5144</v>
      </c>
      <c r="E398" s="1" t="s">
        <v>5145</v>
      </c>
      <c r="F398" s="1" t="s">
        <v>5146</v>
      </c>
      <c r="H398" s="2" t="s">
        <v>5</v>
      </c>
      <c r="I398" s="2" t="s">
        <v>6</v>
      </c>
      <c r="J398" s="2" t="s">
        <v>5</v>
      </c>
      <c r="K398" s="2" t="s">
        <v>5</v>
      </c>
      <c r="L398" s="2" t="s">
        <v>7</v>
      </c>
      <c r="M398" s="1" t="s">
        <v>5147</v>
      </c>
      <c r="N398" s="1" t="s">
        <v>5148</v>
      </c>
      <c r="O398" s="2" t="s">
        <v>389</v>
      </c>
      <c r="Q398" s="2" t="s">
        <v>10</v>
      </c>
      <c r="R398" s="2" t="s">
        <v>11</v>
      </c>
      <c r="S398" s="1" t="s">
        <v>5149</v>
      </c>
      <c r="T398" s="2" t="s">
        <v>12</v>
      </c>
      <c r="U398" s="3">
        <v>0</v>
      </c>
      <c r="V398" s="3">
        <v>0</v>
      </c>
      <c r="W398" s="4" t="s">
        <v>5150</v>
      </c>
      <c r="X398" s="4" t="s">
        <v>5150</v>
      </c>
      <c r="Y398" s="4" t="s">
        <v>5151</v>
      </c>
      <c r="Z398" s="4" t="s">
        <v>5151</v>
      </c>
      <c r="AA398" s="3">
        <v>148</v>
      </c>
      <c r="AB398" s="3">
        <v>80</v>
      </c>
      <c r="AC398" s="3">
        <v>162</v>
      </c>
      <c r="AD398" s="3">
        <v>2</v>
      </c>
      <c r="AE398" s="3">
        <v>2</v>
      </c>
      <c r="AF398" s="3">
        <v>4</v>
      </c>
      <c r="AG398" s="3">
        <v>4</v>
      </c>
      <c r="AH398" s="3">
        <v>1</v>
      </c>
      <c r="AI398" s="3">
        <v>1</v>
      </c>
      <c r="AJ398" s="3">
        <v>1</v>
      </c>
      <c r="AK398" s="3">
        <v>1</v>
      </c>
      <c r="AL398" s="3">
        <v>1</v>
      </c>
      <c r="AM398" s="3">
        <v>1</v>
      </c>
      <c r="AN398" s="3">
        <v>1</v>
      </c>
      <c r="AO398" s="3">
        <v>1</v>
      </c>
      <c r="AP398" s="3">
        <v>0</v>
      </c>
      <c r="AQ398" s="3">
        <v>0</v>
      </c>
      <c r="AR398" s="2" t="s">
        <v>5</v>
      </c>
      <c r="AS398" s="2" t="s">
        <v>5</v>
      </c>
      <c r="AU398" s="5" t="str">
        <f>HYPERLINK("https://creighton-primo.hosted.exlibrisgroup.com/primo-explore/search?tab=default_tab&amp;search_scope=EVERYTHING&amp;vid=01CRU&amp;lang=en_US&amp;offset=0&amp;query=any,contains,991000398659702656","Catalog Record")</f>
        <v>Catalog Record</v>
      </c>
      <c r="AV398" s="5" t="str">
        <f>HYPERLINK("http://www.worldcat.org/oclc/50198304","WorldCat Record")</f>
        <v>WorldCat Record</v>
      </c>
      <c r="AW398" s="2" t="s">
        <v>5152</v>
      </c>
      <c r="AX398" s="2" t="s">
        <v>5153</v>
      </c>
      <c r="AY398" s="2" t="s">
        <v>5154</v>
      </c>
      <c r="AZ398" s="2" t="s">
        <v>5154</v>
      </c>
      <c r="BA398" s="2" t="s">
        <v>5155</v>
      </c>
      <c r="BB398" s="2" t="s">
        <v>19</v>
      </c>
      <c r="BD398" s="2" t="s">
        <v>5156</v>
      </c>
      <c r="BE398" s="2" t="s">
        <v>5157</v>
      </c>
      <c r="BF398" s="2" t="s">
        <v>5158</v>
      </c>
    </row>
    <row r="399" spans="1:58" ht="50.25" customHeight="1" x14ac:dyDescent="0.25">
      <c r="A399" s="8" t="s">
        <v>5</v>
      </c>
      <c r="B399" s="1" t="s">
        <v>0</v>
      </c>
      <c r="C399" s="1" t="s">
        <v>1</v>
      </c>
      <c r="D399" s="1" t="s">
        <v>5159</v>
      </c>
      <c r="E399" s="1" t="s">
        <v>5160</v>
      </c>
      <c r="F399" s="1" t="s">
        <v>5161</v>
      </c>
      <c r="H399" s="2" t="s">
        <v>5</v>
      </c>
      <c r="I399" s="2" t="s">
        <v>6</v>
      </c>
      <c r="J399" s="2" t="s">
        <v>5</v>
      </c>
      <c r="K399" s="2" t="s">
        <v>5</v>
      </c>
      <c r="L399" s="2" t="s">
        <v>7</v>
      </c>
      <c r="N399" s="1" t="s">
        <v>5162</v>
      </c>
      <c r="O399" s="2" t="s">
        <v>1138</v>
      </c>
      <c r="Q399" s="2" t="s">
        <v>10</v>
      </c>
      <c r="R399" s="2" t="s">
        <v>5163</v>
      </c>
      <c r="S399" s="1" t="s">
        <v>5164</v>
      </c>
      <c r="T399" s="2" t="s">
        <v>12</v>
      </c>
      <c r="U399" s="3">
        <v>4</v>
      </c>
      <c r="V399" s="3">
        <v>4</v>
      </c>
      <c r="W399" s="4" t="s">
        <v>3985</v>
      </c>
      <c r="X399" s="4" t="s">
        <v>3985</v>
      </c>
      <c r="Y399" s="4" t="s">
        <v>4639</v>
      </c>
      <c r="Z399" s="4" t="s">
        <v>4639</v>
      </c>
      <c r="AA399" s="3">
        <v>108</v>
      </c>
      <c r="AB399" s="3">
        <v>85</v>
      </c>
      <c r="AC399" s="3">
        <v>97</v>
      </c>
      <c r="AD399" s="3">
        <v>1</v>
      </c>
      <c r="AE399" s="3">
        <v>2</v>
      </c>
      <c r="AF399" s="3">
        <v>4</v>
      </c>
      <c r="AG399" s="3">
        <v>6</v>
      </c>
      <c r="AH399" s="3">
        <v>3</v>
      </c>
      <c r="AI399" s="3">
        <v>3</v>
      </c>
      <c r="AJ399" s="3">
        <v>1</v>
      </c>
      <c r="AK399" s="3">
        <v>2</v>
      </c>
      <c r="AL399" s="3">
        <v>0</v>
      </c>
      <c r="AM399" s="3">
        <v>0</v>
      </c>
      <c r="AN399" s="3">
        <v>0</v>
      </c>
      <c r="AO399" s="3">
        <v>1</v>
      </c>
      <c r="AP399" s="3">
        <v>0</v>
      </c>
      <c r="AQ399" s="3">
        <v>0</v>
      </c>
      <c r="AR399" s="2" t="s">
        <v>90</v>
      </c>
      <c r="AS399" s="2" t="s">
        <v>5</v>
      </c>
      <c r="AT399" s="5" t="str">
        <f>HYPERLINK("http://catalog.hathitrust.org/Record/000771946","HathiTrust Record")</f>
        <v>HathiTrust Record</v>
      </c>
      <c r="AU399" s="5" t="str">
        <f>HYPERLINK("https://creighton-primo.hosted.exlibrisgroup.com/primo-explore/search?tab=default_tab&amp;search_scope=EVERYTHING&amp;vid=01CRU&amp;lang=en_US&amp;offset=0&amp;query=any,contains,991000732059702656","Catalog Record")</f>
        <v>Catalog Record</v>
      </c>
      <c r="AV399" s="5" t="str">
        <f>HYPERLINK("http://www.worldcat.org/oclc/9071623","WorldCat Record")</f>
        <v>WorldCat Record</v>
      </c>
      <c r="AW399" s="2" t="s">
        <v>5165</v>
      </c>
      <c r="AX399" s="2" t="s">
        <v>5166</v>
      </c>
      <c r="AY399" s="2" t="s">
        <v>5167</v>
      </c>
      <c r="AZ399" s="2" t="s">
        <v>5167</v>
      </c>
      <c r="BA399" s="2" t="s">
        <v>5168</v>
      </c>
      <c r="BB399" s="2" t="s">
        <v>19</v>
      </c>
      <c r="BD399" s="2" t="s">
        <v>5169</v>
      </c>
      <c r="BE399" s="2" t="s">
        <v>5170</v>
      </c>
      <c r="BF399" s="2" t="s">
        <v>5171</v>
      </c>
    </row>
    <row r="400" spans="1:58" ht="50.25" customHeight="1" x14ac:dyDescent="0.25">
      <c r="A400" s="8" t="s">
        <v>5</v>
      </c>
      <c r="B400" s="1" t="s">
        <v>0</v>
      </c>
      <c r="C400" s="1" t="s">
        <v>1</v>
      </c>
      <c r="D400" s="1" t="s">
        <v>5172</v>
      </c>
      <c r="E400" s="1" t="s">
        <v>5173</v>
      </c>
      <c r="F400" s="1" t="s">
        <v>5174</v>
      </c>
      <c r="H400" s="2" t="s">
        <v>5</v>
      </c>
      <c r="I400" s="2" t="s">
        <v>6</v>
      </c>
      <c r="J400" s="2" t="s">
        <v>5</v>
      </c>
      <c r="K400" s="2" t="s">
        <v>5</v>
      </c>
      <c r="L400" s="2" t="s">
        <v>7</v>
      </c>
      <c r="M400" s="1" t="s">
        <v>5175</v>
      </c>
      <c r="N400" s="1" t="s">
        <v>5176</v>
      </c>
      <c r="O400" s="2" t="s">
        <v>5177</v>
      </c>
      <c r="Q400" s="2" t="s">
        <v>10</v>
      </c>
      <c r="R400" s="2" t="s">
        <v>11</v>
      </c>
      <c r="T400" s="2" t="s">
        <v>12</v>
      </c>
      <c r="U400" s="3">
        <v>4</v>
      </c>
      <c r="V400" s="3">
        <v>4</v>
      </c>
      <c r="W400" s="4" t="s">
        <v>3985</v>
      </c>
      <c r="X400" s="4" t="s">
        <v>3985</v>
      </c>
      <c r="Y400" s="4" t="s">
        <v>957</v>
      </c>
      <c r="Z400" s="4" t="s">
        <v>957</v>
      </c>
      <c r="AA400" s="3">
        <v>550</v>
      </c>
      <c r="AB400" s="3">
        <v>545</v>
      </c>
      <c r="AC400" s="3">
        <v>679</v>
      </c>
      <c r="AD400" s="3">
        <v>6</v>
      </c>
      <c r="AE400" s="3">
        <v>7</v>
      </c>
      <c r="AF400" s="3">
        <v>33</v>
      </c>
      <c r="AG400" s="3">
        <v>42</v>
      </c>
      <c r="AH400" s="3">
        <v>14</v>
      </c>
      <c r="AI400" s="3">
        <v>17</v>
      </c>
      <c r="AJ400" s="3">
        <v>4</v>
      </c>
      <c r="AK400" s="3">
        <v>6</v>
      </c>
      <c r="AL400" s="3">
        <v>13</v>
      </c>
      <c r="AM400" s="3">
        <v>13</v>
      </c>
      <c r="AN400" s="3">
        <v>5</v>
      </c>
      <c r="AO400" s="3">
        <v>5</v>
      </c>
      <c r="AP400" s="3">
        <v>3</v>
      </c>
      <c r="AQ400" s="3">
        <v>8</v>
      </c>
      <c r="AR400" s="2" t="s">
        <v>5</v>
      </c>
      <c r="AS400" s="2" t="s">
        <v>5</v>
      </c>
      <c r="AT400" s="5" t="str">
        <f>HYPERLINK("http://catalog.hathitrust.org/Record/001046416","HathiTrust Record")</f>
        <v>HathiTrust Record</v>
      </c>
      <c r="AU400" s="5" t="str">
        <f>HYPERLINK("https://creighton-primo.hosted.exlibrisgroup.com/primo-explore/search?tab=default_tab&amp;search_scope=EVERYTHING&amp;vid=01CRU&amp;lang=en_US&amp;offset=0&amp;query=any,contains,991000732199702656","Catalog Record")</f>
        <v>Catalog Record</v>
      </c>
      <c r="AV400" s="5" t="str">
        <f>HYPERLINK("http://www.worldcat.org/oclc/1173448","WorldCat Record")</f>
        <v>WorldCat Record</v>
      </c>
      <c r="AW400" s="2" t="s">
        <v>5178</v>
      </c>
      <c r="AX400" s="2" t="s">
        <v>5179</v>
      </c>
      <c r="AY400" s="2" t="s">
        <v>5180</v>
      </c>
      <c r="AZ400" s="2" t="s">
        <v>5180</v>
      </c>
      <c r="BA400" s="2" t="s">
        <v>5181</v>
      </c>
      <c r="BB400" s="2" t="s">
        <v>19</v>
      </c>
      <c r="BE400" s="2" t="s">
        <v>5182</v>
      </c>
      <c r="BF400" s="2" t="s">
        <v>5183</v>
      </c>
    </row>
    <row r="401" spans="1:58" ht="50.25" customHeight="1" x14ac:dyDescent="0.25">
      <c r="A401" s="8" t="s">
        <v>5</v>
      </c>
      <c r="B401" s="1" t="s">
        <v>0</v>
      </c>
      <c r="C401" s="1" t="s">
        <v>1</v>
      </c>
      <c r="D401" s="1" t="s">
        <v>5184</v>
      </c>
      <c r="E401" s="1" t="s">
        <v>5185</v>
      </c>
      <c r="F401" s="1" t="s">
        <v>5186</v>
      </c>
      <c r="H401" s="2" t="s">
        <v>5</v>
      </c>
      <c r="I401" s="2" t="s">
        <v>6</v>
      </c>
      <c r="J401" s="2" t="s">
        <v>5</v>
      </c>
      <c r="K401" s="2" t="s">
        <v>5</v>
      </c>
      <c r="L401" s="2" t="s">
        <v>7</v>
      </c>
      <c r="N401" s="1" t="s">
        <v>5187</v>
      </c>
      <c r="O401" s="2" t="s">
        <v>596</v>
      </c>
      <c r="Q401" s="2" t="s">
        <v>10</v>
      </c>
      <c r="R401" s="2" t="s">
        <v>581</v>
      </c>
      <c r="S401" s="1" t="s">
        <v>5188</v>
      </c>
      <c r="T401" s="2" t="s">
        <v>12</v>
      </c>
      <c r="U401" s="3">
        <v>4</v>
      </c>
      <c r="V401" s="3">
        <v>4</v>
      </c>
      <c r="W401" s="4" t="s">
        <v>31</v>
      </c>
      <c r="X401" s="4" t="s">
        <v>31</v>
      </c>
      <c r="Y401" s="4" t="s">
        <v>4639</v>
      </c>
      <c r="Z401" s="4" t="s">
        <v>4639</v>
      </c>
      <c r="AA401" s="3">
        <v>15</v>
      </c>
      <c r="AB401" s="3">
        <v>7</v>
      </c>
      <c r="AC401" s="3">
        <v>60</v>
      </c>
      <c r="AD401" s="3">
        <v>1</v>
      </c>
      <c r="AE401" s="3">
        <v>1</v>
      </c>
      <c r="AF401" s="3">
        <v>0</v>
      </c>
      <c r="AG401" s="3">
        <v>3</v>
      </c>
      <c r="AH401" s="3">
        <v>0</v>
      </c>
      <c r="AI401" s="3">
        <v>2</v>
      </c>
      <c r="AJ401" s="3">
        <v>0</v>
      </c>
      <c r="AK401" s="3">
        <v>2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2" t="s">
        <v>5</v>
      </c>
      <c r="AS401" s="2" t="s">
        <v>5</v>
      </c>
      <c r="AU401" s="5" t="str">
        <f>HYPERLINK("https://creighton-primo.hosted.exlibrisgroup.com/primo-explore/search?tab=default_tab&amp;search_scope=EVERYTHING&amp;vid=01CRU&amp;lang=en_US&amp;offset=0&amp;query=any,contains,991001267149702656","Catalog Record")</f>
        <v>Catalog Record</v>
      </c>
      <c r="AV401" s="5" t="str">
        <f>HYPERLINK("http://www.worldcat.org/oclc/16289508","WorldCat Record")</f>
        <v>WorldCat Record</v>
      </c>
      <c r="AW401" s="2" t="s">
        <v>5189</v>
      </c>
      <c r="AX401" s="2" t="s">
        <v>5190</v>
      </c>
      <c r="AY401" s="2" t="s">
        <v>5191</v>
      </c>
      <c r="AZ401" s="2" t="s">
        <v>5191</v>
      </c>
      <c r="BA401" s="2" t="s">
        <v>5192</v>
      </c>
      <c r="BB401" s="2" t="s">
        <v>19</v>
      </c>
      <c r="BD401" s="2" t="s">
        <v>5193</v>
      </c>
      <c r="BE401" s="2" t="s">
        <v>5194</v>
      </c>
      <c r="BF401" s="2" t="s">
        <v>5195</v>
      </c>
    </row>
    <row r="402" spans="1:58" ht="50.25" customHeight="1" x14ac:dyDescent="0.25">
      <c r="A402" s="8" t="s">
        <v>5</v>
      </c>
      <c r="B402" s="1" t="s">
        <v>0</v>
      </c>
      <c r="C402" s="1" t="s">
        <v>1</v>
      </c>
      <c r="D402" s="1" t="s">
        <v>5196</v>
      </c>
      <c r="E402" s="1" t="s">
        <v>5197</v>
      </c>
      <c r="F402" s="1" t="s">
        <v>5198</v>
      </c>
      <c r="H402" s="2" t="s">
        <v>5</v>
      </c>
      <c r="I402" s="2" t="s">
        <v>6</v>
      </c>
      <c r="J402" s="2" t="s">
        <v>5</v>
      </c>
      <c r="K402" s="2" t="s">
        <v>5</v>
      </c>
      <c r="L402" s="2" t="s">
        <v>7</v>
      </c>
      <c r="M402" s="1" t="s">
        <v>5199</v>
      </c>
      <c r="N402" s="1" t="s">
        <v>5200</v>
      </c>
      <c r="O402" s="2" t="s">
        <v>1342</v>
      </c>
      <c r="Q402" s="2" t="s">
        <v>10</v>
      </c>
      <c r="R402" s="2" t="s">
        <v>77</v>
      </c>
      <c r="T402" s="2" t="s">
        <v>12</v>
      </c>
      <c r="U402" s="3">
        <v>1</v>
      </c>
      <c r="V402" s="3">
        <v>1</v>
      </c>
      <c r="W402" s="4" t="s">
        <v>5136</v>
      </c>
      <c r="X402" s="4" t="s">
        <v>5136</v>
      </c>
      <c r="Y402" s="4" t="s">
        <v>4639</v>
      </c>
      <c r="Z402" s="4" t="s">
        <v>4639</v>
      </c>
      <c r="AA402" s="3">
        <v>336</v>
      </c>
      <c r="AB402" s="3">
        <v>218</v>
      </c>
      <c r="AC402" s="3">
        <v>423</v>
      </c>
      <c r="AD402" s="3">
        <v>3</v>
      </c>
      <c r="AE402" s="3">
        <v>5</v>
      </c>
      <c r="AF402" s="3">
        <v>5</v>
      </c>
      <c r="AG402" s="3">
        <v>15</v>
      </c>
      <c r="AH402" s="3">
        <v>3</v>
      </c>
      <c r="AI402" s="3">
        <v>6</v>
      </c>
      <c r="AJ402" s="3">
        <v>1</v>
      </c>
      <c r="AK402" s="3">
        <v>3</v>
      </c>
      <c r="AL402" s="3">
        <v>1</v>
      </c>
      <c r="AM402" s="3">
        <v>5</v>
      </c>
      <c r="AN402" s="3">
        <v>1</v>
      </c>
      <c r="AO402" s="3">
        <v>3</v>
      </c>
      <c r="AP402" s="3">
        <v>0</v>
      </c>
      <c r="AQ402" s="3">
        <v>0</v>
      </c>
      <c r="AR402" s="2" t="s">
        <v>5</v>
      </c>
      <c r="AS402" s="2" t="s">
        <v>90</v>
      </c>
      <c r="AT402" s="5" t="str">
        <f>HYPERLINK("http://catalog.hathitrust.org/Record/009516419","HathiTrust Record")</f>
        <v>HathiTrust Record</v>
      </c>
      <c r="AU402" s="5" t="str">
        <f>HYPERLINK("https://creighton-primo.hosted.exlibrisgroup.com/primo-explore/search?tab=default_tab&amp;search_scope=EVERYTHING&amp;vid=01CRU&amp;lang=en_US&amp;offset=0&amp;query=any,contains,991000732359702656","Catalog Record")</f>
        <v>Catalog Record</v>
      </c>
      <c r="AV402" s="5" t="str">
        <f>HYPERLINK("http://www.worldcat.org/oclc/143810","WorldCat Record")</f>
        <v>WorldCat Record</v>
      </c>
      <c r="AW402" s="2" t="s">
        <v>5201</v>
      </c>
      <c r="AX402" s="2" t="s">
        <v>5202</v>
      </c>
      <c r="AY402" s="2" t="s">
        <v>5203</v>
      </c>
      <c r="AZ402" s="2" t="s">
        <v>5203</v>
      </c>
      <c r="BA402" s="2" t="s">
        <v>5204</v>
      </c>
      <c r="BB402" s="2" t="s">
        <v>19</v>
      </c>
      <c r="BD402" s="2" t="s">
        <v>5205</v>
      </c>
      <c r="BE402" s="2" t="s">
        <v>5206</v>
      </c>
      <c r="BF402" s="2" t="s">
        <v>5207</v>
      </c>
    </row>
    <row r="403" spans="1:58" ht="50.25" customHeight="1" x14ac:dyDescent="0.25">
      <c r="A403" s="8" t="s">
        <v>5</v>
      </c>
      <c r="B403" s="1" t="s">
        <v>0</v>
      </c>
      <c r="C403" s="1" t="s">
        <v>1</v>
      </c>
      <c r="D403" s="1" t="s">
        <v>5208</v>
      </c>
      <c r="E403" s="1" t="s">
        <v>5209</v>
      </c>
      <c r="F403" s="1" t="s">
        <v>5210</v>
      </c>
      <c r="H403" s="2" t="s">
        <v>5</v>
      </c>
      <c r="I403" s="2" t="s">
        <v>6</v>
      </c>
      <c r="J403" s="2" t="s">
        <v>5</v>
      </c>
      <c r="K403" s="2" t="s">
        <v>5</v>
      </c>
      <c r="L403" s="2" t="s">
        <v>7</v>
      </c>
      <c r="M403" s="1" t="s">
        <v>5211</v>
      </c>
      <c r="N403" s="1" t="s">
        <v>5212</v>
      </c>
      <c r="O403" s="2" t="s">
        <v>2287</v>
      </c>
      <c r="Q403" s="2" t="s">
        <v>10</v>
      </c>
      <c r="R403" s="2" t="s">
        <v>11</v>
      </c>
      <c r="S403" s="1" t="s">
        <v>5213</v>
      </c>
      <c r="T403" s="2" t="s">
        <v>12</v>
      </c>
      <c r="U403" s="3">
        <v>2</v>
      </c>
      <c r="V403" s="3">
        <v>2</v>
      </c>
      <c r="W403" s="4" t="s">
        <v>5136</v>
      </c>
      <c r="X403" s="4" t="s">
        <v>5136</v>
      </c>
      <c r="Y403" s="4" t="s">
        <v>4639</v>
      </c>
      <c r="Z403" s="4" t="s">
        <v>4639</v>
      </c>
      <c r="AA403" s="3">
        <v>487</v>
      </c>
      <c r="AB403" s="3">
        <v>368</v>
      </c>
      <c r="AC403" s="3">
        <v>370</v>
      </c>
      <c r="AD403" s="3">
        <v>2</v>
      </c>
      <c r="AE403" s="3">
        <v>2</v>
      </c>
      <c r="AF403" s="3">
        <v>15</v>
      </c>
      <c r="AG403" s="3">
        <v>15</v>
      </c>
      <c r="AH403" s="3">
        <v>8</v>
      </c>
      <c r="AI403" s="3">
        <v>8</v>
      </c>
      <c r="AJ403" s="3">
        <v>3</v>
      </c>
      <c r="AK403" s="3">
        <v>3</v>
      </c>
      <c r="AL403" s="3">
        <v>7</v>
      </c>
      <c r="AM403" s="3">
        <v>7</v>
      </c>
      <c r="AN403" s="3">
        <v>1</v>
      </c>
      <c r="AO403" s="3">
        <v>1</v>
      </c>
      <c r="AP403" s="3">
        <v>0</v>
      </c>
      <c r="AQ403" s="3">
        <v>0</v>
      </c>
      <c r="AR403" s="2" t="s">
        <v>5</v>
      </c>
      <c r="AS403" s="2" t="s">
        <v>90</v>
      </c>
      <c r="AT403" s="5" t="str">
        <f>HYPERLINK("http://catalog.hathitrust.org/Record/000734612","HathiTrust Record")</f>
        <v>HathiTrust Record</v>
      </c>
      <c r="AU403" s="5" t="str">
        <f>HYPERLINK("https://creighton-primo.hosted.exlibrisgroup.com/primo-explore/search?tab=default_tab&amp;search_scope=EVERYTHING&amp;vid=01CRU&amp;lang=en_US&amp;offset=0&amp;query=any,contains,991000732399702656","Catalog Record")</f>
        <v>Catalog Record</v>
      </c>
      <c r="AV403" s="5" t="str">
        <f>HYPERLINK("http://www.worldcat.org/oclc/5889815","WorldCat Record")</f>
        <v>WorldCat Record</v>
      </c>
      <c r="AW403" s="2" t="s">
        <v>5214</v>
      </c>
      <c r="AX403" s="2" t="s">
        <v>5215</v>
      </c>
      <c r="AY403" s="2" t="s">
        <v>5216</v>
      </c>
      <c r="AZ403" s="2" t="s">
        <v>5216</v>
      </c>
      <c r="BA403" s="2" t="s">
        <v>5217</v>
      </c>
      <c r="BB403" s="2" t="s">
        <v>19</v>
      </c>
      <c r="BD403" s="2" t="s">
        <v>5218</v>
      </c>
      <c r="BE403" s="2" t="s">
        <v>5219</v>
      </c>
      <c r="BF403" s="2" t="s">
        <v>5220</v>
      </c>
    </row>
    <row r="404" spans="1:58" ht="50.25" customHeight="1" x14ac:dyDescent="0.25">
      <c r="A404" s="8" t="s">
        <v>5</v>
      </c>
      <c r="B404" s="1" t="s">
        <v>0</v>
      </c>
      <c r="C404" s="1" t="s">
        <v>1</v>
      </c>
      <c r="D404" s="1" t="s">
        <v>5221</v>
      </c>
      <c r="E404" s="1" t="s">
        <v>5222</v>
      </c>
      <c r="F404" s="1" t="s">
        <v>5223</v>
      </c>
      <c r="H404" s="2" t="s">
        <v>5</v>
      </c>
      <c r="I404" s="2" t="s">
        <v>6</v>
      </c>
      <c r="J404" s="2" t="s">
        <v>5</v>
      </c>
      <c r="K404" s="2" t="s">
        <v>5</v>
      </c>
      <c r="L404" s="2" t="s">
        <v>7</v>
      </c>
      <c r="N404" s="1" t="s">
        <v>5224</v>
      </c>
      <c r="O404" s="2" t="s">
        <v>3003</v>
      </c>
      <c r="Q404" s="2" t="s">
        <v>10</v>
      </c>
      <c r="R404" s="2" t="s">
        <v>11</v>
      </c>
      <c r="T404" s="2" t="s">
        <v>12</v>
      </c>
      <c r="U404" s="3">
        <v>8</v>
      </c>
      <c r="V404" s="3">
        <v>8</v>
      </c>
      <c r="W404" s="4" t="s">
        <v>5225</v>
      </c>
      <c r="X404" s="4" t="s">
        <v>5225</v>
      </c>
      <c r="Y404" s="4" t="s">
        <v>4639</v>
      </c>
      <c r="Z404" s="4" t="s">
        <v>4639</v>
      </c>
      <c r="AA404" s="3">
        <v>92</v>
      </c>
      <c r="AB404" s="3">
        <v>91</v>
      </c>
      <c r="AC404" s="3">
        <v>93</v>
      </c>
      <c r="AD404" s="3">
        <v>1</v>
      </c>
      <c r="AE404" s="3">
        <v>1</v>
      </c>
      <c r="AF404" s="3">
        <v>1</v>
      </c>
      <c r="AG404" s="3">
        <v>1</v>
      </c>
      <c r="AH404" s="3">
        <v>0</v>
      </c>
      <c r="AI404" s="3">
        <v>0</v>
      </c>
      <c r="AJ404" s="3">
        <v>0</v>
      </c>
      <c r="AK404" s="3">
        <v>0</v>
      </c>
      <c r="AL404" s="3">
        <v>1</v>
      </c>
      <c r="AM404" s="3">
        <v>1</v>
      </c>
      <c r="AN404" s="3">
        <v>0</v>
      </c>
      <c r="AO404" s="3">
        <v>0</v>
      </c>
      <c r="AP404" s="3">
        <v>0</v>
      </c>
      <c r="AQ404" s="3">
        <v>0</v>
      </c>
      <c r="AR404" s="2" t="s">
        <v>5</v>
      </c>
      <c r="AS404" s="2" t="s">
        <v>90</v>
      </c>
      <c r="AT404" s="5" t="str">
        <f>HYPERLINK("http://catalog.hathitrust.org/Record/000603466","HathiTrust Record")</f>
        <v>HathiTrust Record</v>
      </c>
      <c r="AU404" s="5" t="str">
        <f>HYPERLINK("https://creighton-primo.hosted.exlibrisgroup.com/primo-explore/search?tab=default_tab&amp;search_scope=EVERYTHING&amp;vid=01CRU&amp;lang=en_US&amp;offset=0&amp;query=any,contains,991000732549702656","Catalog Record")</f>
        <v>Catalog Record</v>
      </c>
      <c r="AV404" s="5" t="str">
        <f>HYPERLINK("http://www.worldcat.org/oclc/18781065","WorldCat Record")</f>
        <v>WorldCat Record</v>
      </c>
      <c r="AW404" s="2" t="s">
        <v>5226</v>
      </c>
      <c r="AX404" s="2" t="s">
        <v>5227</v>
      </c>
      <c r="AY404" s="2" t="s">
        <v>5228</v>
      </c>
      <c r="AZ404" s="2" t="s">
        <v>5228</v>
      </c>
      <c r="BA404" s="2" t="s">
        <v>5229</v>
      </c>
      <c r="BB404" s="2" t="s">
        <v>19</v>
      </c>
      <c r="BE404" s="2" t="s">
        <v>5230</v>
      </c>
      <c r="BF404" s="2" t="s">
        <v>5231</v>
      </c>
    </row>
    <row r="405" spans="1:58" ht="50.25" customHeight="1" x14ac:dyDescent="0.25">
      <c r="A405" s="8" t="s">
        <v>5</v>
      </c>
      <c r="B405" s="1" t="s">
        <v>0</v>
      </c>
      <c r="C405" s="1" t="s">
        <v>1</v>
      </c>
      <c r="D405" s="1" t="s">
        <v>5232</v>
      </c>
      <c r="E405" s="1" t="s">
        <v>5233</v>
      </c>
      <c r="F405" s="1" t="s">
        <v>5234</v>
      </c>
      <c r="H405" s="2" t="s">
        <v>5</v>
      </c>
      <c r="I405" s="2" t="s">
        <v>6</v>
      </c>
      <c r="J405" s="2" t="s">
        <v>5</v>
      </c>
      <c r="K405" s="2" t="s">
        <v>5</v>
      </c>
      <c r="L405" s="2" t="s">
        <v>7</v>
      </c>
      <c r="N405" s="1" t="s">
        <v>5235</v>
      </c>
      <c r="O405" s="2" t="s">
        <v>3003</v>
      </c>
      <c r="Q405" s="2" t="s">
        <v>10</v>
      </c>
      <c r="R405" s="2" t="s">
        <v>5236</v>
      </c>
      <c r="S405" s="1" t="s">
        <v>5237</v>
      </c>
      <c r="T405" s="2" t="s">
        <v>12</v>
      </c>
      <c r="U405" s="3">
        <v>8</v>
      </c>
      <c r="V405" s="3">
        <v>8</v>
      </c>
      <c r="W405" s="4" t="s">
        <v>1178</v>
      </c>
      <c r="X405" s="4" t="s">
        <v>1178</v>
      </c>
      <c r="Y405" s="4" t="s">
        <v>4639</v>
      </c>
      <c r="Z405" s="4" t="s">
        <v>4639</v>
      </c>
      <c r="AA405" s="3">
        <v>30</v>
      </c>
      <c r="AB405" s="3">
        <v>29</v>
      </c>
      <c r="AC405" s="3">
        <v>43</v>
      </c>
      <c r="AD405" s="3">
        <v>1</v>
      </c>
      <c r="AE405" s="3">
        <v>1</v>
      </c>
      <c r="AF405" s="3">
        <v>1</v>
      </c>
      <c r="AG405" s="3">
        <v>1</v>
      </c>
      <c r="AH405" s="3">
        <v>0</v>
      </c>
      <c r="AI405" s="3">
        <v>0</v>
      </c>
      <c r="AJ405" s="3">
        <v>1</v>
      </c>
      <c r="AK405" s="3">
        <v>1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2" t="s">
        <v>5</v>
      </c>
      <c r="AS405" s="2" t="s">
        <v>5</v>
      </c>
      <c r="AU405" s="5" t="str">
        <f>HYPERLINK("https://creighton-primo.hosted.exlibrisgroup.com/primo-explore/search?tab=default_tab&amp;search_scope=EVERYTHING&amp;vid=01CRU&amp;lang=en_US&amp;offset=0&amp;query=any,contains,991000732599702656","Catalog Record")</f>
        <v>Catalog Record</v>
      </c>
      <c r="AV405" s="5" t="str">
        <f>HYPERLINK("http://www.worldcat.org/oclc/10703336","WorldCat Record")</f>
        <v>WorldCat Record</v>
      </c>
      <c r="AW405" s="2" t="s">
        <v>5238</v>
      </c>
      <c r="AX405" s="2" t="s">
        <v>5239</v>
      </c>
      <c r="AY405" s="2" t="s">
        <v>5240</v>
      </c>
      <c r="AZ405" s="2" t="s">
        <v>5240</v>
      </c>
      <c r="BA405" s="2" t="s">
        <v>5241</v>
      </c>
      <c r="BB405" s="2" t="s">
        <v>19</v>
      </c>
      <c r="BD405" s="2" t="s">
        <v>5242</v>
      </c>
      <c r="BE405" s="2" t="s">
        <v>5243</v>
      </c>
      <c r="BF405" s="2" t="s">
        <v>5244</v>
      </c>
    </row>
    <row r="406" spans="1:58" ht="50.25" customHeight="1" x14ac:dyDescent="0.25">
      <c r="A406" s="8" t="s">
        <v>5</v>
      </c>
      <c r="B406" s="1" t="s">
        <v>0</v>
      </c>
      <c r="C406" s="1" t="s">
        <v>1</v>
      </c>
      <c r="D406" s="1" t="s">
        <v>5245</v>
      </c>
      <c r="E406" s="1" t="s">
        <v>5246</v>
      </c>
      <c r="F406" s="1" t="s">
        <v>5247</v>
      </c>
      <c r="H406" s="2" t="s">
        <v>5</v>
      </c>
      <c r="I406" s="2" t="s">
        <v>6</v>
      </c>
      <c r="J406" s="2" t="s">
        <v>5</v>
      </c>
      <c r="K406" s="2" t="s">
        <v>5</v>
      </c>
      <c r="L406" s="2" t="s">
        <v>7</v>
      </c>
      <c r="N406" s="1" t="s">
        <v>5248</v>
      </c>
      <c r="O406" s="2" t="s">
        <v>3003</v>
      </c>
      <c r="Q406" s="2" t="s">
        <v>10</v>
      </c>
      <c r="R406" s="2" t="s">
        <v>45</v>
      </c>
      <c r="T406" s="2" t="s">
        <v>12</v>
      </c>
      <c r="U406" s="3">
        <v>4</v>
      </c>
      <c r="V406" s="3">
        <v>4</v>
      </c>
      <c r="W406" s="4" t="s">
        <v>5249</v>
      </c>
      <c r="X406" s="4" t="s">
        <v>5249</v>
      </c>
      <c r="Y406" s="4" t="s">
        <v>4639</v>
      </c>
      <c r="Z406" s="4" t="s">
        <v>4639</v>
      </c>
      <c r="AA406" s="3">
        <v>4</v>
      </c>
      <c r="AB406" s="3">
        <v>4</v>
      </c>
      <c r="AC406" s="3">
        <v>6</v>
      </c>
      <c r="AD406" s="3">
        <v>1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2" t="s">
        <v>5</v>
      </c>
      <c r="AS406" s="2" t="s">
        <v>5</v>
      </c>
      <c r="AU406" s="5" t="str">
        <f>HYPERLINK("https://creighton-primo.hosted.exlibrisgroup.com/primo-explore/search?tab=default_tab&amp;search_scope=EVERYTHING&amp;vid=01CRU&amp;lang=en_US&amp;offset=0&amp;query=any,contains,991001276289702656","Catalog Record")</f>
        <v>Catalog Record</v>
      </c>
      <c r="AV406" s="5" t="str">
        <f>HYPERLINK("http://www.worldcat.org/oclc/11106260","WorldCat Record")</f>
        <v>WorldCat Record</v>
      </c>
      <c r="AW406" s="2" t="s">
        <v>5250</v>
      </c>
      <c r="AX406" s="2" t="s">
        <v>5251</v>
      </c>
      <c r="AY406" s="2" t="s">
        <v>5252</v>
      </c>
      <c r="AZ406" s="2" t="s">
        <v>5252</v>
      </c>
      <c r="BA406" s="2" t="s">
        <v>5253</v>
      </c>
      <c r="BB406" s="2" t="s">
        <v>19</v>
      </c>
      <c r="BE406" s="2" t="s">
        <v>5254</v>
      </c>
      <c r="BF406" s="2" t="s">
        <v>5255</v>
      </c>
    </row>
    <row r="407" spans="1:58" ht="50.25" customHeight="1" x14ac:dyDescent="0.25">
      <c r="A407" s="8" t="s">
        <v>5</v>
      </c>
      <c r="B407" s="1" t="s">
        <v>0</v>
      </c>
      <c r="C407" s="1" t="s">
        <v>1</v>
      </c>
      <c r="D407" s="1" t="s">
        <v>5256</v>
      </c>
      <c r="E407" s="1" t="s">
        <v>5257</v>
      </c>
      <c r="F407" s="1" t="s">
        <v>5258</v>
      </c>
      <c r="H407" s="2" t="s">
        <v>5</v>
      </c>
      <c r="I407" s="2" t="s">
        <v>6</v>
      </c>
      <c r="J407" s="2" t="s">
        <v>5</v>
      </c>
      <c r="K407" s="2" t="s">
        <v>5</v>
      </c>
      <c r="L407" s="2" t="s">
        <v>7</v>
      </c>
      <c r="M407" s="1" t="s">
        <v>5259</v>
      </c>
      <c r="N407" s="1" t="s">
        <v>5260</v>
      </c>
      <c r="O407" s="2" t="s">
        <v>141</v>
      </c>
      <c r="Q407" s="2" t="s">
        <v>10</v>
      </c>
      <c r="R407" s="2" t="s">
        <v>184</v>
      </c>
      <c r="S407" s="1" t="s">
        <v>5261</v>
      </c>
      <c r="T407" s="2" t="s">
        <v>12</v>
      </c>
      <c r="U407" s="3">
        <v>6</v>
      </c>
      <c r="V407" s="3">
        <v>6</v>
      </c>
      <c r="W407" s="4" t="s">
        <v>5262</v>
      </c>
      <c r="X407" s="4" t="s">
        <v>5262</v>
      </c>
      <c r="Y407" s="4" t="s">
        <v>798</v>
      </c>
      <c r="Z407" s="4" t="s">
        <v>798</v>
      </c>
      <c r="AA407" s="3">
        <v>216</v>
      </c>
      <c r="AB407" s="3">
        <v>181</v>
      </c>
      <c r="AC407" s="3">
        <v>186</v>
      </c>
      <c r="AD407" s="3">
        <v>2</v>
      </c>
      <c r="AE407" s="3">
        <v>2</v>
      </c>
      <c r="AF407" s="3">
        <v>12</v>
      </c>
      <c r="AG407" s="3">
        <v>12</v>
      </c>
      <c r="AH407" s="3">
        <v>4</v>
      </c>
      <c r="AI407" s="3">
        <v>4</v>
      </c>
      <c r="AJ407" s="3">
        <v>2</v>
      </c>
      <c r="AK407" s="3">
        <v>2</v>
      </c>
      <c r="AL407" s="3">
        <v>6</v>
      </c>
      <c r="AM407" s="3">
        <v>6</v>
      </c>
      <c r="AN407" s="3">
        <v>1</v>
      </c>
      <c r="AO407" s="3">
        <v>1</v>
      </c>
      <c r="AP407" s="3">
        <v>2</v>
      </c>
      <c r="AQ407" s="3">
        <v>2</v>
      </c>
      <c r="AR407" s="2" t="s">
        <v>5</v>
      </c>
      <c r="AS407" s="2" t="s">
        <v>90</v>
      </c>
      <c r="AT407" s="5" t="str">
        <f>HYPERLINK("http://catalog.hathitrust.org/Record/000817173","HathiTrust Record")</f>
        <v>HathiTrust Record</v>
      </c>
      <c r="AU407" s="5" t="str">
        <f>HYPERLINK("https://creighton-primo.hosted.exlibrisgroup.com/primo-explore/search?tab=default_tab&amp;search_scope=EVERYTHING&amp;vid=01CRU&amp;lang=en_US&amp;offset=0&amp;query=any,contains,991001486619702656","Catalog Record")</f>
        <v>Catalog Record</v>
      </c>
      <c r="AV407" s="5" t="str">
        <f>HYPERLINK("http://www.worldcat.org/oclc/14271852","WorldCat Record")</f>
        <v>WorldCat Record</v>
      </c>
      <c r="AW407" s="2" t="s">
        <v>5263</v>
      </c>
      <c r="AX407" s="2" t="s">
        <v>5264</v>
      </c>
      <c r="AY407" s="2" t="s">
        <v>5265</v>
      </c>
      <c r="AZ407" s="2" t="s">
        <v>5265</v>
      </c>
      <c r="BA407" s="2" t="s">
        <v>5266</v>
      </c>
      <c r="BB407" s="2" t="s">
        <v>19</v>
      </c>
      <c r="BD407" s="2" t="s">
        <v>5267</v>
      </c>
      <c r="BE407" s="2" t="s">
        <v>5268</v>
      </c>
      <c r="BF407" s="2" t="s">
        <v>5269</v>
      </c>
    </row>
    <row r="408" spans="1:58" ht="50.25" customHeight="1" x14ac:dyDescent="0.25">
      <c r="A408" s="8" t="s">
        <v>5</v>
      </c>
      <c r="B408" s="1" t="s">
        <v>0</v>
      </c>
      <c r="C408" s="1" t="s">
        <v>1</v>
      </c>
      <c r="D408" s="1" t="s">
        <v>5270</v>
      </c>
      <c r="E408" s="1" t="s">
        <v>5271</v>
      </c>
      <c r="F408" s="1" t="s">
        <v>5272</v>
      </c>
      <c r="H408" s="2" t="s">
        <v>5</v>
      </c>
      <c r="I408" s="2" t="s">
        <v>6</v>
      </c>
      <c r="J408" s="2" t="s">
        <v>5</v>
      </c>
      <c r="K408" s="2" t="s">
        <v>90</v>
      </c>
      <c r="L408" s="2" t="s">
        <v>7</v>
      </c>
      <c r="M408" s="1" t="s">
        <v>5273</v>
      </c>
      <c r="N408" s="1" t="s">
        <v>5274</v>
      </c>
      <c r="O408" s="2" t="s">
        <v>198</v>
      </c>
      <c r="Q408" s="2" t="s">
        <v>10</v>
      </c>
      <c r="R408" s="2" t="s">
        <v>29</v>
      </c>
      <c r="T408" s="2" t="s">
        <v>12</v>
      </c>
      <c r="U408" s="3">
        <v>5</v>
      </c>
      <c r="V408" s="3">
        <v>5</v>
      </c>
      <c r="W408" s="4" t="s">
        <v>5275</v>
      </c>
      <c r="X408" s="4" t="s">
        <v>5275</v>
      </c>
      <c r="Y408" s="4" t="s">
        <v>4639</v>
      </c>
      <c r="Z408" s="4" t="s">
        <v>4639</v>
      </c>
      <c r="AA408" s="3">
        <v>457</v>
      </c>
      <c r="AB408" s="3">
        <v>350</v>
      </c>
      <c r="AC408" s="3">
        <v>929</v>
      </c>
      <c r="AD408" s="3">
        <v>3</v>
      </c>
      <c r="AE408" s="3">
        <v>7</v>
      </c>
      <c r="AF408" s="3">
        <v>11</v>
      </c>
      <c r="AG408" s="3">
        <v>34</v>
      </c>
      <c r="AH408" s="3">
        <v>1</v>
      </c>
      <c r="AI408" s="3">
        <v>13</v>
      </c>
      <c r="AJ408" s="3">
        <v>4</v>
      </c>
      <c r="AK408" s="3">
        <v>10</v>
      </c>
      <c r="AL408" s="3">
        <v>6</v>
      </c>
      <c r="AM408" s="3">
        <v>14</v>
      </c>
      <c r="AN408" s="3">
        <v>2</v>
      </c>
      <c r="AO408" s="3">
        <v>5</v>
      </c>
      <c r="AP408" s="3">
        <v>0</v>
      </c>
      <c r="AQ408" s="3">
        <v>0</v>
      </c>
      <c r="AR408" s="2" t="s">
        <v>5</v>
      </c>
      <c r="AS408" s="2" t="s">
        <v>90</v>
      </c>
      <c r="AT408" s="5" t="str">
        <f>HYPERLINK("http://catalog.hathitrust.org/Record/000571011","HathiTrust Record")</f>
        <v>HathiTrust Record</v>
      </c>
      <c r="AU408" s="5" t="str">
        <f>HYPERLINK("https://creighton-primo.hosted.exlibrisgroup.com/primo-explore/search?tab=default_tab&amp;search_scope=EVERYTHING&amp;vid=01CRU&amp;lang=en_US&amp;offset=0&amp;query=any,contains,991000732709702656","Catalog Record")</f>
        <v>Catalog Record</v>
      </c>
      <c r="AV408" s="5" t="str">
        <f>HYPERLINK("http://www.worldcat.org/oclc/9465161","WorldCat Record")</f>
        <v>WorldCat Record</v>
      </c>
      <c r="AW408" s="2" t="s">
        <v>5276</v>
      </c>
      <c r="AX408" s="2" t="s">
        <v>5277</v>
      </c>
      <c r="AY408" s="2" t="s">
        <v>5278</v>
      </c>
      <c r="AZ408" s="2" t="s">
        <v>5278</v>
      </c>
      <c r="BA408" s="2" t="s">
        <v>5279</v>
      </c>
      <c r="BB408" s="2" t="s">
        <v>19</v>
      </c>
      <c r="BD408" s="2" t="s">
        <v>5280</v>
      </c>
      <c r="BE408" s="2" t="s">
        <v>5281</v>
      </c>
      <c r="BF408" s="2" t="s">
        <v>5282</v>
      </c>
    </row>
    <row r="409" spans="1:58" ht="50.25" customHeight="1" x14ac:dyDescent="0.25">
      <c r="A409" s="8" t="s">
        <v>5</v>
      </c>
      <c r="B409" s="1" t="s">
        <v>0</v>
      </c>
      <c r="C409" s="1" t="s">
        <v>1</v>
      </c>
      <c r="D409" s="1" t="s">
        <v>5283</v>
      </c>
      <c r="E409" s="1" t="s">
        <v>5284</v>
      </c>
      <c r="F409" s="1" t="s">
        <v>5285</v>
      </c>
      <c r="H409" s="2" t="s">
        <v>5</v>
      </c>
      <c r="I409" s="2" t="s">
        <v>6</v>
      </c>
      <c r="J409" s="2" t="s">
        <v>5</v>
      </c>
      <c r="K409" s="2" t="s">
        <v>5</v>
      </c>
      <c r="L409" s="2" t="s">
        <v>7</v>
      </c>
      <c r="M409" s="1" t="s">
        <v>5286</v>
      </c>
      <c r="N409" s="1" t="s">
        <v>5287</v>
      </c>
      <c r="O409" s="2" t="s">
        <v>2287</v>
      </c>
      <c r="Q409" s="2" t="s">
        <v>10</v>
      </c>
      <c r="R409" s="2" t="s">
        <v>5288</v>
      </c>
      <c r="T409" s="2" t="s">
        <v>12</v>
      </c>
      <c r="U409" s="3">
        <v>5</v>
      </c>
      <c r="V409" s="3">
        <v>5</v>
      </c>
      <c r="W409" s="4" t="s">
        <v>5289</v>
      </c>
      <c r="X409" s="4" t="s">
        <v>5289</v>
      </c>
      <c r="Y409" s="4" t="s">
        <v>4639</v>
      </c>
      <c r="Z409" s="4" t="s">
        <v>4639</v>
      </c>
      <c r="AA409" s="3">
        <v>130</v>
      </c>
      <c r="AB409" s="3">
        <v>111</v>
      </c>
      <c r="AC409" s="3">
        <v>114</v>
      </c>
      <c r="AD409" s="3">
        <v>1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2" t="s">
        <v>5</v>
      </c>
      <c r="AS409" s="2" t="s">
        <v>90</v>
      </c>
      <c r="AT409" s="5" t="str">
        <f>HYPERLINK("http://catalog.hathitrust.org/Record/000156391","HathiTrust Record")</f>
        <v>HathiTrust Record</v>
      </c>
      <c r="AU409" s="5" t="str">
        <f>HYPERLINK("https://creighton-primo.hosted.exlibrisgroup.com/primo-explore/search?tab=default_tab&amp;search_scope=EVERYTHING&amp;vid=01CRU&amp;lang=en_US&amp;offset=0&amp;query=any,contains,991000732849702656","Catalog Record")</f>
        <v>Catalog Record</v>
      </c>
      <c r="AV409" s="5" t="str">
        <f>HYPERLINK("http://www.worldcat.org/oclc/6625490","WorldCat Record")</f>
        <v>WorldCat Record</v>
      </c>
      <c r="AW409" s="2" t="s">
        <v>5290</v>
      </c>
      <c r="AX409" s="2" t="s">
        <v>5291</v>
      </c>
      <c r="AY409" s="2" t="s">
        <v>5292</v>
      </c>
      <c r="AZ409" s="2" t="s">
        <v>5292</v>
      </c>
      <c r="BA409" s="2" t="s">
        <v>5293</v>
      </c>
      <c r="BB409" s="2" t="s">
        <v>19</v>
      </c>
      <c r="BE409" s="2" t="s">
        <v>5294</v>
      </c>
      <c r="BF409" s="2" t="s">
        <v>5295</v>
      </c>
    </row>
    <row r="410" spans="1:58" ht="50.25" customHeight="1" x14ac:dyDescent="0.25">
      <c r="A410" s="8" t="s">
        <v>5</v>
      </c>
      <c r="B410" s="1" t="s">
        <v>0</v>
      </c>
      <c r="C410" s="1" t="s">
        <v>1</v>
      </c>
      <c r="D410" s="1" t="s">
        <v>5296</v>
      </c>
      <c r="E410" s="1" t="s">
        <v>5297</v>
      </c>
      <c r="F410" s="1" t="s">
        <v>5298</v>
      </c>
      <c r="H410" s="2" t="s">
        <v>5</v>
      </c>
      <c r="I410" s="2" t="s">
        <v>6</v>
      </c>
      <c r="J410" s="2" t="s">
        <v>90</v>
      </c>
      <c r="K410" s="2" t="s">
        <v>90</v>
      </c>
      <c r="L410" s="2" t="s">
        <v>7</v>
      </c>
      <c r="M410" s="1" t="s">
        <v>5299</v>
      </c>
      <c r="N410" s="1" t="s">
        <v>5300</v>
      </c>
      <c r="O410" s="2" t="s">
        <v>259</v>
      </c>
      <c r="Q410" s="2" t="s">
        <v>10</v>
      </c>
      <c r="R410" s="2" t="s">
        <v>5301</v>
      </c>
      <c r="T410" s="2" t="s">
        <v>12</v>
      </c>
      <c r="U410" s="3">
        <v>20</v>
      </c>
      <c r="V410" s="3">
        <v>23</v>
      </c>
      <c r="W410" s="4" t="s">
        <v>5302</v>
      </c>
      <c r="X410" s="4" t="s">
        <v>5302</v>
      </c>
      <c r="Y410" s="4" t="s">
        <v>942</v>
      </c>
      <c r="Z410" s="4" t="s">
        <v>942</v>
      </c>
      <c r="AA410" s="3">
        <v>823</v>
      </c>
      <c r="AB410" s="3">
        <v>776</v>
      </c>
      <c r="AC410" s="3">
        <v>1024</v>
      </c>
      <c r="AD410" s="3">
        <v>7</v>
      </c>
      <c r="AE410" s="3">
        <v>9</v>
      </c>
      <c r="AF410" s="3">
        <v>27</v>
      </c>
      <c r="AG410" s="3">
        <v>36</v>
      </c>
      <c r="AH410" s="3">
        <v>6</v>
      </c>
      <c r="AI410" s="3">
        <v>11</v>
      </c>
      <c r="AJ410" s="3">
        <v>4</v>
      </c>
      <c r="AK410" s="3">
        <v>5</v>
      </c>
      <c r="AL410" s="3">
        <v>11</v>
      </c>
      <c r="AM410" s="3">
        <v>13</v>
      </c>
      <c r="AN410" s="3">
        <v>4</v>
      </c>
      <c r="AO410" s="3">
        <v>6</v>
      </c>
      <c r="AP410" s="3">
        <v>6</v>
      </c>
      <c r="AQ410" s="3">
        <v>6</v>
      </c>
      <c r="AR410" s="2" t="s">
        <v>5</v>
      </c>
      <c r="AS410" s="2" t="s">
        <v>90</v>
      </c>
      <c r="AT410" s="5" t="str">
        <f>HYPERLINK("http://catalog.hathitrust.org/Record/002860573","HathiTrust Record")</f>
        <v>HathiTrust Record</v>
      </c>
      <c r="AU410" s="5" t="str">
        <f>HYPERLINK("https://creighton-primo.hosted.exlibrisgroup.com/primo-explore/search?tab=default_tab&amp;search_scope=EVERYTHING&amp;vid=01CRU&amp;lang=en_US&amp;offset=0&amp;query=any,contains,991001660959702656","Catalog Record")</f>
        <v>Catalog Record</v>
      </c>
      <c r="AV410" s="5" t="str">
        <f>HYPERLINK("http://www.worldcat.org/oclc/29361303","WorldCat Record")</f>
        <v>WorldCat Record</v>
      </c>
      <c r="AW410" s="2" t="s">
        <v>5303</v>
      </c>
      <c r="AX410" s="2" t="s">
        <v>5304</v>
      </c>
      <c r="AY410" s="2" t="s">
        <v>5305</v>
      </c>
      <c r="AZ410" s="2" t="s">
        <v>5305</v>
      </c>
      <c r="BA410" s="2" t="s">
        <v>5306</v>
      </c>
      <c r="BB410" s="2" t="s">
        <v>19</v>
      </c>
      <c r="BD410" s="2" t="s">
        <v>5307</v>
      </c>
      <c r="BE410" s="2" t="s">
        <v>5308</v>
      </c>
      <c r="BF410" s="2" t="s">
        <v>5309</v>
      </c>
    </row>
    <row r="411" spans="1:58" ht="50.25" customHeight="1" x14ac:dyDescent="0.25">
      <c r="A411" s="8" t="s">
        <v>5</v>
      </c>
      <c r="B411" s="1" t="s">
        <v>0</v>
      </c>
      <c r="C411" s="1" t="s">
        <v>1</v>
      </c>
      <c r="D411" s="1" t="s">
        <v>5310</v>
      </c>
      <c r="E411" s="1" t="s">
        <v>5311</v>
      </c>
      <c r="F411" s="1" t="s">
        <v>5312</v>
      </c>
      <c r="H411" s="2" t="s">
        <v>5</v>
      </c>
      <c r="I411" s="2" t="s">
        <v>6</v>
      </c>
      <c r="J411" s="2" t="s">
        <v>5</v>
      </c>
      <c r="K411" s="2" t="s">
        <v>5</v>
      </c>
      <c r="L411" s="2" t="s">
        <v>7</v>
      </c>
      <c r="M411" s="1" t="s">
        <v>5313</v>
      </c>
      <c r="N411" s="1" t="s">
        <v>5314</v>
      </c>
      <c r="O411" s="2" t="s">
        <v>5315</v>
      </c>
      <c r="Q411" s="2" t="s">
        <v>10</v>
      </c>
      <c r="R411" s="2" t="s">
        <v>184</v>
      </c>
      <c r="T411" s="2" t="s">
        <v>12</v>
      </c>
      <c r="U411" s="3">
        <v>2</v>
      </c>
      <c r="V411" s="3">
        <v>2</v>
      </c>
      <c r="W411" s="4" t="s">
        <v>5316</v>
      </c>
      <c r="X411" s="4" t="s">
        <v>5316</v>
      </c>
      <c r="Y411" s="4" t="s">
        <v>5317</v>
      </c>
      <c r="Z411" s="4" t="s">
        <v>5317</v>
      </c>
      <c r="AA411" s="3">
        <v>268</v>
      </c>
      <c r="AB411" s="3">
        <v>233</v>
      </c>
      <c r="AC411" s="3">
        <v>240</v>
      </c>
      <c r="AD411" s="3">
        <v>3</v>
      </c>
      <c r="AE411" s="3">
        <v>3</v>
      </c>
      <c r="AF411" s="3">
        <v>9</v>
      </c>
      <c r="AG411" s="3">
        <v>9</v>
      </c>
      <c r="AH411" s="3">
        <v>2</v>
      </c>
      <c r="AI411" s="3">
        <v>2</v>
      </c>
      <c r="AJ411" s="3">
        <v>1</v>
      </c>
      <c r="AK411" s="3">
        <v>1</v>
      </c>
      <c r="AL411" s="3">
        <v>6</v>
      </c>
      <c r="AM411" s="3">
        <v>6</v>
      </c>
      <c r="AN411" s="3">
        <v>2</v>
      </c>
      <c r="AO411" s="3">
        <v>2</v>
      </c>
      <c r="AP411" s="3">
        <v>0</v>
      </c>
      <c r="AQ411" s="3">
        <v>0</v>
      </c>
      <c r="AR411" s="2" t="s">
        <v>90</v>
      </c>
      <c r="AS411" s="2" t="s">
        <v>5</v>
      </c>
      <c r="AT411" s="5" t="str">
        <f>HYPERLINK("http://catalog.hathitrust.org/Record/001558508","HathiTrust Record")</f>
        <v>HathiTrust Record</v>
      </c>
      <c r="AU411" s="5" t="str">
        <f>HYPERLINK("https://creighton-primo.hosted.exlibrisgroup.com/primo-explore/search?tab=default_tab&amp;search_scope=EVERYTHING&amp;vid=01CRU&amp;lang=en_US&amp;offset=0&amp;query=any,contains,991000732949702656","Catalog Record")</f>
        <v>Catalog Record</v>
      </c>
      <c r="AV411" s="5" t="str">
        <f>HYPERLINK("http://www.worldcat.org/oclc/1442760","WorldCat Record")</f>
        <v>WorldCat Record</v>
      </c>
      <c r="AW411" s="2" t="s">
        <v>5318</v>
      </c>
      <c r="AX411" s="2" t="s">
        <v>5319</v>
      </c>
      <c r="AY411" s="2" t="s">
        <v>5320</v>
      </c>
      <c r="AZ411" s="2" t="s">
        <v>5320</v>
      </c>
      <c r="BA411" s="2" t="s">
        <v>5321</v>
      </c>
      <c r="BB411" s="2" t="s">
        <v>19</v>
      </c>
      <c r="BE411" s="2" t="s">
        <v>5322</v>
      </c>
      <c r="BF411" s="2" t="s">
        <v>5323</v>
      </c>
    </row>
    <row r="412" spans="1:58" ht="50.25" customHeight="1" x14ac:dyDescent="0.25">
      <c r="A412" s="8" t="s">
        <v>5</v>
      </c>
      <c r="B412" s="1" t="s">
        <v>0</v>
      </c>
      <c r="C412" s="1" t="s">
        <v>1</v>
      </c>
      <c r="D412" s="1" t="s">
        <v>5324</v>
      </c>
      <c r="E412" s="1" t="s">
        <v>5325</v>
      </c>
      <c r="F412" s="1" t="s">
        <v>5326</v>
      </c>
      <c r="H412" s="2" t="s">
        <v>5</v>
      </c>
      <c r="I412" s="2" t="s">
        <v>6</v>
      </c>
      <c r="J412" s="2" t="s">
        <v>5</v>
      </c>
      <c r="K412" s="2" t="s">
        <v>5</v>
      </c>
      <c r="L412" s="2" t="s">
        <v>7</v>
      </c>
      <c r="N412" s="1" t="s">
        <v>5327</v>
      </c>
      <c r="O412" s="2" t="s">
        <v>2287</v>
      </c>
      <c r="Q412" s="2" t="s">
        <v>10</v>
      </c>
      <c r="R412" s="2" t="s">
        <v>1150</v>
      </c>
      <c r="T412" s="2" t="s">
        <v>12</v>
      </c>
      <c r="U412" s="3">
        <v>2</v>
      </c>
      <c r="V412" s="3">
        <v>2</v>
      </c>
      <c r="W412" s="4" t="s">
        <v>5328</v>
      </c>
      <c r="X412" s="4" t="s">
        <v>5328</v>
      </c>
      <c r="Y412" s="4" t="s">
        <v>5329</v>
      </c>
      <c r="Z412" s="4" t="s">
        <v>5329</v>
      </c>
      <c r="AA412" s="3">
        <v>101</v>
      </c>
      <c r="AB412" s="3">
        <v>83</v>
      </c>
      <c r="AC412" s="3">
        <v>86</v>
      </c>
      <c r="AD412" s="3">
        <v>2</v>
      </c>
      <c r="AE412" s="3">
        <v>2</v>
      </c>
      <c r="AF412" s="3">
        <v>2</v>
      </c>
      <c r="AG412" s="3">
        <v>2</v>
      </c>
      <c r="AH412" s="3">
        <v>0</v>
      </c>
      <c r="AI412" s="3">
        <v>0</v>
      </c>
      <c r="AJ412" s="3">
        <v>0</v>
      </c>
      <c r="AK412" s="3">
        <v>0</v>
      </c>
      <c r="AL412" s="3">
        <v>1</v>
      </c>
      <c r="AM412" s="3">
        <v>1</v>
      </c>
      <c r="AN412" s="3">
        <v>1</v>
      </c>
      <c r="AO412" s="3">
        <v>1</v>
      </c>
      <c r="AP412" s="3">
        <v>0</v>
      </c>
      <c r="AQ412" s="3">
        <v>0</v>
      </c>
      <c r="AR412" s="2" t="s">
        <v>5</v>
      </c>
      <c r="AS412" s="2" t="s">
        <v>90</v>
      </c>
      <c r="AT412" s="5" t="str">
        <f>HYPERLINK("http://catalog.hathitrust.org/Record/000226764","HathiTrust Record")</f>
        <v>HathiTrust Record</v>
      </c>
      <c r="AU412" s="5" t="str">
        <f>HYPERLINK("https://creighton-primo.hosted.exlibrisgroup.com/primo-explore/search?tab=default_tab&amp;search_scope=EVERYTHING&amp;vid=01CRU&amp;lang=en_US&amp;offset=0&amp;query=any,contains,991001287439702656","Catalog Record")</f>
        <v>Catalog Record</v>
      </c>
      <c r="AV412" s="5" t="str">
        <f>HYPERLINK("http://www.worldcat.org/oclc/8281481","WorldCat Record")</f>
        <v>WorldCat Record</v>
      </c>
      <c r="AW412" s="2" t="s">
        <v>5330</v>
      </c>
      <c r="AX412" s="2" t="s">
        <v>5331</v>
      </c>
      <c r="AY412" s="2" t="s">
        <v>5332</v>
      </c>
      <c r="AZ412" s="2" t="s">
        <v>5332</v>
      </c>
      <c r="BA412" s="2" t="s">
        <v>5333</v>
      </c>
      <c r="BB412" s="2" t="s">
        <v>19</v>
      </c>
      <c r="BE412" s="2" t="s">
        <v>5334</v>
      </c>
      <c r="BF412" s="2" t="s">
        <v>5335</v>
      </c>
    </row>
    <row r="413" spans="1:58" ht="50.25" customHeight="1" x14ac:dyDescent="0.25">
      <c r="A413" s="8" t="s">
        <v>5</v>
      </c>
      <c r="B413" s="1" t="s">
        <v>0</v>
      </c>
      <c r="C413" s="1" t="s">
        <v>1</v>
      </c>
      <c r="D413" s="1" t="s">
        <v>5336</v>
      </c>
      <c r="E413" s="1" t="s">
        <v>5337</v>
      </c>
      <c r="F413" s="1" t="s">
        <v>5338</v>
      </c>
      <c r="H413" s="2" t="s">
        <v>5</v>
      </c>
      <c r="I413" s="2" t="s">
        <v>6</v>
      </c>
      <c r="J413" s="2" t="s">
        <v>5</v>
      </c>
      <c r="K413" s="2" t="s">
        <v>5</v>
      </c>
      <c r="L413" s="2" t="s">
        <v>7</v>
      </c>
      <c r="M413" s="1" t="s">
        <v>5339</v>
      </c>
      <c r="N413" s="1" t="s">
        <v>5340</v>
      </c>
      <c r="O413" s="2" t="s">
        <v>349</v>
      </c>
      <c r="Q413" s="2" t="s">
        <v>10</v>
      </c>
      <c r="R413" s="2" t="s">
        <v>1279</v>
      </c>
      <c r="S413" s="1" t="s">
        <v>5341</v>
      </c>
      <c r="T413" s="2" t="s">
        <v>12</v>
      </c>
      <c r="U413" s="3">
        <v>1</v>
      </c>
      <c r="V413" s="3">
        <v>1</v>
      </c>
      <c r="W413" s="4" t="s">
        <v>5342</v>
      </c>
      <c r="X413" s="4" t="s">
        <v>5342</v>
      </c>
      <c r="Y413" s="4" t="s">
        <v>5343</v>
      </c>
      <c r="Z413" s="4" t="s">
        <v>5343</v>
      </c>
      <c r="AA413" s="3">
        <v>51</v>
      </c>
      <c r="AB413" s="3">
        <v>49</v>
      </c>
      <c r="AC413" s="3">
        <v>291</v>
      </c>
      <c r="AD413" s="3">
        <v>1</v>
      </c>
      <c r="AE413" s="3">
        <v>4</v>
      </c>
      <c r="AF413" s="3">
        <v>1</v>
      </c>
      <c r="AG413" s="3">
        <v>11</v>
      </c>
      <c r="AH413" s="3">
        <v>0</v>
      </c>
      <c r="AI413" s="3">
        <v>3</v>
      </c>
      <c r="AJ413" s="3">
        <v>0</v>
      </c>
      <c r="AK413" s="3">
        <v>3</v>
      </c>
      <c r="AL413" s="3">
        <v>1</v>
      </c>
      <c r="AM413" s="3">
        <v>4</v>
      </c>
      <c r="AN413" s="3">
        <v>0</v>
      </c>
      <c r="AO413" s="3">
        <v>3</v>
      </c>
      <c r="AP413" s="3">
        <v>0</v>
      </c>
      <c r="AQ413" s="3">
        <v>0</v>
      </c>
      <c r="AR413" s="2" t="s">
        <v>90</v>
      </c>
      <c r="AS413" s="2" t="s">
        <v>5</v>
      </c>
      <c r="AT413" s="5" t="str">
        <f>HYPERLINK("http://catalog.hathitrust.org/Record/003800358","HathiTrust Record")</f>
        <v>HathiTrust Record</v>
      </c>
      <c r="AU413" s="5" t="str">
        <f>HYPERLINK("https://creighton-primo.hosted.exlibrisgroup.com/primo-explore/search?tab=default_tab&amp;search_scope=EVERYTHING&amp;vid=01CRU&amp;lang=en_US&amp;offset=0&amp;query=any,contains,991000303719702656","Catalog Record")</f>
        <v>Catalog Record</v>
      </c>
      <c r="AV413" s="5" t="str">
        <f>HYPERLINK("http://www.worldcat.org/oclc/48800318","WorldCat Record")</f>
        <v>WorldCat Record</v>
      </c>
      <c r="AW413" s="2" t="s">
        <v>5344</v>
      </c>
      <c r="AX413" s="2" t="s">
        <v>5345</v>
      </c>
      <c r="AY413" s="2" t="s">
        <v>5346</v>
      </c>
      <c r="AZ413" s="2" t="s">
        <v>5346</v>
      </c>
      <c r="BA413" s="2" t="s">
        <v>5347</v>
      </c>
      <c r="BB413" s="2" t="s">
        <v>19</v>
      </c>
      <c r="BD413" s="2" t="s">
        <v>5348</v>
      </c>
      <c r="BE413" s="2" t="s">
        <v>5349</v>
      </c>
      <c r="BF413" s="2" t="s">
        <v>5350</v>
      </c>
    </row>
    <row r="414" spans="1:58" ht="50.25" customHeight="1" x14ac:dyDescent="0.25">
      <c r="A414" s="8" t="s">
        <v>5</v>
      </c>
      <c r="B414" s="1" t="s">
        <v>0</v>
      </c>
      <c r="C414" s="1" t="s">
        <v>1</v>
      </c>
      <c r="D414" s="1" t="s">
        <v>5351</v>
      </c>
      <c r="E414" s="1" t="s">
        <v>5352</v>
      </c>
      <c r="F414" s="1" t="s">
        <v>5353</v>
      </c>
      <c r="H414" s="2" t="s">
        <v>5</v>
      </c>
      <c r="I414" s="2" t="s">
        <v>6</v>
      </c>
      <c r="J414" s="2" t="s">
        <v>5</v>
      </c>
      <c r="K414" s="2" t="s">
        <v>5</v>
      </c>
      <c r="L414" s="2" t="s">
        <v>7</v>
      </c>
      <c r="N414" s="1" t="s">
        <v>5354</v>
      </c>
      <c r="O414" s="2" t="s">
        <v>213</v>
      </c>
      <c r="Q414" s="2" t="s">
        <v>10</v>
      </c>
      <c r="R414" s="2" t="s">
        <v>1279</v>
      </c>
      <c r="S414" s="1" t="s">
        <v>5355</v>
      </c>
      <c r="T414" s="2" t="s">
        <v>12</v>
      </c>
      <c r="U414" s="3">
        <v>5</v>
      </c>
      <c r="V414" s="3">
        <v>5</v>
      </c>
      <c r="W414" s="4" t="s">
        <v>5356</v>
      </c>
      <c r="X414" s="4" t="s">
        <v>5356</v>
      </c>
      <c r="Y414" s="4" t="s">
        <v>4525</v>
      </c>
      <c r="Z414" s="4" t="s">
        <v>4525</v>
      </c>
      <c r="AA414" s="3">
        <v>337</v>
      </c>
      <c r="AB414" s="3">
        <v>319</v>
      </c>
      <c r="AC414" s="3">
        <v>333</v>
      </c>
      <c r="AD414" s="3">
        <v>3</v>
      </c>
      <c r="AE414" s="3">
        <v>4</v>
      </c>
      <c r="AF414" s="3">
        <v>10</v>
      </c>
      <c r="AG414" s="3">
        <v>12</v>
      </c>
      <c r="AH414" s="3">
        <v>4</v>
      </c>
      <c r="AI414" s="3">
        <v>4</v>
      </c>
      <c r="AJ414" s="3">
        <v>3</v>
      </c>
      <c r="AK414" s="3">
        <v>4</v>
      </c>
      <c r="AL414" s="3">
        <v>3</v>
      </c>
      <c r="AM414" s="3">
        <v>3</v>
      </c>
      <c r="AN414" s="3">
        <v>1</v>
      </c>
      <c r="AO414" s="3">
        <v>2</v>
      </c>
      <c r="AP414" s="3">
        <v>1</v>
      </c>
      <c r="AQ414" s="3">
        <v>1</v>
      </c>
      <c r="AR414" s="2" t="s">
        <v>90</v>
      </c>
      <c r="AS414" s="2" t="s">
        <v>5</v>
      </c>
      <c r="AT414" s="5" t="str">
        <f>HYPERLINK("http://catalog.hathitrust.org/Record/002627815","HathiTrust Record")</f>
        <v>HathiTrust Record</v>
      </c>
      <c r="AU414" s="5" t="str">
        <f>HYPERLINK("https://creighton-primo.hosted.exlibrisgroup.com/primo-explore/search?tab=default_tab&amp;search_scope=EVERYTHING&amp;vid=01CRU&amp;lang=en_US&amp;offset=0&amp;query=any,contains,991001340239702656","Catalog Record")</f>
        <v>Catalog Record</v>
      </c>
      <c r="AV414" s="5" t="str">
        <f>HYPERLINK("http://www.worldcat.org/oclc/28345322","WorldCat Record")</f>
        <v>WorldCat Record</v>
      </c>
      <c r="AW414" s="2" t="s">
        <v>5357</v>
      </c>
      <c r="AX414" s="2" t="s">
        <v>5358</v>
      </c>
      <c r="AY414" s="2" t="s">
        <v>5359</v>
      </c>
      <c r="AZ414" s="2" t="s">
        <v>5359</v>
      </c>
      <c r="BA414" s="2" t="s">
        <v>5360</v>
      </c>
      <c r="BB414" s="2" t="s">
        <v>19</v>
      </c>
      <c r="BE414" s="2" t="s">
        <v>5361</v>
      </c>
      <c r="BF414" s="2" t="s">
        <v>5362</v>
      </c>
    </row>
    <row r="415" spans="1:58" ht="50.25" customHeight="1" x14ac:dyDescent="0.25">
      <c r="A415" s="8" t="s">
        <v>5</v>
      </c>
      <c r="B415" s="1" t="s">
        <v>0</v>
      </c>
      <c r="C415" s="1" t="s">
        <v>1</v>
      </c>
      <c r="D415" s="1" t="s">
        <v>5363</v>
      </c>
      <c r="E415" s="1" t="s">
        <v>5364</v>
      </c>
      <c r="F415" s="1" t="s">
        <v>5365</v>
      </c>
      <c r="H415" s="2" t="s">
        <v>5</v>
      </c>
      <c r="I415" s="2" t="s">
        <v>6</v>
      </c>
      <c r="J415" s="2" t="s">
        <v>5</v>
      </c>
      <c r="K415" s="2" t="s">
        <v>5</v>
      </c>
      <c r="L415" s="2" t="s">
        <v>7</v>
      </c>
      <c r="N415" s="1" t="s">
        <v>5366</v>
      </c>
      <c r="O415" s="2" t="s">
        <v>3003</v>
      </c>
      <c r="Q415" s="2" t="s">
        <v>10</v>
      </c>
      <c r="R415" s="2" t="s">
        <v>5367</v>
      </c>
      <c r="T415" s="2" t="s">
        <v>12</v>
      </c>
      <c r="U415" s="3">
        <v>1</v>
      </c>
      <c r="V415" s="3">
        <v>1</v>
      </c>
      <c r="W415" s="4" t="s">
        <v>5356</v>
      </c>
      <c r="X415" s="4" t="s">
        <v>5356</v>
      </c>
      <c r="Y415" s="4" t="s">
        <v>5329</v>
      </c>
      <c r="Z415" s="4" t="s">
        <v>5329</v>
      </c>
      <c r="AA415" s="3">
        <v>2</v>
      </c>
      <c r="AB415" s="3">
        <v>2</v>
      </c>
      <c r="AC415" s="3">
        <v>5</v>
      </c>
      <c r="AD415" s="3">
        <v>2</v>
      </c>
      <c r="AE415" s="3">
        <v>3</v>
      </c>
      <c r="AF415" s="3">
        <v>0</v>
      </c>
      <c r="AG415" s="3">
        <v>1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1</v>
      </c>
      <c r="AP415" s="3">
        <v>0</v>
      </c>
      <c r="AQ415" s="3">
        <v>0</v>
      </c>
      <c r="AR415" s="2" t="s">
        <v>5</v>
      </c>
      <c r="AS415" s="2" t="s">
        <v>5</v>
      </c>
      <c r="AU415" s="5" t="str">
        <f>HYPERLINK("https://creighton-primo.hosted.exlibrisgroup.com/primo-explore/search?tab=default_tab&amp;search_scope=EVERYTHING&amp;vid=01CRU&amp;lang=en_US&amp;offset=0&amp;query=any,contains,991001276809702656","Catalog Record")</f>
        <v>Catalog Record</v>
      </c>
      <c r="AV415" s="5" t="str">
        <f>HYPERLINK("http://www.worldcat.org/oclc/16415414","WorldCat Record")</f>
        <v>WorldCat Record</v>
      </c>
      <c r="AW415" s="2" t="s">
        <v>5368</v>
      </c>
      <c r="AX415" s="2" t="s">
        <v>5369</v>
      </c>
      <c r="AY415" s="2" t="s">
        <v>5370</v>
      </c>
      <c r="AZ415" s="2" t="s">
        <v>5370</v>
      </c>
      <c r="BA415" s="2" t="s">
        <v>5371</v>
      </c>
      <c r="BB415" s="2" t="s">
        <v>19</v>
      </c>
      <c r="BE415" s="2" t="s">
        <v>5372</v>
      </c>
      <c r="BF415" s="2" t="s">
        <v>5373</v>
      </c>
    </row>
    <row r="416" spans="1:58" ht="50.25" customHeight="1" x14ac:dyDescent="0.25">
      <c r="A416" s="8" t="s">
        <v>5</v>
      </c>
      <c r="B416" s="1" t="s">
        <v>0</v>
      </c>
      <c r="C416" s="1" t="s">
        <v>1</v>
      </c>
      <c r="D416" s="1" t="s">
        <v>5374</v>
      </c>
      <c r="E416" s="1" t="s">
        <v>5375</v>
      </c>
      <c r="F416" s="1" t="s">
        <v>5376</v>
      </c>
      <c r="H416" s="2" t="s">
        <v>5</v>
      </c>
      <c r="I416" s="2" t="s">
        <v>6</v>
      </c>
      <c r="J416" s="2" t="s">
        <v>5</v>
      </c>
      <c r="K416" s="2" t="s">
        <v>5</v>
      </c>
      <c r="L416" s="2" t="s">
        <v>7</v>
      </c>
      <c r="N416" s="1" t="s">
        <v>5377</v>
      </c>
      <c r="O416" s="2" t="s">
        <v>213</v>
      </c>
      <c r="P416" s="1" t="s">
        <v>3213</v>
      </c>
      <c r="Q416" s="2" t="s">
        <v>10</v>
      </c>
      <c r="R416" s="2" t="s">
        <v>5367</v>
      </c>
      <c r="T416" s="2" t="s">
        <v>12</v>
      </c>
      <c r="U416" s="3">
        <v>12</v>
      </c>
      <c r="V416" s="3">
        <v>12</v>
      </c>
      <c r="W416" s="4" t="s">
        <v>5378</v>
      </c>
      <c r="X416" s="4" t="s">
        <v>5378</v>
      </c>
      <c r="Y416" s="4" t="s">
        <v>5379</v>
      </c>
      <c r="Z416" s="4" t="s">
        <v>5379</v>
      </c>
      <c r="AA416" s="3">
        <v>5</v>
      </c>
      <c r="AB416" s="3">
        <v>5</v>
      </c>
      <c r="AC416" s="3">
        <v>6</v>
      </c>
      <c r="AD416" s="3">
        <v>3</v>
      </c>
      <c r="AE416" s="3">
        <v>4</v>
      </c>
      <c r="AF416" s="3">
        <v>1</v>
      </c>
      <c r="AG416" s="3">
        <v>2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1</v>
      </c>
      <c r="AO416" s="3">
        <v>2</v>
      </c>
      <c r="AP416" s="3">
        <v>0</v>
      </c>
      <c r="AQ416" s="3">
        <v>0</v>
      </c>
      <c r="AR416" s="2" t="s">
        <v>5</v>
      </c>
      <c r="AS416" s="2" t="s">
        <v>5</v>
      </c>
      <c r="AU416" s="5" t="str">
        <f>HYPERLINK("https://creighton-primo.hosted.exlibrisgroup.com/primo-explore/search?tab=default_tab&amp;search_scope=EVERYTHING&amp;vid=01CRU&amp;lang=en_US&amp;offset=0&amp;query=any,contains,991000671719702656","Catalog Record")</f>
        <v>Catalog Record</v>
      </c>
      <c r="AV416" s="5" t="str">
        <f>HYPERLINK("http://www.worldcat.org/oclc/27323700","WorldCat Record")</f>
        <v>WorldCat Record</v>
      </c>
      <c r="AW416" s="2" t="s">
        <v>5380</v>
      </c>
      <c r="AX416" s="2" t="s">
        <v>5381</v>
      </c>
      <c r="AY416" s="2" t="s">
        <v>5382</v>
      </c>
      <c r="AZ416" s="2" t="s">
        <v>5382</v>
      </c>
      <c r="BA416" s="2" t="s">
        <v>5383</v>
      </c>
      <c r="BB416" s="2" t="s">
        <v>19</v>
      </c>
      <c r="BE416" s="2" t="s">
        <v>5384</v>
      </c>
      <c r="BF416" s="2" t="s">
        <v>5385</v>
      </c>
    </row>
    <row r="417" spans="1:58" ht="50.25" customHeight="1" x14ac:dyDescent="0.25">
      <c r="A417" s="8" t="s">
        <v>5</v>
      </c>
      <c r="B417" s="1" t="s">
        <v>0</v>
      </c>
      <c r="C417" s="1" t="s">
        <v>1</v>
      </c>
      <c r="D417" s="1" t="s">
        <v>5386</v>
      </c>
      <c r="E417" s="1" t="s">
        <v>5387</v>
      </c>
      <c r="F417" s="1" t="s">
        <v>5388</v>
      </c>
      <c r="H417" s="2" t="s">
        <v>5</v>
      </c>
      <c r="I417" s="2" t="s">
        <v>6</v>
      </c>
      <c r="J417" s="2" t="s">
        <v>5</v>
      </c>
      <c r="K417" s="2" t="s">
        <v>90</v>
      </c>
      <c r="L417" s="2" t="s">
        <v>7</v>
      </c>
      <c r="N417" s="1" t="s">
        <v>5389</v>
      </c>
      <c r="O417" s="2" t="s">
        <v>109</v>
      </c>
      <c r="P417" s="1" t="s">
        <v>5390</v>
      </c>
      <c r="Q417" s="2" t="s">
        <v>10</v>
      </c>
      <c r="R417" s="2" t="s">
        <v>5367</v>
      </c>
      <c r="T417" s="2" t="s">
        <v>12</v>
      </c>
      <c r="U417" s="3">
        <v>4</v>
      </c>
      <c r="V417" s="3">
        <v>4</v>
      </c>
      <c r="W417" s="4" t="s">
        <v>5391</v>
      </c>
      <c r="X417" s="4" t="s">
        <v>5391</v>
      </c>
      <c r="Y417" s="4" t="s">
        <v>3973</v>
      </c>
      <c r="Z417" s="4" t="s">
        <v>3973</v>
      </c>
      <c r="AA417" s="3">
        <v>1</v>
      </c>
      <c r="AB417" s="3">
        <v>1</v>
      </c>
      <c r="AC417" s="3">
        <v>6</v>
      </c>
      <c r="AD417" s="3">
        <v>1</v>
      </c>
      <c r="AE417" s="3">
        <v>6</v>
      </c>
      <c r="AF417" s="3">
        <v>0</v>
      </c>
      <c r="AG417" s="3">
        <v>4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4</v>
      </c>
      <c r="AP417" s="3">
        <v>0</v>
      </c>
      <c r="AQ417" s="3">
        <v>0</v>
      </c>
      <c r="AR417" s="2" t="s">
        <v>5</v>
      </c>
      <c r="AS417" s="2" t="s">
        <v>5</v>
      </c>
      <c r="AU417" s="5" t="str">
        <f>HYPERLINK("https://creighton-primo.hosted.exlibrisgroup.com/primo-explore/search?tab=default_tab&amp;search_scope=EVERYTHING&amp;vid=01CRU&amp;lang=en_US&amp;offset=0&amp;query=any,contains,991000365829702656","Catalog Record")</f>
        <v>Catalog Record</v>
      </c>
      <c r="AV417" s="5" t="str">
        <f>HYPERLINK("http://www.worldcat.org/oclc/54367249","WorldCat Record")</f>
        <v>WorldCat Record</v>
      </c>
      <c r="AW417" s="2" t="s">
        <v>5392</v>
      </c>
      <c r="AX417" s="2" t="s">
        <v>5393</v>
      </c>
      <c r="AY417" s="2" t="s">
        <v>5394</v>
      </c>
      <c r="AZ417" s="2" t="s">
        <v>5394</v>
      </c>
      <c r="BA417" s="2" t="s">
        <v>5395</v>
      </c>
      <c r="BB417" s="2" t="s">
        <v>19</v>
      </c>
      <c r="BE417" s="2" t="s">
        <v>5396</v>
      </c>
      <c r="BF417" s="2" t="s">
        <v>5397</v>
      </c>
    </row>
    <row r="418" spans="1:58" ht="50.25" customHeight="1" x14ac:dyDescent="0.25">
      <c r="A418" s="8" t="s">
        <v>5</v>
      </c>
      <c r="B418" s="1" t="s">
        <v>0</v>
      </c>
      <c r="C418" s="1" t="s">
        <v>1</v>
      </c>
      <c r="D418" s="1" t="s">
        <v>5398</v>
      </c>
      <c r="E418" s="1" t="s">
        <v>5399</v>
      </c>
      <c r="F418" s="1" t="s">
        <v>5400</v>
      </c>
      <c r="H418" s="2" t="s">
        <v>5</v>
      </c>
      <c r="I418" s="2" t="s">
        <v>6</v>
      </c>
      <c r="J418" s="2" t="s">
        <v>5</v>
      </c>
      <c r="K418" s="2" t="s">
        <v>5</v>
      </c>
      <c r="L418" s="2" t="s">
        <v>7</v>
      </c>
      <c r="M418" s="1" t="s">
        <v>5401</v>
      </c>
      <c r="N418" s="1" t="s">
        <v>5402</v>
      </c>
      <c r="O418" s="2" t="s">
        <v>5403</v>
      </c>
      <c r="Q418" s="2" t="s">
        <v>10</v>
      </c>
      <c r="R418" s="2" t="s">
        <v>11</v>
      </c>
      <c r="T418" s="2" t="s">
        <v>12</v>
      </c>
      <c r="U418" s="3">
        <v>1</v>
      </c>
      <c r="V418" s="3">
        <v>1</v>
      </c>
      <c r="W418" s="4" t="s">
        <v>5316</v>
      </c>
      <c r="X418" s="4" t="s">
        <v>5316</v>
      </c>
      <c r="Y418" s="4" t="s">
        <v>5404</v>
      </c>
      <c r="Z418" s="4" t="s">
        <v>5404</v>
      </c>
      <c r="AA418" s="3">
        <v>260</v>
      </c>
      <c r="AB418" s="3">
        <v>241</v>
      </c>
      <c r="AC418" s="3">
        <v>248</v>
      </c>
      <c r="AD418" s="3">
        <v>2</v>
      </c>
      <c r="AE418" s="3">
        <v>2</v>
      </c>
      <c r="AF418" s="3">
        <v>13</v>
      </c>
      <c r="AG418" s="3">
        <v>13</v>
      </c>
      <c r="AH418" s="3">
        <v>2</v>
      </c>
      <c r="AI418" s="3">
        <v>2</v>
      </c>
      <c r="AJ418" s="3">
        <v>3</v>
      </c>
      <c r="AK418" s="3">
        <v>3</v>
      </c>
      <c r="AL418" s="3">
        <v>9</v>
      </c>
      <c r="AM418" s="3">
        <v>9</v>
      </c>
      <c r="AN418" s="3">
        <v>1</v>
      </c>
      <c r="AO418" s="3">
        <v>1</v>
      </c>
      <c r="AP418" s="3">
        <v>0</v>
      </c>
      <c r="AQ418" s="3">
        <v>0</v>
      </c>
      <c r="AR418" s="2" t="s">
        <v>90</v>
      </c>
      <c r="AS418" s="2" t="s">
        <v>5</v>
      </c>
      <c r="AT418" s="5" t="str">
        <f>HYPERLINK("http://catalog.hathitrust.org/Record/001310623","HathiTrust Record")</f>
        <v>HathiTrust Record</v>
      </c>
      <c r="AU418" s="5" t="str">
        <f>HYPERLINK("https://creighton-primo.hosted.exlibrisgroup.com/primo-explore/search?tab=default_tab&amp;search_scope=EVERYTHING&amp;vid=01CRU&amp;lang=en_US&amp;offset=0&amp;query=any,contains,991000803829702656","Catalog Record")</f>
        <v>Catalog Record</v>
      </c>
      <c r="AV418" s="5" t="str">
        <f>HYPERLINK("http://www.worldcat.org/oclc/185381","WorldCat Record")</f>
        <v>WorldCat Record</v>
      </c>
      <c r="AW418" s="2" t="s">
        <v>5405</v>
      </c>
      <c r="AX418" s="2" t="s">
        <v>5406</v>
      </c>
      <c r="AY418" s="2" t="s">
        <v>5407</v>
      </c>
      <c r="AZ418" s="2" t="s">
        <v>5407</v>
      </c>
      <c r="BA418" s="2" t="s">
        <v>5408</v>
      </c>
      <c r="BB418" s="2" t="s">
        <v>19</v>
      </c>
      <c r="BE418" s="2" t="s">
        <v>5409</v>
      </c>
      <c r="BF418" s="2" t="s">
        <v>5410</v>
      </c>
    </row>
    <row r="419" spans="1:58" ht="50.25" customHeight="1" x14ac:dyDescent="0.25">
      <c r="A419" s="8" t="s">
        <v>5</v>
      </c>
      <c r="B419" s="1" t="s">
        <v>0</v>
      </c>
      <c r="C419" s="1" t="s">
        <v>1</v>
      </c>
      <c r="D419" s="1" t="s">
        <v>5411</v>
      </c>
      <c r="E419" s="1" t="s">
        <v>5412</v>
      </c>
      <c r="F419" s="1" t="s">
        <v>5413</v>
      </c>
      <c r="G419" s="2" t="s">
        <v>839</v>
      </c>
      <c r="H419" s="2" t="s">
        <v>90</v>
      </c>
      <c r="I419" s="2" t="s">
        <v>6</v>
      </c>
      <c r="J419" s="2" t="s">
        <v>5</v>
      </c>
      <c r="K419" s="2" t="s">
        <v>5</v>
      </c>
      <c r="L419" s="2" t="s">
        <v>7</v>
      </c>
      <c r="N419" s="1" t="s">
        <v>5414</v>
      </c>
      <c r="O419" s="2" t="s">
        <v>169</v>
      </c>
      <c r="Q419" s="2" t="s">
        <v>10</v>
      </c>
      <c r="R419" s="2" t="s">
        <v>184</v>
      </c>
      <c r="S419" s="1" t="s">
        <v>5415</v>
      </c>
      <c r="T419" s="2" t="s">
        <v>12</v>
      </c>
      <c r="U419" s="3">
        <v>2</v>
      </c>
      <c r="V419" s="3">
        <v>4</v>
      </c>
      <c r="W419" s="4" t="s">
        <v>5416</v>
      </c>
      <c r="X419" s="4" t="s">
        <v>5416</v>
      </c>
      <c r="Y419" s="4" t="s">
        <v>5417</v>
      </c>
      <c r="Z419" s="4" t="s">
        <v>5417</v>
      </c>
      <c r="AA419" s="3">
        <v>64</v>
      </c>
      <c r="AB419" s="3">
        <v>50</v>
      </c>
      <c r="AC419" s="3">
        <v>56</v>
      </c>
      <c r="AD419" s="3">
        <v>1</v>
      </c>
      <c r="AE419" s="3">
        <v>1</v>
      </c>
      <c r="AF419" s="3">
        <v>1</v>
      </c>
      <c r="AG419" s="3">
        <v>1</v>
      </c>
      <c r="AH419" s="3">
        <v>0</v>
      </c>
      <c r="AI419" s="3">
        <v>0</v>
      </c>
      <c r="AJ419" s="3">
        <v>0</v>
      </c>
      <c r="AK419" s="3">
        <v>0</v>
      </c>
      <c r="AL419" s="3">
        <v>1</v>
      </c>
      <c r="AM419" s="3">
        <v>1</v>
      </c>
      <c r="AN419" s="3">
        <v>0</v>
      </c>
      <c r="AO419" s="3">
        <v>0</v>
      </c>
      <c r="AP419" s="3">
        <v>0</v>
      </c>
      <c r="AQ419" s="3">
        <v>0</v>
      </c>
      <c r="AR419" s="2" t="s">
        <v>5</v>
      </c>
      <c r="AS419" s="2" t="s">
        <v>5</v>
      </c>
      <c r="AU419" s="5" t="str">
        <f>HYPERLINK("https://creighton-primo.hosted.exlibrisgroup.com/primo-explore/search?tab=default_tab&amp;search_scope=EVERYTHING&amp;vid=01CRU&amp;lang=en_US&amp;offset=0&amp;query=any,contains,991000325039702656","Catalog Record")</f>
        <v>Catalog Record</v>
      </c>
      <c r="AV419" s="5" t="str">
        <f>HYPERLINK("http://www.worldcat.org/oclc/40450293","WorldCat Record")</f>
        <v>WorldCat Record</v>
      </c>
      <c r="AW419" s="2" t="s">
        <v>5418</v>
      </c>
      <c r="AX419" s="2" t="s">
        <v>5419</v>
      </c>
      <c r="AY419" s="2" t="s">
        <v>5420</v>
      </c>
      <c r="AZ419" s="2" t="s">
        <v>5420</v>
      </c>
      <c r="BA419" s="2" t="s">
        <v>5421</v>
      </c>
      <c r="BB419" s="2" t="s">
        <v>19</v>
      </c>
      <c r="BD419" s="2" t="s">
        <v>5422</v>
      </c>
      <c r="BE419" s="2" t="s">
        <v>5423</v>
      </c>
      <c r="BF419" s="2" t="s">
        <v>5424</v>
      </c>
    </row>
    <row r="420" spans="1:58" ht="50.25" customHeight="1" x14ac:dyDescent="0.25">
      <c r="A420" s="8" t="s">
        <v>5</v>
      </c>
      <c r="B420" s="1" t="s">
        <v>0</v>
      </c>
      <c r="C420" s="1" t="s">
        <v>1</v>
      </c>
      <c r="D420" s="1" t="s">
        <v>5411</v>
      </c>
      <c r="E420" s="1" t="s">
        <v>5412</v>
      </c>
      <c r="F420" s="1" t="s">
        <v>5413</v>
      </c>
      <c r="G420" s="2" t="s">
        <v>822</v>
      </c>
      <c r="H420" s="2" t="s">
        <v>90</v>
      </c>
      <c r="I420" s="2" t="s">
        <v>6</v>
      </c>
      <c r="J420" s="2" t="s">
        <v>5</v>
      </c>
      <c r="K420" s="2" t="s">
        <v>5</v>
      </c>
      <c r="L420" s="2" t="s">
        <v>7</v>
      </c>
      <c r="N420" s="1" t="s">
        <v>5414</v>
      </c>
      <c r="O420" s="2" t="s">
        <v>169</v>
      </c>
      <c r="Q420" s="2" t="s">
        <v>10</v>
      </c>
      <c r="R420" s="2" t="s">
        <v>184</v>
      </c>
      <c r="S420" s="1" t="s">
        <v>5415</v>
      </c>
      <c r="T420" s="2" t="s">
        <v>12</v>
      </c>
      <c r="U420" s="3">
        <v>2</v>
      </c>
      <c r="V420" s="3">
        <v>4</v>
      </c>
      <c r="W420" s="4" t="s">
        <v>5416</v>
      </c>
      <c r="X420" s="4" t="s">
        <v>5416</v>
      </c>
      <c r="Y420" s="4" t="s">
        <v>5417</v>
      </c>
      <c r="Z420" s="4" t="s">
        <v>5417</v>
      </c>
      <c r="AA420" s="3">
        <v>64</v>
      </c>
      <c r="AB420" s="3">
        <v>50</v>
      </c>
      <c r="AC420" s="3">
        <v>56</v>
      </c>
      <c r="AD420" s="3">
        <v>1</v>
      </c>
      <c r="AE420" s="3">
        <v>1</v>
      </c>
      <c r="AF420" s="3">
        <v>1</v>
      </c>
      <c r="AG420" s="3">
        <v>1</v>
      </c>
      <c r="AH420" s="3">
        <v>0</v>
      </c>
      <c r="AI420" s="3">
        <v>0</v>
      </c>
      <c r="AJ420" s="3">
        <v>0</v>
      </c>
      <c r="AK420" s="3">
        <v>0</v>
      </c>
      <c r="AL420" s="3">
        <v>1</v>
      </c>
      <c r="AM420" s="3">
        <v>1</v>
      </c>
      <c r="AN420" s="3">
        <v>0</v>
      </c>
      <c r="AO420" s="3">
        <v>0</v>
      </c>
      <c r="AP420" s="3">
        <v>0</v>
      </c>
      <c r="AQ420" s="3">
        <v>0</v>
      </c>
      <c r="AR420" s="2" t="s">
        <v>5</v>
      </c>
      <c r="AS420" s="2" t="s">
        <v>5</v>
      </c>
      <c r="AU420" s="5" t="str">
        <f>HYPERLINK("https://creighton-primo.hosted.exlibrisgroup.com/primo-explore/search?tab=default_tab&amp;search_scope=EVERYTHING&amp;vid=01CRU&amp;lang=en_US&amp;offset=0&amp;query=any,contains,991000325039702656","Catalog Record")</f>
        <v>Catalog Record</v>
      </c>
      <c r="AV420" s="5" t="str">
        <f>HYPERLINK("http://www.worldcat.org/oclc/40450293","WorldCat Record")</f>
        <v>WorldCat Record</v>
      </c>
      <c r="AW420" s="2" t="s">
        <v>5418</v>
      </c>
      <c r="AX420" s="2" t="s">
        <v>5419</v>
      </c>
      <c r="AY420" s="2" t="s">
        <v>5420</v>
      </c>
      <c r="AZ420" s="2" t="s">
        <v>5420</v>
      </c>
      <c r="BA420" s="2" t="s">
        <v>5421</v>
      </c>
      <c r="BB420" s="2" t="s">
        <v>19</v>
      </c>
      <c r="BD420" s="2" t="s">
        <v>5422</v>
      </c>
      <c r="BE420" s="2" t="s">
        <v>5425</v>
      </c>
      <c r="BF420" s="2" t="s">
        <v>5426</v>
      </c>
    </row>
    <row r="421" spans="1:58" ht="50.25" customHeight="1" x14ac:dyDescent="0.25">
      <c r="A421" s="8" t="s">
        <v>5</v>
      </c>
      <c r="B421" s="1" t="s">
        <v>0</v>
      </c>
      <c r="C421" s="1" t="s">
        <v>1</v>
      </c>
      <c r="D421" s="1" t="s">
        <v>5427</v>
      </c>
      <c r="E421" s="1" t="s">
        <v>5428</v>
      </c>
      <c r="F421" s="1" t="s">
        <v>5429</v>
      </c>
      <c r="G421" s="2" t="s">
        <v>5430</v>
      </c>
      <c r="H421" s="2" t="s">
        <v>90</v>
      </c>
      <c r="I421" s="2" t="s">
        <v>6</v>
      </c>
      <c r="J421" s="2" t="s">
        <v>5</v>
      </c>
      <c r="K421" s="2" t="s">
        <v>5</v>
      </c>
      <c r="L421" s="2" t="s">
        <v>7</v>
      </c>
      <c r="N421" s="1" t="s">
        <v>5431</v>
      </c>
      <c r="O421" s="2" t="s">
        <v>389</v>
      </c>
      <c r="Q421" s="2" t="s">
        <v>10</v>
      </c>
      <c r="R421" s="2" t="s">
        <v>184</v>
      </c>
      <c r="S421" s="1" t="s">
        <v>5432</v>
      </c>
      <c r="T421" s="2" t="s">
        <v>12</v>
      </c>
      <c r="U421" s="3">
        <v>1</v>
      </c>
      <c r="V421" s="3">
        <v>2</v>
      </c>
      <c r="W421" s="4" t="s">
        <v>5433</v>
      </c>
      <c r="X421" s="4" t="s">
        <v>5433</v>
      </c>
      <c r="Y421" s="4" t="s">
        <v>983</v>
      </c>
      <c r="Z421" s="4" t="s">
        <v>983</v>
      </c>
      <c r="AA421" s="3">
        <v>120</v>
      </c>
      <c r="AB421" s="3">
        <v>101</v>
      </c>
      <c r="AC421" s="3">
        <v>121</v>
      </c>
      <c r="AD421" s="3">
        <v>2</v>
      </c>
      <c r="AE421" s="3">
        <v>2</v>
      </c>
      <c r="AF421" s="3">
        <v>3</v>
      </c>
      <c r="AG421" s="3">
        <v>3</v>
      </c>
      <c r="AH421" s="3">
        <v>2</v>
      </c>
      <c r="AI421" s="3">
        <v>2</v>
      </c>
      <c r="AJ421" s="3">
        <v>0</v>
      </c>
      <c r="AK421" s="3">
        <v>0</v>
      </c>
      <c r="AL421" s="3">
        <v>0</v>
      </c>
      <c r="AM421" s="3">
        <v>0</v>
      </c>
      <c r="AN421" s="3">
        <v>1</v>
      </c>
      <c r="AO421" s="3">
        <v>1</v>
      </c>
      <c r="AP421" s="3">
        <v>0</v>
      </c>
      <c r="AQ421" s="3">
        <v>0</v>
      </c>
      <c r="AR421" s="2" t="s">
        <v>5</v>
      </c>
      <c r="AS421" s="2" t="s">
        <v>5</v>
      </c>
      <c r="AU421" s="5" t="str">
        <f>HYPERLINK("https://creighton-primo.hosted.exlibrisgroup.com/primo-explore/search?tab=default_tab&amp;search_scope=EVERYTHING&amp;vid=01CRU&amp;lang=en_US&amp;offset=0&amp;query=any,contains,991000605089702656","Catalog Record")</f>
        <v>Catalog Record</v>
      </c>
      <c r="AV421" s="5" t="str">
        <f>HYPERLINK("http://www.worldcat.org/oclc/50785092","WorldCat Record")</f>
        <v>WorldCat Record</v>
      </c>
      <c r="AW421" s="2" t="s">
        <v>5434</v>
      </c>
      <c r="AX421" s="2" t="s">
        <v>5435</v>
      </c>
      <c r="AY421" s="2" t="s">
        <v>5436</v>
      </c>
      <c r="AZ421" s="2" t="s">
        <v>5436</v>
      </c>
      <c r="BA421" s="2" t="s">
        <v>5437</v>
      </c>
      <c r="BB421" s="2" t="s">
        <v>19</v>
      </c>
      <c r="BD421" s="2" t="s">
        <v>5438</v>
      </c>
      <c r="BE421" s="2" t="s">
        <v>5439</v>
      </c>
      <c r="BF421" s="2" t="s">
        <v>5440</v>
      </c>
    </row>
    <row r="422" spans="1:58" ht="50.25" customHeight="1" x14ac:dyDescent="0.25">
      <c r="A422" s="8" t="s">
        <v>5</v>
      </c>
      <c r="B422" s="1" t="s">
        <v>0</v>
      </c>
      <c r="C422" s="1" t="s">
        <v>1</v>
      </c>
      <c r="D422" s="1" t="s">
        <v>5427</v>
      </c>
      <c r="E422" s="1" t="s">
        <v>5428</v>
      </c>
      <c r="F422" s="1" t="s">
        <v>5429</v>
      </c>
      <c r="G422" s="2" t="s">
        <v>1135</v>
      </c>
      <c r="H422" s="2" t="s">
        <v>90</v>
      </c>
      <c r="I422" s="2" t="s">
        <v>6</v>
      </c>
      <c r="J422" s="2" t="s">
        <v>5</v>
      </c>
      <c r="K422" s="2" t="s">
        <v>5</v>
      </c>
      <c r="L422" s="2" t="s">
        <v>7</v>
      </c>
      <c r="N422" s="1" t="s">
        <v>5431</v>
      </c>
      <c r="O422" s="2" t="s">
        <v>389</v>
      </c>
      <c r="Q422" s="2" t="s">
        <v>10</v>
      </c>
      <c r="R422" s="2" t="s">
        <v>184</v>
      </c>
      <c r="S422" s="1" t="s">
        <v>5432</v>
      </c>
      <c r="T422" s="2" t="s">
        <v>12</v>
      </c>
      <c r="U422" s="3">
        <v>1</v>
      </c>
      <c r="V422" s="3">
        <v>2</v>
      </c>
      <c r="W422" s="4" t="s">
        <v>5433</v>
      </c>
      <c r="X422" s="4" t="s">
        <v>5433</v>
      </c>
      <c r="Y422" s="4" t="s">
        <v>983</v>
      </c>
      <c r="Z422" s="4" t="s">
        <v>983</v>
      </c>
      <c r="AA422" s="3">
        <v>120</v>
      </c>
      <c r="AB422" s="3">
        <v>101</v>
      </c>
      <c r="AC422" s="3">
        <v>121</v>
      </c>
      <c r="AD422" s="3">
        <v>2</v>
      </c>
      <c r="AE422" s="3">
        <v>2</v>
      </c>
      <c r="AF422" s="3">
        <v>3</v>
      </c>
      <c r="AG422" s="3">
        <v>3</v>
      </c>
      <c r="AH422" s="3">
        <v>2</v>
      </c>
      <c r="AI422" s="3">
        <v>2</v>
      </c>
      <c r="AJ422" s="3">
        <v>0</v>
      </c>
      <c r="AK422" s="3">
        <v>0</v>
      </c>
      <c r="AL422" s="3">
        <v>0</v>
      </c>
      <c r="AM422" s="3">
        <v>0</v>
      </c>
      <c r="AN422" s="3">
        <v>1</v>
      </c>
      <c r="AO422" s="3">
        <v>1</v>
      </c>
      <c r="AP422" s="3">
        <v>0</v>
      </c>
      <c r="AQ422" s="3">
        <v>0</v>
      </c>
      <c r="AR422" s="2" t="s">
        <v>5</v>
      </c>
      <c r="AS422" s="2" t="s">
        <v>5</v>
      </c>
      <c r="AU422" s="5" t="str">
        <f>HYPERLINK("https://creighton-primo.hosted.exlibrisgroup.com/primo-explore/search?tab=default_tab&amp;search_scope=EVERYTHING&amp;vid=01CRU&amp;lang=en_US&amp;offset=0&amp;query=any,contains,991000605089702656","Catalog Record")</f>
        <v>Catalog Record</v>
      </c>
      <c r="AV422" s="5" t="str">
        <f>HYPERLINK("http://www.worldcat.org/oclc/50785092","WorldCat Record")</f>
        <v>WorldCat Record</v>
      </c>
      <c r="AW422" s="2" t="s">
        <v>5434</v>
      </c>
      <c r="AX422" s="2" t="s">
        <v>5435</v>
      </c>
      <c r="AY422" s="2" t="s">
        <v>5436</v>
      </c>
      <c r="AZ422" s="2" t="s">
        <v>5436</v>
      </c>
      <c r="BA422" s="2" t="s">
        <v>5437</v>
      </c>
      <c r="BB422" s="2" t="s">
        <v>19</v>
      </c>
      <c r="BD422" s="2" t="s">
        <v>5438</v>
      </c>
      <c r="BE422" s="2" t="s">
        <v>5441</v>
      </c>
      <c r="BF422" s="2" t="s">
        <v>5442</v>
      </c>
    </row>
    <row r="423" spans="1:58" ht="50.25" customHeight="1" x14ac:dyDescent="0.25">
      <c r="A423" s="8" t="s">
        <v>5</v>
      </c>
      <c r="B423" s="1" t="s">
        <v>0</v>
      </c>
      <c r="C423" s="1" t="s">
        <v>1</v>
      </c>
      <c r="D423" s="1" t="s">
        <v>5443</v>
      </c>
      <c r="E423" s="1" t="s">
        <v>5444</v>
      </c>
      <c r="F423" s="1" t="s">
        <v>5445</v>
      </c>
      <c r="H423" s="2" t="s">
        <v>5</v>
      </c>
      <c r="I423" s="2" t="s">
        <v>6</v>
      </c>
      <c r="J423" s="2" t="s">
        <v>5</v>
      </c>
      <c r="K423" s="2" t="s">
        <v>5</v>
      </c>
      <c r="L423" s="2" t="s">
        <v>7</v>
      </c>
      <c r="M423" s="1" t="s">
        <v>5446</v>
      </c>
      <c r="N423" s="1" t="s">
        <v>5447</v>
      </c>
      <c r="O423" s="2" t="s">
        <v>228</v>
      </c>
      <c r="Q423" s="2" t="s">
        <v>10</v>
      </c>
      <c r="R423" s="2" t="s">
        <v>11</v>
      </c>
      <c r="T423" s="2" t="s">
        <v>12</v>
      </c>
      <c r="U423" s="3">
        <v>2</v>
      </c>
      <c r="V423" s="3">
        <v>2</v>
      </c>
      <c r="W423" s="4" t="s">
        <v>5448</v>
      </c>
      <c r="X423" s="4" t="s">
        <v>5448</v>
      </c>
      <c r="Y423" s="4" t="s">
        <v>5449</v>
      </c>
      <c r="Z423" s="4" t="s">
        <v>5449</v>
      </c>
      <c r="AA423" s="3">
        <v>17</v>
      </c>
      <c r="AB423" s="3">
        <v>17</v>
      </c>
      <c r="AC423" s="3">
        <v>19</v>
      </c>
      <c r="AD423" s="3">
        <v>1</v>
      </c>
      <c r="AE423" s="3">
        <v>1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2" t="s">
        <v>5</v>
      </c>
      <c r="AS423" s="2" t="s">
        <v>5</v>
      </c>
      <c r="AU423" s="5" t="str">
        <f>HYPERLINK("https://creighton-primo.hosted.exlibrisgroup.com/primo-explore/search?tab=default_tab&amp;search_scope=EVERYTHING&amp;vid=01CRU&amp;lang=en_US&amp;offset=0&amp;query=any,contains,991001415699702656","Catalog Record")</f>
        <v>Catalog Record</v>
      </c>
      <c r="AV423" s="5" t="str">
        <f>HYPERLINK("http://www.worldcat.org/oclc/17888412","WorldCat Record")</f>
        <v>WorldCat Record</v>
      </c>
      <c r="AW423" s="2" t="s">
        <v>5450</v>
      </c>
      <c r="AX423" s="2" t="s">
        <v>5451</v>
      </c>
      <c r="AY423" s="2" t="s">
        <v>5452</v>
      </c>
      <c r="AZ423" s="2" t="s">
        <v>5452</v>
      </c>
      <c r="BA423" s="2" t="s">
        <v>5453</v>
      </c>
      <c r="BB423" s="2" t="s">
        <v>19</v>
      </c>
      <c r="BE423" s="2" t="s">
        <v>5454</v>
      </c>
      <c r="BF423" s="2" t="s">
        <v>5455</v>
      </c>
    </row>
    <row r="424" spans="1:58" ht="50.25" customHeight="1" x14ac:dyDescent="0.25">
      <c r="A424" s="8" t="s">
        <v>5</v>
      </c>
      <c r="B424" s="1" t="s">
        <v>0</v>
      </c>
      <c r="C424" s="1" t="s">
        <v>1</v>
      </c>
      <c r="D424" s="1" t="s">
        <v>5456</v>
      </c>
      <c r="E424" s="1" t="s">
        <v>5457</v>
      </c>
      <c r="F424" s="1" t="s">
        <v>5458</v>
      </c>
      <c r="H424" s="2" t="s">
        <v>5</v>
      </c>
      <c r="I424" s="2" t="s">
        <v>6</v>
      </c>
      <c r="J424" s="2" t="s">
        <v>5</v>
      </c>
      <c r="K424" s="2" t="s">
        <v>5</v>
      </c>
      <c r="L424" s="2" t="s">
        <v>7</v>
      </c>
      <c r="N424" s="1" t="s">
        <v>5459</v>
      </c>
      <c r="O424" s="2" t="s">
        <v>1095</v>
      </c>
      <c r="Q424" s="2" t="s">
        <v>10</v>
      </c>
      <c r="R424" s="2" t="s">
        <v>171</v>
      </c>
      <c r="T424" s="2" t="s">
        <v>12</v>
      </c>
      <c r="U424" s="3">
        <v>11</v>
      </c>
      <c r="V424" s="3">
        <v>11</v>
      </c>
      <c r="W424" s="4" t="s">
        <v>5460</v>
      </c>
      <c r="X424" s="4" t="s">
        <v>5460</v>
      </c>
      <c r="Y424" s="4" t="s">
        <v>1111</v>
      </c>
      <c r="Z424" s="4" t="s">
        <v>1111</v>
      </c>
      <c r="AA424" s="3">
        <v>169</v>
      </c>
      <c r="AB424" s="3">
        <v>155</v>
      </c>
      <c r="AC424" s="3">
        <v>160</v>
      </c>
      <c r="AD424" s="3">
        <v>1</v>
      </c>
      <c r="AE424" s="3">
        <v>1</v>
      </c>
      <c r="AF424" s="3">
        <v>3</v>
      </c>
      <c r="AG424" s="3">
        <v>3</v>
      </c>
      <c r="AH424" s="3">
        <v>0</v>
      </c>
      <c r="AI424" s="3">
        <v>0</v>
      </c>
      <c r="AJ424" s="3">
        <v>0</v>
      </c>
      <c r="AK424" s="3">
        <v>0</v>
      </c>
      <c r="AL424" s="3">
        <v>2</v>
      </c>
      <c r="AM424" s="3">
        <v>2</v>
      </c>
      <c r="AN424" s="3">
        <v>0</v>
      </c>
      <c r="AO424" s="3">
        <v>0</v>
      </c>
      <c r="AP424" s="3">
        <v>1</v>
      </c>
      <c r="AQ424" s="3">
        <v>1</v>
      </c>
      <c r="AR424" s="2" t="s">
        <v>5</v>
      </c>
      <c r="AS424" s="2" t="s">
        <v>5</v>
      </c>
      <c r="AU424" s="5" t="str">
        <f>HYPERLINK("https://creighton-primo.hosted.exlibrisgroup.com/primo-explore/search?tab=default_tab&amp;search_scope=EVERYTHING&amp;vid=01CRU&amp;lang=en_US&amp;offset=0&amp;query=any,contains,991001400149702656","Catalog Record")</f>
        <v>Catalog Record</v>
      </c>
      <c r="AV424" s="5" t="str">
        <f>HYPERLINK("http://www.worldcat.org/oclc/31683624","WorldCat Record")</f>
        <v>WorldCat Record</v>
      </c>
      <c r="AW424" s="2" t="s">
        <v>5461</v>
      </c>
      <c r="AX424" s="2" t="s">
        <v>5462</v>
      </c>
      <c r="AY424" s="2" t="s">
        <v>5463</v>
      </c>
      <c r="AZ424" s="2" t="s">
        <v>5463</v>
      </c>
      <c r="BA424" s="2" t="s">
        <v>5464</v>
      </c>
      <c r="BB424" s="2" t="s">
        <v>19</v>
      </c>
      <c r="BD424" s="2" t="s">
        <v>5465</v>
      </c>
      <c r="BE424" s="2" t="s">
        <v>5466</v>
      </c>
      <c r="BF424" s="2" t="s">
        <v>5467</v>
      </c>
    </row>
    <row r="425" spans="1:58" ht="50.25" customHeight="1" x14ac:dyDescent="0.25">
      <c r="A425" s="8" t="s">
        <v>5</v>
      </c>
      <c r="B425" s="1" t="s">
        <v>0</v>
      </c>
      <c r="C425" s="1" t="s">
        <v>1</v>
      </c>
      <c r="D425" s="1" t="s">
        <v>5468</v>
      </c>
      <c r="E425" s="1" t="s">
        <v>5469</v>
      </c>
      <c r="F425" s="1" t="s">
        <v>5470</v>
      </c>
      <c r="H425" s="2" t="s">
        <v>5</v>
      </c>
      <c r="I425" s="2" t="s">
        <v>6</v>
      </c>
      <c r="J425" s="2" t="s">
        <v>5</v>
      </c>
      <c r="K425" s="2" t="s">
        <v>5</v>
      </c>
      <c r="L425" s="2" t="s">
        <v>7</v>
      </c>
      <c r="M425" s="1" t="s">
        <v>5471</v>
      </c>
      <c r="N425" s="1" t="s">
        <v>5472</v>
      </c>
      <c r="O425" s="2" t="s">
        <v>349</v>
      </c>
      <c r="P425" s="1" t="s">
        <v>568</v>
      </c>
      <c r="Q425" s="2" t="s">
        <v>10</v>
      </c>
      <c r="R425" s="2" t="s">
        <v>77</v>
      </c>
      <c r="T425" s="2" t="s">
        <v>12</v>
      </c>
      <c r="U425" s="3">
        <v>2</v>
      </c>
      <c r="V425" s="3">
        <v>2</v>
      </c>
      <c r="W425" s="4" t="s">
        <v>5473</v>
      </c>
      <c r="X425" s="4" t="s">
        <v>5473</v>
      </c>
      <c r="Y425" s="4" t="s">
        <v>5474</v>
      </c>
      <c r="Z425" s="4" t="s">
        <v>5474</v>
      </c>
      <c r="AA425" s="3">
        <v>316</v>
      </c>
      <c r="AB425" s="3">
        <v>158</v>
      </c>
      <c r="AC425" s="3">
        <v>215</v>
      </c>
      <c r="AD425" s="3">
        <v>1</v>
      </c>
      <c r="AE425" s="3">
        <v>1</v>
      </c>
      <c r="AF425" s="3">
        <v>7</v>
      </c>
      <c r="AG425" s="3">
        <v>10</v>
      </c>
      <c r="AH425" s="3">
        <v>2</v>
      </c>
      <c r="AI425" s="3">
        <v>4</v>
      </c>
      <c r="AJ425" s="3">
        <v>3</v>
      </c>
      <c r="AK425" s="3">
        <v>4</v>
      </c>
      <c r="AL425" s="3">
        <v>3</v>
      </c>
      <c r="AM425" s="3">
        <v>5</v>
      </c>
      <c r="AN425" s="3">
        <v>0</v>
      </c>
      <c r="AO425" s="3">
        <v>0</v>
      </c>
      <c r="AP425" s="3">
        <v>0</v>
      </c>
      <c r="AQ425" s="3">
        <v>0</v>
      </c>
      <c r="AR425" s="2" t="s">
        <v>5</v>
      </c>
      <c r="AS425" s="2" t="s">
        <v>90</v>
      </c>
      <c r="AT425" s="5" t="str">
        <f>HYPERLINK("http://catalog.hathitrust.org/Record/004193462","HathiTrust Record")</f>
        <v>HathiTrust Record</v>
      </c>
      <c r="AU425" s="5" t="str">
        <f>HYPERLINK("https://creighton-primo.hosted.exlibrisgroup.com/primo-explore/search?tab=default_tab&amp;search_scope=EVERYTHING&amp;vid=01CRU&amp;lang=en_US&amp;offset=0&amp;query=any,contains,991000426119702656","Catalog Record")</f>
        <v>Catalog Record</v>
      </c>
      <c r="AV425" s="5" t="str">
        <f>HYPERLINK("http://www.worldcat.org/oclc/44701887","WorldCat Record")</f>
        <v>WorldCat Record</v>
      </c>
      <c r="AW425" s="2" t="s">
        <v>5475</v>
      </c>
      <c r="AX425" s="2" t="s">
        <v>5476</v>
      </c>
      <c r="AY425" s="2" t="s">
        <v>5477</v>
      </c>
      <c r="AZ425" s="2" t="s">
        <v>5477</v>
      </c>
      <c r="BA425" s="2" t="s">
        <v>5478</v>
      </c>
      <c r="BB425" s="2" t="s">
        <v>19</v>
      </c>
      <c r="BD425" s="2" t="s">
        <v>5479</v>
      </c>
      <c r="BE425" s="2" t="s">
        <v>5480</v>
      </c>
      <c r="BF425" s="2" t="s">
        <v>5481</v>
      </c>
    </row>
    <row r="426" spans="1:58" ht="50.25" customHeight="1" x14ac:dyDescent="0.25">
      <c r="A426" s="8" t="s">
        <v>5</v>
      </c>
      <c r="B426" s="1" t="s">
        <v>0</v>
      </c>
      <c r="C426" s="1" t="s">
        <v>1</v>
      </c>
      <c r="D426" s="1" t="s">
        <v>5482</v>
      </c>
      <c r="E426" s="1" t="s">
        <v>5483</v>
      </c>
      <c r="F426" s="1" t="s">
        <v>5484</v>
      </c>
      <c r="H426" s="2" t="s">
        <v>5</v>
      </c>
      <c r="I426" s="2" t="s">
        <v>6</v>
      </c>
      <c r="J426" s="2" t="s">
        <v>5</v>
      </c>
      <c r="K426" s="2" t="s">
        <v>90</v>
      </c>
      <c r="L426" s="2" t="s">
        <v>7</v>
      </c>
      <c r="M426" s="1" t="s">
        <v>5485</v>
      </c>
      <c r="N426" s="1" t="s">
        <v>5486</v>
      </c>
      <c r="O426" s="2" t="s">
        <v>596</v>
      </c>
      <c r="Q426" s="2" t="s">
        <v>10</v>
      </c>
      <c r="R426" s="2" t="s">
        <v>29</v>
      </c>
      <c r="T426" s="2" t="s">
        <v>12</v>
      </c>
      <c r="U426" s="3">
        <v>7</v>
      </c>
      <c r="V426" s="3">
        <v>7</v>
      </c>
      <c r="W426" s="4" t="s">
        <v>5487</v>
      </c>
      <c r="X426" s="4" t="s">
        <v>5487</v>
      </c>
      <c r="Y426" s="4" t="s">
        <v>4798</v>
      </c>
      <c r="Z426" s="4" t="s">
        <v>4798</v>
      </c>
      <c r="AA426" s="3">
        <v>396</v>
      </c>
      <c r="AB426" s="3">
        <v>275</v>
      </c>
      <c r="AC426" s="3">
        <v>1020</v>
      </c>
      <c r="AD426" s="3">
        <v>2</v>
      </c>
      <c r="AE426" s="3">
        <v>14</v>
      </c>
      <c r="AF426" s="3">
        <v>14</v>
      </c>
      <c r="AG426" s="3">
        <v>45</v>
      </c>
      <c r="AH426" s="3">
        <v>4</v>
      </c>
      <c r="AI426" s="3">
        <v>16</v>
      </c>
      <c r="AJ426" s="3">
        <v>4</v>
      </c>
      <c r="AK426" s="3">
        <v>8</v>
      </c>
      <c r="AL426" s="3">
        <v>11</v>
      </c>
      <c r="AM426" s="3">
        <v>19</v>
      </c>
      <c r="AN426" s="3">
        <v>1</v>
      </c>
      <c r="AO426" s="3">
        <v>11</v>
      </c>
      <c r="AP426" s="3">
        <v>0</v>
      </c>
      <c r="AQ426" s="3">
        <v>1</v>
      </c>
      <c r="AR426" s="2" t="s">
        <v>5</v>
      </c>
      <c r="AS426" s="2" t="s">
        <v>90</v>
      </c>
      <c r="AT426" s="5" t="str">
        <f>HYPERLINK("http://catalog.hathitrust.org/Record/000834356","HathiTrust Record")</f>
        <v>HathiTrust Record</v>
      </c>
      <c r="AU426" s="5" t="str">
        <f>HYPERLINK("https://creighton-primo.hosted.exlibrisgroup.com/primo-explore/search?tab=default_tab&amp;search_scope=EVERYTHING&amp;vid=01CRU&amp;lang=en_US&amp;offset=0&amp;query=any,contains,991001529559702656","Catalog Record")</f>
        <v>Catalog Record</v>
      </c>
      <c r="AV426" s="5" t="str">
        <f>HYPERLINK("http://www.worldcat.org/oclc/16646902","WorldCat Record")</f>
        <v>WorldCat Record</v>
      </c>
      <c r="AW426" s="2" t="s">
        <v>5488</v>
      </c>
      <c r="AX426" s="2" t="s">
        <v>5489</v>
      </c>
      <c r="AY426" s="2" t="s">
        <v>5490</v>
      </c>
      <c r="AZ426" s="2" t="s">
        <v>5490</v>
      </c>
      <c r="BA426" s="2" t="s">
        <v>5491</v>
      </c>
      <c r="BB426" s="2" t="s">
        <v>19</v>
      </c>
      <c r="BD426" s="2" t="s">
        <v>5492</v>
      </c>
      <c r="BE426" s="2" t="s">
        <v>5493</v>
      </c>
      <c r="BF426" s="2" t="s">
        <v>5494</v>
      </c>
    </row>
    <row r="427" spans="1:58" ht="50.25" customHeight="1" x14ac:dyDescent="0.25">
      <c r="A427" s="8" t="s">
        <v>5</v>
      </c>
      <c r="B427" s="1" t="s">
        <v>0</v>
      </c>
      <c r="C427" s="1" t="s">
        <v>1</v>
      </c>
      <c r="D427" s="1" t="s">
        <v>5495</v>
      </c>
      <c r="E427" s="1" t="s">
        <v>5496</v>
      </c>
      <c r="F427" s="1" t="s">
        <v>5497</v>
      </c>
      <c r="H427" s="2" t="s">
        <v>5</v>
      </c>
      <c r="I427" s="2" t="s">
        <v>6</v>
      </c>
      <c r="J427" s="2" t="s">
        <v>5</v>
      </c>
      <c r="K427" s="2" t="s">
        <v>5</v>
      </c>
      <c r="L427" s="2" t="s">
        <v>7</v>
      </c>
      <c r="N427" s="1" t="s">
        <v>5498</v>
      </c>
      <c r="O427" s="2" t="s">
        <v>596</v>
      </c>
      <c r="Q427" s="2" t="s">
        <v>10</v>
      </c>
      <c r="R427" s="2" t="s">
        <v>1150</v>
      </c>
      <c r="T427" s="2" t="s">
        <v>12</v>
      </c>
      <c r="U427" s="3">
        <v>5</v>
      </c>
      <c r="V427" s="3">
        <v>5</v>
      </c>
      <c r="W427" s="4" t="s">
        <v>5499</v>
      </c>
      <c r="X427" s="4" t="s">
        <v>5499</v>
      </c>
      <c r="Y427" s="4" t="s">
        <v>5500</v>
      </c>
      <c r="Z427" s="4" t="s">
        <v>5500</v>
      </c>
      <c r="AA427" s="3">
        <v>64</v>
      </c>
      <c r="AB427" s="3">
        <v>61</v>
      </c>
      <c r="AC427" s="3">
        <v>66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0</v>
      </c>
      <c r="AK427" s="3">
        <v>0</v>
      </c>
      <c r="AL427" s="3">
        <v>1</v>
      </c>
      <c r="AM427" s="3">
        <v>1</v>
      </c>
      <c r="AN427" s="3">
        <v>0</v>
      </c>
      <c r="AO427" s="3">
        <v>0</v>
      </c>
      <c r="AP427" s="3">
        <v>0</v>
      </c>
      <c r="AQ427" s="3">
        <v>0</v>
      </c>
      <c r="AR427" s="2" t="s">
        <v>5</v>
      </c>
      <c r="AS427" s="2" t="s">
        <v>5</v>
      </c>
      <c r="AU427" s="5" t="str">
        <f>HYPERLINK("https://creighton-primo.hosted.exlibrisgroup.com/primo-explore/search?tab=default_tab&amp;search_scope=EVERYTHING&amp;vid=01CRU&amp;lang=en_US&amp;offset=0&amp;query=any,contains,991001176929702656","Catalog Record")</f>
        <v>Catalog Record</v>
      </c>
      <c r="AV427" s="5" t="str">
        <f>HYPERLINK("http://www.worldcat.org/oclc/20672243","WorldCat Record")</f>
        <v>WorldCat Record</v>
      </c>
      <c r="AW427" s="2" t="s">
        <v>5501</v>
      </c>
      <c r="AX427" s="2" t="s">
        <v>5502</v>
      </c>
      <c r="AY427" s="2" t="s">
        <v>5503</v>
      </c>
      <c r="AZ427" s="2" t="s">
        <v>5503</v>
      </c>
      <c r="BA427" s="2" t="s">
        <v>5504</v>
      </c>
      <c r="BB427" s="2" t="s">
        <v>19</v>
      </c>
      <c r="BD427" s="2" t="s">
        <v>5505</v>
      </c>
      <c r="BE427" s="2" t="s">
        <v>5506</v>
      </c>
      <c r="BF427" s="2" t="s">
        <v>5507</v>
      </c>
    </row>
    <row r="428" spans="1:58" ht="50.25" customHeight="1" x14ac:dyDescent="0.25">
      <c r="A428" s="8" t="s">
        <v>5</v>
      </c>
      <c r="B428" s="1" t="s">
        <v>0</v>
      </c>
      <c r="C428" s="1" t="s">
        <v>1</v>
      </c>
      <c r="D428" s="1" t="s">
        <v>5508</v>
      </c>
      <c r="E428" s="1" t="s">
        <v>5509</v>
      </c>
      <c r="F428" s="1" t="s">
        <v>5510</v>
      </c>
      <c r="H428" s="2" t="s">
        <v>5</v>
      </c>
      <c r="I428" s="2" t="s">
        <v>6</v>
      </c>
      <c r="J428" s="2" t="s">
        <v>5</v>
      </c>
      <c r="K428" s="2" t="s">
        <v>5</v>
      </c>
      <c r="L428" s="2" t="s">
        <v>7</v>
      </c>
      <c r="M428" s="1" t="s">
        <v>5511</v>
      </c>
      <c r="N428" s="1" t="s">
        <v>5512</v>
      </c>
      <c r="O428" s="2" t="s">
        <v>680</v>
      </c>
      <c r="P428" s="1" t="s">
        <v>568</v>
      </c>
      <c r="Q428" s="2" t="s">
        <v>10</v>
      </c>
      <c r="R428" s="2" t="s">
        <v>11</v>
      </c>
      <c r="T428" s="2" t="s">
        <v>12</v>
      </c>
      <c r="U428" s="3">
        <v>5</v>
      </c>
      <c r="V428" s="3">
        <v>5</v>
      </c>
      <c r="W428" s="4" t="s">
        <v>5513</v>
      </c>
      <c r="X428" s="4" t="s">
        <v>5513</v>
      </c>
      <c r="Y428" s="4" t="s">
        <v>5514</v>
      </c>
      <c r="Z428" s="4" t="s">
        <v>5514</v>
      </c>
      <c r="AA428" s="3">
        <v>271</v>
      </c>
      <c r="AB428" s="3">
        <v>160</v>
      </c>
      <c r="AC428" s="3">
        <v>661</v>
      </c>
      <c r="AD428" s="3">
        <v>1</v>
      </c>
      <c r="AE428" s="3">
        <v>12</v>
      </c>
      <c r="AF428" s="3">
        <v>6</v>
      </c>
      <c r="AG428" s="3">
        <v>22</v>
      </c>
      <c r="AH428" s="3">
        <v>1</v>
      </c>
      <c r="AI428" s="3">
        <v>3</v>
      </c>
      <c r="AJ428" s="3">
        <v>1</v>
      </c>
      <c r="AK428" s="3">
        <v>5</v>
      </c>
      <c r="AL428" s="3">
        <v>5</v>
      </c>
      <c r="AM428" s="3">
        <v>8</v>
      </c>
      <c r="AN428" s="3">
        <v>0</v>
      </c>
      <c r="AO428" s="3">
        <v>9</v>
      </c>
      <c r="AP428" s="3">
        <v>0</v>
      </c>
      <c r="AQ428" s="3">
        <v>0</v>
      </c>
      <c r="AR428" s="2" t="s">
        <v>5</v>
      </c>
      <c r="AS428" s="2" t="s">
        <v>5</v>
      </c>
      <c r="AU428" s="5" t="str">
        <f>HYPERLINK("https://creighton-primo.hosted.exlibrisgroup.com/primo-explore/search?tab=default_tab&amp;search_scope=EVERYTHING&amp;vid=01CRU&amp;lang=en_US&amp;offset=0&amp;query=any,contains,991000447449702656","Catalog Record")</f>
        <v>Catalog Record</v>
      </c>
      <c r="AV428" s="5" t="str">
        <f>HYPERLINK("http://www.worldcat.org/oclc/55019376","WorldCat Record")</f>
        <v>WorldCat Record</v>
      </c>
      <c r="AW428" s="2" t="s">
        <v>5515</v>
      </c>
      <c r="AX428" s="2" t="s">
        <v>5516</v>
      </c>
      <c r="AY428" s="2" t="s">
        <v>5517</v>
      </c>
      <c r="AZ428" s="2" t="s">
        <v>5517</v>
      </c>
      <c r="BA428" s="2" t="s">
        <v>5518</v>
      </c>
      <c r="BB428" s="2" t="s">
        <v>19</v>
      </c>
      <c r="BD428" s="2" t="s">
        <v>5519</v>
      </c>
      <c r="BE428" s="2" t="s">
        <v>5520</v>
      </c>
      <c r="BF428" s="2" t="s">
        <v>5521</v>
      </c>
    </row>
    <row r="429" spans="1:58" ht="50.25" customHeight="1" x14ac:dyDescent="0.25">
      <c r="A429" s="8" t="s">
        <v>5</v>
      </c>
      <c r="B429" s="1" t="s">
        <v>0</v>
      </c>
      <c r="C429" s="1" t="s">
        <v>1</v>
      </c>
      <c r="D429" s="1" t="s">
        <v>5522</v>
      </c>
      <c r="E429" s="1" t="s">
        <v>5523</v>
      </c>
      <c r="F429" s="1" t="s">
        <v>5524</v>
      </c>
      <c r="H429" s="2" t="s">
        <v>5</v>
      </c>
      <c r="I429" s="2" t="s">
        <v>6</v>
      </c>
      <c r="J429" s="2" t="s">
        <v>5</v>
      </c>
      <c r="K429" s="2" t="s">
        <v>5</v>
      </c>
      <c r="L429" s="2" t="s">
        <v>7</v>
      </c>
      <c r="M429" s="1" t="s">
        <v>5525</v>
      </c>
      <c r="N429" s="1" t="s">
        <v>5526</v>
      </c>
      <c r="O429" s="2" t="s">
        <v>504</v>
      </c>
      <c r="P429" s="1" t="s">
        <v>568</v>
      </c>
      <c r="Q429" s="2" t="s">
        <v>10</v>
      </c>
      <c r="R429" s="2" t="s">
        <v>61</v>
      </c>
      <c r="T429" s="2" t="s">
        <v>12</v>
      </c>
      <c r="U429" s="3">
        <v>21</v>
      </c>
      <c r="V429" s="3">
        <v>21</v>
      </c>
      <c r="W429" s="4" t="s">
        <v>5527</v>
      </c>
      <c r="X429" s="4" t="s">
        <v>5527</v>
      </c>
      <c r="Y429" s="4" t="s">
        <v>5528</v>
      </c>
      <c r="Z429" s="4" t="s">
        <v>5528</v>
      </c>
      <c r="AA429" s="3">
        <v>286</v>
      </c>
      <c r="AB429" s="3">
        <v>220</v>
      </c>
      <c r="AC429" s="3">
        <v>403</v>
      </c>
      <c r="AD429" s="3">
        <v>3</v>
      </c>
      <c r="AE429" s="3">
        <v>4</v>
      </c>
      <c r="AF429" s="3">
        <v>10</v>
      </c>
      <c r="AG429" s="3">
        <v>14</v>
      </c>
      <c r="AH429" s="3">
        <v>2</v>
      </c>
      <c r="AI429" s="3">
        <v>5</v>
      </c>
      <c r="AJ429" s="3">
        <v>2</v>
      </c>
      <c r="AK429" s="3">
        <v>2</v>
      </c>
      <c r="AL429" s="3">
        <v>5</v>
      </c>
      <c r="AM429" s="3">
        <v>5</v>
      </c>
      <c r="AN429" s="3">
        <v>2</v>
      </c>
      <c r="AO429" s="3">
        <v>3</v>
      </c>
      <c r="AP429" s="3">
        <v>0</v>
      </c>
      <c r="AQ429" s="3">
        <v>0</v>
      </c>
      <c r="AR429" s="2" t="s">
        <v>5</v>
      </c>
      <c r="AS429" s="2" t="s">
        <v>90</v>
      </c>
      <c r="AT429" s="5" t="str">
        <f>HYPERLINK("http://catalog.hathitrust.org/Record/000257797","HathiTrust Record")</f>
        <v>HathiTrust Record</v>
      </c>
      <c r="AU429" s="5" t="str">
        <f>HYPERLINK("https://creighton-primo.hosted.exlibrisgroup.com/primo-explore/search?tab=default_tab&amp;search_scope=EVERYTHING&amp;vid=01CRU&amp;lang=en_US&amp;offset=0&amp;query=any,contains,991001468779702656","Catalog Record")</f>
        <v>Catalog Record</v>
      </c>
      <c r="AV429" s="5" t="str">
        <f>HYPERLINK("http://www.worldcat.org/oclc/4529198","WorldCat Record")</f>
        <v>WorldCat Record</v>
      </c>
      <c r="AW429" s="2" t="s">
        <v>5529</v>
      </c>
      <c r="AX429" s="2" t="s">
        <v>5530</v>
      </c>
      <c r="AY429" s="2" t="s">
        <v>5531</v>
      </c>
      <c r="AZ429" s="2" t="s">
        <v>5531</v>
      </c>
      <c r="BA429" s="2" t="s">
        <v>5532</v>
      </c>
      <c r="BB429" s="2" t="s">
        <v>19</v>
      </c>
      <c r="BD429" s="2" t="s">
        <v>5533</v>
      </c>
      <c r="BE429" s="2" t="s">
        <v>5534</v>
      </c>
      <c r="BF429" s="2" t="s">
        <v>5535</v>
      </c>
    </row>
    <row r="430" spans="1:58" ht="50.25" customHeight="1" x14ac:dyDescent="0.25">
      <c r="A430" s="8" t="s">
        <v>5</v>
      </c>
      <c r="B430" s="1" t="s">
        <v>0</v>
      </c>
      <c r="C430" s="1" t="s">
        <v>1</v>
      </c>
      <c r="D430" s="1" t="s">
        <v>5536</v>
      </c>
      <c r="E430" s="1" t="s">
        <v>5537</v>
      </c>
      <c r="F430" s="1" t="s">
        <v>5538</v>
      </c>
      <c r="H430" s="2" t="s">
        <v>5</v>
      </c>
      <c r="I430" s="2" t="s">
        <v>6</v>
      </c>
      <c r="J430" s="2" t="s">
        <v>5</v>
      </c>
      <c r="K430" s="2" t="s">
        <v>90</v>
      </c>
      <c r="L430" s="2" t="s">
        <v>7</v>
      </c>
      <c r="M430" s="1" t="s">
        <v>5539</v>
      </c>
      <c r="N430" s="1" t="s">
        <v>5540</v>
      </c>
      <c r="O430" s="2" t="s">
        <v>596</v>
      </c>
      <c r="P430" s="1" t="s">
        <v>568</v>
      </c>
      <c r="Q430" s="2" t="s">
        <v>10</v>
      </c>
      <c r="R430" s="2" t="s">
        <v>77</v>
      </c>
      <c r="T430" s="2" t="s">
        <v>12</v>
      </c>
      <c r="U430" s="3">
        <v>54</v>
      </c>
      <c r="V430" s="3">
        <v>54</v>
      </c>
      <c r="W430" s="4" t="s">
        <v>5541</v>
      </c>
      <c r="X430" s="4" t="s">
        <v>5541</v>
      </c>
      <c r="Y430" s="4" t="s">
        <v>5542</v>
      </c>
      <c r="Z430" s="4" t="s">
        <v>5542</v>
      </c>
      <c r="AA430" s="3">
        <v>220</v>
      </c>
      <c r="AB430" s="3">
        <v>103</v>
      </c>
      <c r="AC430" s="3">
        <v>838</v>
      </c>
      <c r="AD430" s="3">
        <v>1</v>
      </c>
      <c r="AE430" s="3">
        <v>7</v>
      </c>
      <c r="AF430" s="3">
        <v>2</v>
      </c>
      <c r="AG430" s="3">
        <v>32</v>
      </c>
      <c r="AH430" s="3">
        <v>0</v>
      </c>
      <c r="AI430" s="3">
        <v>9</v>
      </c>
      <c r="AJ430" s="3">
        <v>1</v>
      </c>
      <c r="AK430" s="3">
        <v>10</v>
      </c>
      <c r="AL430" s="3">
        <v>1</v>
      </c>
      <c r="AM430" s="3">
        <v>12</v>
      </c>
      <c r="AN430" s="3">
        <v>0</v>
      </c>
      <c r="AO430" s="3">
        <v>5</v>
      </c>
      <c r="AP430" s="3">
        <v>0</v>
      </c>
      <c r="AQ430" s="3">
        <v>1</v>
      </c>
      <c r="AR430" s="2" t="s">
        <v>5</v>
      </c>
      <c r="AS430" s="2" t="s">
        <v>5</v>
      </c>
      <c r="AU430" s="5" t="str">
        <f>HYPERLINK("https://creighton-primo.hosted.exlibrisgroup.com/primo-explore/search?tab=default_tab&amp;search_scope=EVERYTHING&amp;vid=01CRU&amp;lang=en_US&amp;offset=0&amp;query=any,contains,991001193079702656","Catalog Record")</f>
        <v>Catalog Record</v>
      </c>
      <c r="AV430" s="5" t="str">
        <f>HYPERLINK("http://www.worldcat.org/oclc/17803642","WorldCat Record")</f>
        <v>WorldCat Record</v>
      </c>
      <c r="AW430" s="2" t="s">
        <v>5543</v>
      </c>
      <c r="AX430" s="2" t="s">
        <v>5544</v>
      </c>
      <c r="AY430" s="2" t="s">
        <v>5545</v>
      </c>
      <c r="AZ430" s="2" t="s">
        <v>5545</v>
      </c>
      <c r="BA430" s="2" t="s">
        <v>5546</v>
      </c>
      <c r="BB430" s="2" t="s">
        <v>19</v>
      </c>
      <c r="BD430" s="2" t="s">
        <v>5547</v>
      </c>
      <c r="BE430" s="2" t="s">
        <v>5548</v>
      </c>
      <c r="BF430" s="2" t="s">
        <v>5549</v>
      </c>
    </row>
    <row r="431" spans="1:58" ht="50.25" customHeight="1" x14ac:dyDescent="0.25">
      <c r="A431" s="8" t="s">
        <v>5</v>
      </c>
      <c r="B431" s="1" t="s">
        <v>0</v>
      </c>
      <c r="C431" s="1" t="s">
        <v>1</v>
      </c>
      <c r="D431" s="1" t="s">
        <v>5550</v>
      </c>
      <c r="E431" s="1" t="s">
        <v>5551</v>
      </c>
      <c r="F431" s="1" t="s">
        <v>5552</v>
      </c>
      <c r="H431" s="2" t="s">
        <v>5</v>
      </c>
      <c r="I431" s="2" t="s">
        <v>6</v>
      </c>
      <c r="J431" s="2" t="s">
        <v>5</v>
      </c>
      <c r="K431" s="2" t="s">
        <v>5</v>
      </c>
      <c r="L431" s="2" t="s">
        <v>7</v>
      </c>
      <c r="M431" s="1" t="s">
        <v>5553</v>
      </c>
      <c r="N431" s="1" t="s">
        <v>5554</v>
      </c>
      <c r="O431" s="2" t="s">
        <v>109</v>
      </c>
      <c r="Q431" s="2" t="s">
        <v>10</v>
      </c>
      <c r="R431" s="2" t="s">
        <v>61</v>
      </c>
      <c r="T431" s="2" t="s">
        <v>12</v>
      </c>
      <c r="U431" s="3">
        <v>4</v>
      </c>
      <c r="V431" s="3">
        <v>4</v>
      </c>
      <c r="W431" s="4" t="s">
        <v>5555</v>
      </c>
      <c r="X431" s="4" t="s">
        <v>5555</v>
      </c>
      <c r="Y431" s="4" t="s">
        <v>5556</v>
      </c>
      <c r="Z431" s="4" t="s">
        <v>5556</v>
      </c>
      <c r="AA431" s="3">
        <v>218</v>
      </c>
      <c r="AB431" s="3">
        <v>136</v>
      </c>
      <c r="AC431" s="3">
        <v>439</v>
      </c>
      <c r="AD431" s="3">
        <v>2</v>
      </c>
      <c r="AE431" s="3">
        <v>3</v>
      </c>
      <c r="AF431" s="3">
        <v>5</v>
      </c>
      <c r="AG431" s="3">
        <v>24</v>
      </c>
      <c r="AH431" s="3">
        <v>2</v>
      </c>
      <c r="AI431" s="3">
        <v>8</v>
      </c>
      <c r="AJ431" s="3">
        <v>0</v>
      </c>
      <c r="AK431" s="3">
        <v>7</v>
      </c>
      <c r="AL431" s="3">
        <v>2</v>
      </c>
      <c r="AM431" s="3">
        <v>11</v>
      </c>
      <c r="AN431" s="3">
        <v>1</v>
      </c>
      <c r="AO431" s="3">
        <v>2</v>
      </c>
      <c r="AP431" s="3">
        <v>0</v>
      </c>
      <c r="AQ431" s="3">
        <v>1</v>
      </c>
      <c r="AR431" s="2" t="s">
        <v>5</v>
      </c>
      <c r="AS431" s="2" t="s">
        <v>5</v>
      </c>
      <c r="AU431" s="5" t="str">
        <f>HYPERLINK("https://creighton-primo.hosted.exlibrisgroup.com/primo-explore/search?tab=default_tab&amp;search_scope=EVERYTHING&amp;vid=01CRU&amp;lang=en_US&amp;offset=0&amp;query=any,contains,991000554779702656","Catalog Record")</f>
        <v>Catalog Record</v>
      </c>
      <c r="AV431" s="5" t="str">
        <f>HYPERLINK("http://www.worldcat.org/oclc/51892834","WorldCat Record")</f>
        <v>WorldCat Record</v>
      </c>
      <c r="AW431" s="2" t="s">
        <v>5557</v>
      </c>
      <c r="AX431" s="2" t="s">
        <v>5558</v>
      </c>
      <c r="AY431" s="2" t="s">
        <v>5559</v>
      </c>
      <c r="AZ431" s="2" t="s">
        <v>5559</v>
      </c>
      <c r="BA431" s="2" t="s">
        <v>5560</v>
      </c>
      <c r="BB431" s="2" t="s">
        <v>19</v>
      </c>
      <c r="BD431" s="2" t="s">
        <v>5561</v>
      </c>
      <c r="BE431" s="2" t="s">
        <v>5562</v>
      </c>
      <c r="BF431" s="2" t="s">
        <v>5563</v>
      </c>
    </row>
    <row r="432" spans="1:58" ht="50.25" customHeight="1" x14ac:dyDescent="0.25">
      <c r="A432" s="8" t="s">
        <v>5</v>
      </c>
      <c r="B432" s="1" t="s">
        <v>0</v>
      </c>
      <c r="C432" s="1" t="s">
        <v>1</v>
      </c>
      <c r="D432" s="1" t="s">
        <v>5564</v>
      </c>
      <c r="E432" s="1" t="s">
        <v>5565</v>
      </c>
      <c r="F432" s="1" t="s">
        <v>5566</v>
      </c>
      <c r="H432" s="2" t="s">
        <v>5</v>
      </c>
      <c r="I432" s="2" t="s">
        <v>6</v>
      </c>
      <c r="J432" s="2" t="s">
        <v>5</v>
      </c>
      <c r="K432" s="2" t="s">
        <v>5</v>
      </c>
      <c r="L432" s="2" t="s">
        <v>7</v>
      </c>
      <c r="M432" s="1" t="s">
        <v>5567</v>
      </c>
      <c r="N432" s="1" t="s">
        <v>5568</v>
      </c>
      <c r="O432" s="2" t="s">
        <v>109</v>
      </c>
      <c r="Q432" s="2" t="s">
        <v>10</v>
      </c>
      <c r="R432" s="2" t="s">
        <v>77</v>
      </c>
      <c r="T432" s="2" t="s">
        <v>12</v>
      </c>
      <c r="U432" s="3">
        <v>3</v>
      </c>
      <c r="V432" s="3">
        <v>3</v>
      </c>
      <c r="W432" s="4" t="s">
        <v>5569</v>
      </c>
      <c r="X432" s="4" t="s">
        <v>5569</v>
      </c>
      <c r="Y432" s="4" t="s">
        <v>5570</v>
      </c>
      <c r="Z432" s="4" t="s">
        <v>5570</v>
      </c>
      <c r="AA432" s="3">
        <v>147</v>
      </c>
      <c r="AB432" s="3">
        <v>52</v>
      </c>
      <c r="AC432" s="3">
        <v>52</v>
      </c>
      <c r="AD432" s="3">
        <v>1</v>
      </c>
      <c r="AE432" s="3">
        <v>1</v>
      </c>
      <c r="AF432" s="3">
        <v>2</v>
      </c>
      <c r="AG432" s="3">
        <v>2</v>
      </c>
      <c r="AH432" s="3">
        <v>2</v>
      </c>
      <c r="AI432" s="3">
        <v>2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2" t="s">
        <v>5</v>
      </c>
      <c r="AS432" s="2" t="s">
        <v>5</v>
      </c>
      <c r="AU432" s="5" t="str">
        <f>HYPERLINK("https://creighton-primo.hosted.exlibrisgroup.com/primo-explore/search?tab=default_tab&amp;search_scope=EVERYTHING&amp;vid=01CRU&amp;lang=en_US&amp;offset=0&amp;query=any,contains,991000467569702656","Catalog Record")</f>
        <v>Catalog Record</v>
      </c>
      <c r="AV432" s="5" t="str">
        <f>HYPERLINK("http://www.worldcat.org/oclc/50877020","WorldCat Record")</f>
        <v>WorldCat Record</v>
      </c>
      <c r="AW432" s="2" t="s">
        <v>5571</v>
      </c>
      <c r="AX432" s="2" t="s">
        <v>5572</v>
      </c>
      <c r="AY432" s="2" t="s">
        <v>5573</v>
      </c>
      <c r="AZ432" s="2" t="s">
        <v>5573</v>
      </c>
      <c r="BA432" s="2" t="s">
        <v>5574</v>
      </c>
      <c r="BB432" s="2" t="s">
        <v>19</v>
      </c>
      <c r="BD432" s="2" t="s">
        <v>5575</v>
      </c>
      <c r="BE432" s="2" t="s">
        <v>5576</v>
      </c>
      <c r="BF432" s="2" t="s">
        <v>5577</v>
      </c>
    </row>
    <row r="433" spans="1:58" ht="50.25" customHeight="1" x14ac:dyDescent="0.25">
      <c r="A433" s="8" t="s">
        <v>5</v>
      </c>
      <c r="B433" s="1" t="s">
        <v>0</v>
      </c>
      <c r="C433" s="1" t="s">
        <v>1</v>
      </c>
      <c r="D433" s="1" t="s">
        <v>5578</v>
      </c>
      <c r="E433" s="1" t="s">
        <v>5579</v>
      </c>
      <c r="F433" s="1" t="s">
        <v>5580</v>
      </c>
      <c r="H433" s="2" t="s">
        <v>5</v>
      </c>
      <c r="I433" s="2" t="s">
        <v>6</v>
      </c>
      <c r="J433" s="2" t="s">
        <v>5</v>
      </c>
      <c r="K433" s="2" t="s">
        <v>5</v>
      </c>
      <c r="L433" s="2" t="s">
        <v>7</v>
      </c>
      <c r="N433" s="1" t="s">
        <v>5581</v>
      </c>
      <c r="O433" s="2" t="s">
        <v>2287</v>
      </c>
      <c r="Q433" s="2" t="s">
        <v>10</v>
      </c>
      <c r="R433" s="2" t="s">
        <v>29</v>
      </c>
      <c r="T433" s="2" t="s">
        <v>12</v>
      </c>
      <c r="U433" s="3">
        <v>16</v>
      </c>
      <c r="V433" s="3">
        <v>16</v>
      </c>
      <c r="W433" s="4" t="s">
        <v>5582</v>
      </c>
      <c r="X433" s="4" t="s">
        <v>5582</v>
      </c>
      <c r="Y433" s="4" t="s">
        <v>5583</v>
      </c>
      <c r="Z433" s="4" t="s">
        <v>5583</v>
      </c>
      <c r="AA433" s="3">
        <v>215</v>
      </c>
      <c r="AB433" s="3">
        <v>160</v>
      </c>
      <c r="AC433" s="3">
        <v>164</v>
      </c>
      <c r="AD433" s="3">
        <v>1</v>
      </c>
      <c r="AE433" s="3">
        <v>1</v>
      </c>
      <c r="AF433" s="3">
        <v>2</v>
      </c>
      <c r="AG433" s="3">
        <v>2</v>
      </c>
      <c r="AH433" s="3">
        <v>0</v>
      </c>
      <c r="AI433" s="3">
        <v>0</v>
      </c>
      <c r="AJ433" s="3">
        <v>2</v>
      </c>
      <c r="AK433" s="3">
        <v>2</v>
      </c>
      <c r="AL433" s="3">
        <v>1</v>
      </c>
      <c r="AM433" s="3">
        <v>1</v>
      </c>
      <c r="AN433" s="3">
        <v>0</v>
      </c>
      <c r="AO433" s="3">
        <v>0</v>
      </c>
      <c r="AP433" s="3">
        <v>0</v>
      </c>
      <c r="AQ433" s="3">
        <v>0</v>
      </c>
      <c r="AR433" s="2" t="s">
        <v>5</v>
      </c>
      <c r="AS433" s="2" t="s">
        <v>90</v>
      </c>
      <c r="AT433" s="5" t="str">
        <f>HYPERLINK("http://catalog.hathitrust.org/Record/000711933","HathiTrust Record")</f>
        <v>HathiTrust Record</v>
      </c>
      <c r="AU433" s="5" t="str">
        <f>HYPERLINK("https://creighton-primo.hosted.exlibrisgroup.com/primo-explore/search?tab=default_tab&amp;search_scope=EVERYTHING&amp;vid=01CRU&amp;lang=en_US&amp;offset=0&amp;query=any,contains,991000769269702656","Catalog Record")</f>
        <v>Catalog Record</v>
      </c>
      <c r="AV433" s="5" t="str">
        <f>HYPERLINK("http://www.worldcat.org/oclc/5353714","WorldCat Record")</f>
        <v>WorldCat Record</v>
      </c>
      <c r="AW433" s="2" t="s">
        <v>5584</v>
      </c>
      <c r="AX433" s="2" t="s">
        <v>5585</v>
      </c>
      <c r="AY433" s="2" t="s">
        <v>5586</v>
      </c>
      <c r="AZ433" s="2" t="s">
        <v>5586</v>
      </c>
      <c r="BA433" s="2" t="s">
        <v>5587</v>
      </c>
      <c r="BB433" s="2" t="s">
        <v>19</v>
      </c>
      <c r="BD433" s="2" t="s">
        <v>5588</v>
      </c>
      <c r="BE433" s="2" t="s">
        <v>5589</v>
      </c>
      <c r="BF433" s="2" t="s">
        <v>5590</v>
      </c>
    </row>
    <row r="434" spans="1:58" ht="50.25" customHeight="1" x14ac:dyDescent="0.25">
      <c r="A434" s="8" t="s">
        <v>5</v>
      </c>
      <c r="B434" s="1" t="s">
        <v>0</v>
      </c>
      <c r="C434" s="1" t="s">
        <v>1</v>
      </c>
      <c r="D434" s="1" t="s">
        <v>5591</v>
      </c>
      <c r="E434" s="1" t="s">
        <v>5592</v>
      </c>
      <c r="F434" s="1" t="s">
        <v>5593</v>
      </c>
      <c r="H434" s="2" t="s">
        <v>5</v>
      </c>
      <c r="I434" s="2" t="s">
        <v>6</v>
      </c>
      <c r="J434" s="2" t="s">
        <v>5</v>
      </c>
      <c r="K434" s="2" t="s">
        <v>5</v>
      </c>
      <c r="L434" s="2" t="s">
        <v>7</v>
      </c>
      <c r="N434" s="1" t="s">
        <v>5594</v>
      </c>
      <c r="O434" s="2" t="s">
        <v>198</v>
      </c>
      <c r="Q434" s="2" t="s">
        <v>10</v>
      </c>
      <c r="R434" s="2" t="s">
        <v>290</v>
      </c>
      <c r="T434" s="2" t="s">
        <v>12</v>
      </c>
      <c r="U434" s="3">
        <v>22</v>
      </c>
      <c r="V434" s="3">
        <v>22</v>
      </c>
      <c r="W434" s="4" t="s">
        <v>5582</v>
      </c>
      <c r="X434" s="4" t="s">
        <v>5582</v>
      </c>
      <c r="Y434" s="4" t="s">
        <v>1346</v>
      </c>
      <c r="Z434" s="4" t="s">
        <v>1346</v>
      </c>
      <c r="AA434" s="3">
        <v>208</v>
      </c>
      <c r="AB434" s="3">
        <v>150</v>
      </c>
      <c r="AC434" s="3">
        <v>152</v>
      </c>
      <c r="AD434" s="3">
        <v>1</v>
      </c>
      <c r="AE434" s="3">
        <v>1</v>
      </c>
      <c r="AF434" s="3">
        <v>2</v>
      </c>
      <c r="AG434" s="3">
        <v>2</v>
      </c>
      <c r="AH434" s="3">
        <v>0</v>
      </c>
      <c r="AI434" s="3">
        <v>0</v>
      </c>
      <c r="AJ434" s="3">
        <v>2</v>
      </c>
      <c r="AK434" s="3">
        <v>2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2" t="s">
        <v>5</v>
      </c>
      <c r="AS434" s="2" t="s">
        <v>90</v>
      </c>
      <c r="AT434" s="5" t="str">
        <f>HYPERLINK("http://catalog.hathitrust.org/Record/000374027","HathiTrust Record")</f>
        <v>HathiTrust Record</v>
      </c>
      <c r="AU434" s="5" t="str">
        <f>HYPERLINK("https://creighton-primo.hosted.exlibrisgroup.com/primo-explore/search?tab=default_tab&amp;search_scope=EVERYTHING&amp;vid=01CRU&amp;lang=en_US&amp;offset=0&amp;query=any,contains,991000734369702656","Catalog Record")</f>
        <v>Catalog Record</v>
      </c>
      <c r="AV434" s="5" t="str">
        <f>HYPERLINK("http://www.worldcat.org/oclc/11574423","WorldCat Record")</f>
        <v>WorldCat Record</v>
      </c>
      <c r="AW434" s="2" t="s">
        <v>5595</v>
      </c>
      <c r="AX434" s="2" t="s">
        <v>5596</v>
      </c>
      <c r="AY434" s="2" t="s">
        <v>5597</v>
      </c>
      <c r="AZ434" s="2" t="s">
        <v>5597</v>
      </c>
      <c r="BA434" s="2" t="s">
        <v>5598</v>
      </c>
      <c r="BB434" s="2" t="s">
        <v>19</v>
      </c>
      <c r="BD434" s="2" t="s">
        <v>5599</v>
      </c>
      <c r="BE434" s="2" t="s">
        <v>5600</v>
      </c>
      <c r="BF434" s="2" t="s">
        <v>5601</v>
      </c>
    </row>
    <row r="435" spans="1:58" ht="50.25" customHeight="1" x14ac:dyDescent="0.25">
      <c r="A435" s="8" t="s">
        <v>5</v>
      </c>
      <c r="B435" s="1" t="s">
        <v>0</v>
      </c>
      <c r="C435" s="1" t="s">
        <v>1</v>
      </c>
      <c r="D435" s="1" t="s">
        <v>5602</v>
      </c>
      <c r="E435" s="1" t="s">
        <v>5603</v>
      </c>
      <c r="F435" s="1" t="s">
        <v>5604</v>
      </c>
      <c r="H435" s="2" t="s">
        <v>5</v>
      </c>
      <c r="I435" s="2" t="s">
        <v>6</v>
      </c>
      <c r="J435" s="2" t="s">
        <v>5</v>
      </c>
      <c r="K435" s="2" t="s">
        <v>90</v>
      </c>
      <c r="L435" s="2" t="s">
        <v>7</v>
      </c>
      <c r="M435" s="1" t="s">
        <v>5605</v>
      </c>
      <c r="N435" s="1" t="s">
        <v>5606</v>
      </c>
      <c r="O435" s="2" t="s">
        <v>1095</v>
      </c>
      <c r="P435" s="1" t="s">
        <v>568</v>
      </c>
      <c r="Q435" s="2" t="s">
        <v>10</v>
      </c>
      <c r="R435" s="2" t="s">
        <v>77</v>
      </c>
      <c r="S435" s="1" t="s">
        <v>3444</v>
      </c>
      <c r="T435" s="2" t="s">
        <v>12</v>
      </c>
      <c r="U435" s="3">
        <v>30</v>
      </c>
      <c r="V435" s="3">
        <v>30</v>
      </c>
      <c r="W435" s="4" t="s">
        <v>5569</v>
      </c>
      <c r="X435" s="4" t="s">
        <v>5569</v>
      </c>
      <c r="Y435" s="4" t="s">
        <v>5607</v>
      </c>
      <c r="Z435" s="4" t="s">
        <v>5607</v>
      </c>
      <c r="AA435" s="3">
        <v>266</v>
      </c>
      <c r="AB435" s="3">
        <v>119</v>
      </c>
      <c r="AC435" s="3">
        <v>380</v>
      </c>
      <c r="AD435" s="3">
        <v>1</v>
      </c>
      <c r="AE435" s="3">
        <v>3</v>
      </c>
      <c r="AF435" s="3">
        <v>1</v>
      </c>
      <c r="AG435" s="3">
        <v>13</v>
      </c>
      <c r="AH435" s="3">
        <v>0</v>
      </c>
      <c r="AI435" s="3">
        <v>2</v>
      </c>
      <c r="AJ435" s="3">
        <v>0</v>
      </c>
      <c r="AK435" s="3">
        <v>4</v>
      </c>
      <c r="AL435" s="3">
        <v>1</v>
      </c>
      <c r="AM435" s="3">
        <v>9</v>
      </c>
      <c r="AN435" s="3">
        <v>0</v>
      </c>
      <c r="AO435" s="3">
        <v>2</v>
      </c>
      <c r="AP435" s="3">
        <v>0</v>
      </c>
      <c r="AQ435" s="3">
        <v>1</v>
      </c>
      <c r="AR435" s="2" t="s">
        <v>5</v>
      </c>
      <c r="AS435" s="2" t="s">
        <v>90</v>
      </c>
      <c r="AT435" s="5" t="str">
        <f>HYPERLINK("http://catalog.hathitrust.org/Record/002982274","HathiTrust Record")</f>
        <v>HathiTrust Record</v>
      </c>
      <c r="AU435" s="5" t="str">
        <f>HYPERLINK("https://creighton-primo.hosted.exlibrisgroup.com/primo-explore/search?tab=default_tab&amp;search_scope=EVERYTHING&amp;vid=01CRU&amp;lang=en_US&amp;offset=0&amp;query=any,contains,991001533699702656","Catalog Record")</f>
        <v>Catalog Record</v>
      </c>
      <c r="AV435" s="5" t="str">
        <f>HYPERLINK("http://www.worldcat.org/oclc/31819633","WorldCat Record")</f>
        <v>WorldCat Record</v>
      </c>
      <c r="AW435" s="2" t="s">
        <v>5608</v>
      </c>
      <c r="AX435" s="2" t="s">
        <v>5609</v>
      </c>
      <c r="AY435" s="2" t="s">
        <v>5610</v>
      </c>
      <c r="AZ435" s="2" t="s">
        <v>5610</v>
      </c>
      <c r="BA435" s="2" t="s">
        <v>5611</v>
      </c>
      <c r="BB435" s="2" t="s">
        <v>19</v>
      </c>
      <c r="BD435" s="2" t="s">
        <v>5612</v>
      </c>
      <c r="BE435" s="2" t="s">
        <v>5613</v>
      </c>
      <c r="BF435" s="2" t="s">
        <v>5614</v>
      </c>
    </row>
    <row r="436" spans="1:58" ht="50.25" customHeight="1" x14ac:dyDescent="0.25">
      <c r="A436" s="8" t="s">
        <v>5</v>
      </c>
      <c r="B436" s="1" t="s">
        <v>0</v>
      </c>
      <c r="C436" s="1" t="s">
        <v>1</v>
      </c>
      <c r="D436" s="1" t="s">
        <v>5615</v>
      </c>
      <c r="E436" s="1" t="s">
        <v>5616</v>
      </c>
      <c r="F436" s="1" t="s">
        <v>5617</v>
      </c>
      <c r="H436" s="2" t="s">
        <v>5</v>
      </c>
      <c r="I436" s="2" t="s">
        <v>6</v>
      </c>
      <c r="J436" s="2" t="s">
        <v>5</v>
      </c>
      <c r="K436" s="2" t="s">
        <v>5</v>
      </c>
      <c r="L436" s="2" t="s">
        <v>7</v>
      </c>
      <c r="M436" s="1" t="s">
        <v>5618</v>
      </c>
      <c r="N436" s="1" t="s">
        <v>4137</v>
      </c>
      <c r="O436" s="2" t="s">
        <v>389</v>
      </c>
      <c r="P436" s="1" t="s">
        <v>568</v>
      </c>
      <c r="Q436" s="2" t="s">
        <v>10</v>
      </c>
      <c r="R436" s="2" t="s">
        <v>77</v>
      </c>
      <c r="T436" s="2" t="s">
        <v>12</v>
      </c>
      <c r="U436" s="3">
        <v>10</v>
      </c>
      <c r="V436" s="3">
        <v>10</v>
      </c>
      <c r="W436" s="4" t="s">
        <v>5619</v>
      </c>
      <c r="X436" s="4" t="s">
        <v>5619</v>
      </c>
      <c r="Y436" s="4" t="s">
        <v>3648</v>
      </c>
      <c r="Z436" s="4" t="s">
        <v>3648</v>
      </c>
      <c r="AA436" s="3">
        <v>126</v>
      </c>
      <c r="AB436" s="3">
        <v>51</v>
      </c>
      <c r="AC436" s="3">
        <v>621</v>
      </c>
      <c r="AD436" s="3">
        <v>1</v>
      </c>
      <c r="AE436" s="3">
        <v>26</v>
      </c>
      <c r="AF436" s="3">
        <v>2</v>
      </c>
      <c r="AG436" s="3">
        <v>27</v>
      </c>
      <c r="AH436" s="3">
        <v>1</v>
      </c>
      <c r="AI436" s="3">
        <v>8</v>
      </c>
      <c r="AJ436" s="3">
        <v>0</v>
      </c>
      <c r="AK436" s="3">
        <v>4</v>
      </c>
      <c r="AL436" s="3">
        <v>1</v>
      </c>
      <c r="AM436" s="3">
        <v>9</v>
      </c>
      <c r="AN436" s="3">
        <v>0</v>
      </c>
      <c r="AO436" s="3">
        <v>11</v>
      </c>
      <c r="AP436" s="3">
        <v>0</v>
      </c>
      <c r="AQ436" s="3">
        <v>0</v>
      </c>
      <c r="AR436" s="2" t="s">
        <v>5</v>
      </c>
      <c r="AS436" s="2" t="s">
        <v>5</v>
      </c>
      <c r="AU436" s="5" t="str">
        <f>HYPERLINK("https://creighton-primo.hosted.exlibrisgroup.com/primo-explore/search?tab=default_tab&amp;search_scope=EVERYTHING&amp;vid=01CRU&amp;lang=en_US&amp;offset=0&amp;query=any,contains,991000413889702656","Catalog Record")</f>
        <v>Catalog Record</v>
      </c>
      <c r="AV436" s="5" t="str">
        <f>HYPERLINK("http://www.worldcat.org/oclc/52766664","WorldCat Record")</f>
        <v>WorldCat Record</v>
      </c>
      <c r="AW436" s="2" t="s">
        <v>5620</v>
      </c>
      <c r="AX436" s="2" t="s">
        <v>5621</v>
      </c>
      <c r="AY436" s="2" t="s">
        <v>5622</v>
      </c>
      <c r="AZ436" s="2" t="s">
        <v>5622</v>
      </c>
      <c r="BA436" s="2" t="s">
        <v>5623</v>
      </c>
      <c r="BB436" s="2" t="s">
        <v>19</v>
      </c>
      <c r="BD436" s="2" t="s">
        <v>5624</v>
      </c>
      <c r="BE436" s="2" t="s">
        <v>5625</v>
      </c>
      <c r="BF436" s="2" t="s">
        <v>5626</v>
      </c>
    </row>
    <row r="437" spans="1:58" ht="50.25" customHeight="1" x14ac:dyDescent="0.25">
      <c r="A437" s="8" t="s">
        <v>5</v>
      </c>
      <c r="B437" s="1" t="s">
        <v>0</v>
      </c>
      <c r="C437" s="1" t="s">
        <v>1</v>
      </c>
      <c r="D437" s="1" t="s">
        <v>5627</v>
      </c>
      <c r="E437" s="1" t="s">
        <v>5628</v>
      </c>
      <c r="F437" s="1" t="s">
        <v>5629</v>
      </c>
      <c r="H437" s="2" t="s">
        <v>5</v>
      </c>
      <c r="I437" s="2" t="s">
        <v>6</v>
      </c>
      <c r="J437" s="2" t="s">
        <v>5</v>
      </c>
      <c r="K437" s="2" t="s">
        <v>90</v>
      </c>
      <c r="L437" s="2" t="s">
        <v>6</v>
      </c>
      <c r="M437" s="1" t="s">
        <v>5630</v>
      </c>
      <c r="N437" s="1" t="s">
        <v>5631</v>
      </c>
      <c r="O437" s="2" t="s">
        <v>259</v>
      </c>
      <c r="P437" s="1" t="s">
        <v>568</v>
      </c>
      <c r="Q437" s="2" t="s">
        <v>10</v>
      </c>
      <c r="R437" s="2" t="s">
        <v>29</v>
      </c>
      <c r="T437" s="2" t="s">
        <v>12</v>
      </c>
      <c r="U437" s="3">
        <v>53</v>
      </c>
      <c r="V437" s="3">
        <v>53</v>
      </c>
      <c r="W437" s="4" t="s">
        <v>5632</v>
      </c>
      <c r="X437" s="4" t="s">
        <v>5632</v>
      </c>
      <c r="Y437" s="4" t="s">
        <v>5633</v>
      </c>
      <c r="Z437" s="4" t="s">
        <v>5633</v>
      </c>
      <c r="AA437" s="3">
        <v>247</v>
      </c>
      <c r="AB437" s="3">
        <v>186</v>
      </c>
      <c r="AC437" s="3">
        <v>521</v>
      </c>
      <c r="AD437" s="3">
        <v>2</v>
      </c>
      <c r="AE437" s="3">
        <v>3</v>
      </c>
      <c r="AF437" s="3">
        <v>8</v>
      </c>
      <c r="AG437" s="3">
        <v>20</v>
      </c>
      <c r="AH437" s="3">
        <v>4</v>
      </c>
      <c r="AI437" s="3">
        <v>8</v>
      </c>
      <c r="AJ437" s="3">
        <v>3</v>
      </c>
      <c r="AK437" s="3">
        <v>6</v>
      </c>
      <c r="AL437" s="3">
        <v>4</v>
      </c>
      <c r="AM437" s="3">
        <v>10</v>
      </c>
      <c r="AN437" s="3">
        <v>1</v>
      </c>
      <c r="AO437" s="3">
        <v>2</v>
      </c>
      <c r="AP437" s="3">
        <v>0</v>
      </c>
      <c r="AQ437" s="3">
        <v>0</v>
      </c>
      <c r="AR437" s="2" t="s">
        <v>5</v>
      </c>
      <c r="AS437" s="2" t="s">
        <v>90</v>
      </c>
      <c r="AT437" s="5" t="str">
        <f>HYPERLINK("http://catalog.hathitrust.org/Record/002728440","HathiTrust Record")</f>
        <v>HathiTrust Record</v>
      </c>
      <c r="AU437" s="5" t="str">
        <f>HYPERLINK("https://creighton-primo.hosted.exlibrisgroup.com/primo-explore/search?tab=default_tab&amp;search_scope=EVERYTHING&amp;vid=01CRU&amp;lang=en_US&amp;offset=0&amp;query=any,contains,991000489749702656","Catalog Record")</f>
        <v>Catalog Record</v>
      </c>
      <c r="AV437" s="5" t="str">
        <f>HYPERLINK("http://www.worldcat.org/oclc/29288694","WorldCat Record")</f>
        <v>WorldCat Record</v>
      </c>
      <c r="AW437" s="2" t="s">
        <v>5634</v>
      </c>
      <c r="AX437" s="2" t="s">
        <v>5635</v>
      </c>
      <c r="AY437" s="2" t="s">
        <v>5636</v>
      </c>
      <c r="AZ437" s="2" t="s">
        <v>5636</v>
      </c>
      <c r="BA437" s="2" t="s">
        <v>5637</v>
      </c>
      <c r="BB437" s="2" t="s">
        <v>19</v>
      </c>
      <c r="BD437" s="2" t="s">
        <v>5638</v>
      </c>
      <c r="BE437" s="2" t="s">
        <v>5639</v>
      </c>
      <c r="BF437" s="2" t="s">
        <v>5640</v>
      </c>
    </row>
    <row r="438" spans="1:58" ht="50.25" customHeight="1" x14ac:dyDescent="0.25">
      <c r="A438" s="8" t="s">
        <v>5</v>
      </c>
      <c r="B438" s="1" t="s">
        <v>0</v>
      </c>
      <c r="C438" s="1" t="s">
        <v>1</v>
      </c>
      <c r="D438" s="1" t="s">
        <v>5641</v>
      </c>
      <c r="E438" s="1" t="s">
        <v>5642</v>
      </c>
      <c r="F438" s="1" t="s">
        <v>5643</v>
      </c>
      <c r="H438" s="2" t="s">
        <v>5</v>
      </c>
      <c r="I438" s="2" t="s">
        <v>6</v>
      </c>
      <c r="J438" s="2" t="s">
        <v>5</v>
      </c>
      <c r="K438" s="2" t="s">
        <v>90</v>
      </c>
      <c r="L438" s="2" t="s">
        <v>7</v>
      </c>
      <c r="M438" s="1" t="s">
        <v>5644</v>
      </c>
      <c r="N438" s="1" t="s">
        <v>5645</v>
      </c>
      <c r="O438" s="2" t="s">
        <v>489</v>
      </c>
      <c r="P438" s="1" t="s">
        <v>568</v>
      </c>
      <c r="Q438" s="2" t="s">
        <v>10</v>
      </c>
      <c r="R438" s="2" t="s">
        <v>11</v>
      </c>
      <c r="T438" s="2" t="s">
        <v>12</v>
      </c>
      <c r="U438" s="3">
        <v>3</v>
      </c>
      <c r="V438" s="3">
        <v>3</v>
      </c>
      <c r="W438" s="4" t="s">
        <v>5646</v>
      </c>
      <c r="X438" s="4" t="s">
        <v>5646</v>
      </c>
      <c r="Y438" s="4" t="s">
        <v>5647</v>
      </c>
      <c r="Z438" s="4" t="s">
        <v>5647</v>
      </c>
      <c r="AA438" s="3">
        <v>682</v>
      </c>
      <c r="AB438" s="3">
        <v>493</v>
      </c>
      <c r="AC438" s="3">
        <v>664</v>
      </c>
      <c r="AD438" s="3">
        <v>6</v>
      </c>
      <c r="AE438" s="3">
        <v>6</v>
      </c>
      <c r="AF438" s="3">
        <v>25</v>
      </c>
      <c r="AG438" s="3">
        <v>28</v>
      </c>
      <c r="AH438" s="3">
        <v>9</v>
      </c>
      <c r="AI438" s="3">
        <v>9</v>
      </c>
      <c r="AJ438" s="3">
        <v>7</v>
      </c>
      <c r="AK438" s="3">
        <v>8</v>
      </c>
      <c r="AL438" s="3">
        <v>11</v>
      </c>
      <c r="AM438" s="3">
        <v>13</v>
      </c>
      <c r="AN438" s="3">
        <v>5</v>
      </c>
      <c r="AO438" s="3">
        <v>5</v>
      </c>
      <c r="AP438" s="3">
        <v>0</v>
      </c>
      <c r="AQ438" s="3">
        <v>0</v>
      </c>
      <c r="AR438" s="2" t="s">
        <v>5</v>
      </c>
      <c r="AS438" s="2" t="s">
        <v>5</v>
      </c>
      <c r="AU438" s="5" t="str">
        <f>HYPERLINK("https://creighton-primo.hosted.exlibrisgroup.com/primo-explore/search?tab=default_tab&amp;search_scope=EVERYTHING&amp;vid=01CRU&amp;lang=en_US&amp;offset=0&amp;query=any,contains,991000337699702656","Catalog Record")</f>
        <v>Catalog Record</v>
      </c>
      <c r="AV438" s="5" t="str">
        <f>HYPERLINK("http://www.worldcat.org/oclc/41951204","WorldCat Record")</f>
        <v>WorldCat Record</v>
      </c>
      <c r="AW438" s="2" t="s">
        <v>5648</v>
      </c>
      <c r="AX438" s="2" t="s">
        <v>5649</v>
      </c>
      <c r="AY438" s="2" t="s">
        <v>5650</v>
      </c>
      <c r="AZ438" s="2" t="s">
        <v>5650</v>
      </c>
      <c r="BA438" s="2" t="s">
        <v>5651</v>
      </c>
      <c r="BB438" s="2" t="s">
        <v>19</v>
      </c>
      <c r="BD438" s="2" t="s">
        <v>5652</v>
      </c>
      <c r="BE438" s="2" t="s">
        <v>5653</v>
      </c>
      <c r="BF438" s="2" t="s">
        <v>5654</v>
      </c>
    </row>
    <row r="439" spans="1:58" ht="50.25" customHeight="1" x14ac:dyDescent="0.25">
      <c r="A439" s="8" t="s">
        <v>5</v>
      </c>
      <c r="B439" s="1" t="s">
        <v>0</v>
      </c>
      <c r="C439" s="1" t="s">
        <v>1</v>
      </c>
      <c r="D439" s="1" t="s">
        <v>5655</v>
      </c>
      <c r="E439" s="1" t="s">
        <v>5656</v>
      </c>
      <c r="F439" s="1" t="s">
        <v>5657</v>
      </c>
      <c r="H439" s="2" t="s">
        <v>5</v>
      </c>
      <c r="I439" s="2" t="s">
        <v>6</v>
      </c>
      <c r="J439" s="2" t="s">
        <v>5</v>
      </c>
      <c r="K439" s="2" t="s">
        <v>5</v>
      </c>
      <c r="L439" s="2" t="s">
        <v>7</v>
      </c>
      <c r="M439" s="1" t="s">
        <v>5658</v>
      </c>
      <c r="N439" s="1" t="s">
        <v>5659</v>
      </c>
      <c r="O439" s="2" t="s">
        <v>198</v>
      </c>
      <c r="Q439" s="2" t="s">
        <v>10</v>
      </c>
      <c r="R439" s="2" t="s">
        <v>2850</v>
      </c>
      <c r="T439" s="2" t="s">
        <v>12</v>
      </c>
      <c r="U439" s="3">
        <v>14</v>
      </c>
      <c r="V439" s="3">
        <v>14</v>
      </c>
      <c r="W439" s="4" t="s">
        <v>5660</v>
      </c>
      <c r="X439" s="4" t="s">
        <v>5660</v>
      </c>
      <c r="Y439" s="4" t="s">
        <v>5661</v>
      </c>
      <c r="Z439" s="4" t="s">
        <v>5661</v>
      </c>
      <c r="AA439" s="3">
        <v>264</v>
      </c>
      <c r="AB439" s="3">
        <v>193</v>
      </c>
      <c r="AC439" s="3">
        <v>195</v>
      </c>
      <c r="AD439" s="3">
        <v>1</v>
      </c>
      <c r="AE439" s="3">
        <v>1</v>
      </c>
      <c r="AF439" s="3">
        <v>2</v>
      </c>
      <c r="AG439" s="3">
        <v>2</v>
      </c>
      <c r="AH439" s="3">
        <v>1</v>
      </c>
      <c r="AI439" s="3">
        <v>1</v>
      </c>
      <c r="AJ439" s="3">
        <v>0</v>
      </c>
      <c r="AK439" s="3">
        <v>0</v>
      </c>
      <c r="AL439" s="3">
        <v>1</v>
      </c>
      <c r="AM439" s="3">
        <v>1</v>
      </c>
      <c r="AN439" s="3">
        <v>0</v>
      </c>
      <c r="AO439" s="3">
        <v>0</v>
      </c>
      <c r="AP439" s="3">
        <v>0</v>
      </c>
      <c r="AQ439" s="3">
        <v>0</v>
      </c>
      <c r="AR439" s="2" t="s">
        <v>5</v>
      </c>
      <c r="AS439" s="2" t="s">
        <v>90</v>
      </c>
      <c r="AT439" s="5" t="str">
        <f>HYPERLINK("http://catalog.hathitrust.org/Record/000613888","HathiTrust Record")</f>
        <v>HathiTrust Record</v>
      </c>
      <c r="AU439" s="5" t="str">
        <f>HYPERLINK("https://creighton-primo.hosted.exlibrisgroup.com/primo-explore/search?tab=default_tab&amp;search_scope=EVERYTHING&amp;vid=01CRU&amp;lang=en_US&amp;offset=0&amp;query=any,contains,991001468659702656","Catalog Record")</f>
        <v>Catalog Record</v>
      </c>
      <c r="AV439" s="5" t="str">
        <f>HYPERLINK("http://www.worldcat.org/oclc/10800689","WorldCat Record")</f>
        <v>WorldCat Record</v>
      </c>
      <c r="AW439" s="2" t="s">
        <v>5662</v>
      </c>
      <c r="AX439" s="2" t="s">
        <v>5663</v>
      </c>
      <c r="AY439" s="2" t="s">
        <v>5664</v>
      </c>
      <c r="AZ439" s="2" t="s">
        <v>5664</v>
      </c>
      <c r="BA439" s="2" t="s">
        <v>5665</v>
      </c>
      <c r="BB439" s="2" t="s">
        <v>19</v>
      </c>
      <c r="BD439" s="2" t="s">
        <v>5666</v>
      </c>
      <c r="BE439" s="2" t="s">
        <v>5667</v>
      </c>
      <c r="BF439" s="2" t="s">
        <v>5668</v>
      </c>
    </row>
    <row r="440" spans="1:58" ht="50.25" customHeight="1" x14ac:dyDescent="0.25">
      <c r="A440" s="8" t="s">
        <v>5</v>
      </c>
      <c r="B440" s="1" t="s">
        <v>0</v>
      </c>
      <c r="C440" s="1" t="s">
        <v>1</v>
      </c>
      <c r="D440" s="1" t="s">
        <v>5669</v>
      </c>
      <c r="E440" s="1" t="s">
        <v>5670</v>
      </c>
      <c r="F440" s="1" t="s">
        <v>5671</v>
      </c>
      <c r="H440" s="2" t="s">
        <v>5</v>
      </c>
      <c r="I440" s="2" t="s">
        <v>6</v>
      </c>
      <c r="J440" s="2" t="s">
        <v>5</v>
      </c>
      <c r="K440" s="2" t="s">
        <v>5</v>
      </c>
      <c r="L440" s="2" t="s">
        <v>7</v>
      </c>
      <c r="M440" s="1" t="s">
        <v>5658</v>
      </c>
      <c r="N440" s="1" t="s">
        <v>5672</v>
      </c>
      <c r="O440" s="2" t="s">
        <v>596</v>
      </c>
      <c r="Q440" s="2" t="s">
        <v>10</v>
      </c>
      <c r="R440" s="2" t="s">
        <v>29</v>
      </c>
      <c r="T440" s="2" t="s">
        <v>12</v>
      </c>
      <c r="U440" s="3">
        <v>8</v>
      </c>
      <c r="V440" s="3">
        <v>8</v>
      </c>
      <c r="W440" s="4" t="s">
        <v>5673</v>
      </c>
      <c r="X440" s="4" t="s">
        <v>5673</v>
      </c>
      <c r="Y440" s="4" t="s">
        <v>2900</v>
      </c>
      <c r="Z440" s="4" t="s">
        <v>2900</v>
      </c>
      <c r="AA440" s="3">
        <v>170</v>
      </c>
      <c r="AB440" s="3">
        <v>114</v>
      </c>
      <c r="AC440" s="3">
        <v>334</v>
      </c>
      <c r="AD440" s="3">
        <v>1</v>
      </c>
      <c r="AE440" s="3">
        <v>1</v>
      </c>
      <c r="AF440" s="3">
        <v>1</v>
      </c>
      <c r="AG440" s="3">
        <v>14</v>
      </c>
      <c r="AH440" s="3">
        <v>0</v>
      </c>
      <c r="AI440" s="3">
        <v>7</v>
      </c>
      <c r="AJ440" s="3">
        <v>0</v>
      </c>
      <c r="AK440" s="3">
        <v>4</v>
      </c>
      <c r="AL440" s="3">
        <v>1</v>
      </c>
      <c r="AM440" s="3">
        <v>8</v>
      </c>
      <c r="AN440" s="3">
        <v>0</v>
      </c>
      <c r="AO440" s="3">
        <v>0</v>
      </c>
      <c r="AP440" s="3">
        <v>0</v>
      </c>
      <c r="AQ440" s="3">
        <v>0</v>
      </c>
      <c r="AR440" s="2" t="s">
        <v>5</v>
      </c>
      <c r="AS440" s="2" t="s">
        <v>5</v>
      </c>
      <c r="AU440" s="5" t="str">
        <f>HYPERLINK("https://creighton-primo.hosted.exlibrisgroup.com/primo-explore/search?tab=default_tab&amp;search_scope=EVERYTHING&amp;vid=01CRU&amp;lang=en_US&amp;offset=0&amp;query=any,contains,991001537189702656","Catalog Record")</f>
        <v>Catalog Record</v>
      </c>
      <c r="AV440" s="5" t="str">
        <f>HYPERLINK("http://www.worldcat.org/oclc/15015039","WorldCat Record")</f>
        <v>WorldCat Record</v>
      </c>
      <c r="AW440" s="2" t="s">
        <v>5674</v>
      </c>
      <c r="AX440" s="2" t="s">
        <v>5675</v>
      </c>
      <c r="AY440" s="2" t="s">
        <v>5676</v>
      </c>
      <c r="AZ440" s="2" t="s">
        <v>5676</v>
      </c>
      <c r="BA440" s="2" t="s">
        <v>5677</v>
      </c>
      <c r="BB440" s="2" t="s">
        <v>19</v>
      </c>
      <c r="BD440" s="2" t="s">
        <v>5678</v>
      </c>
      <c r="BE440" s="2" t="s">
        <v>5679</v>
      </c>
      <c r="BF440" s="2" t="s">
        <v>5680</v>
      </c>
    </row>
    <row r="441" spans="1:58" ht="50.25" customHeight="1" x14ac:dyDescent="0.25">
      <c r="A441" s="8" t="s">
        <v>5</v>
      </c>
      <c r="B441" s="1" t="s">
        <v>0</v>
      </c>
      <c r="C441" s="1" t="s">
        <v>1</v>
      </c>
      <c r="D441" s="1" t="s">
        <v>5681</v>
      </c>
      <c r="E441" s="1" t="s">
        <v>5682</v>
      </c>
      <c r="F441" s="1" t="s">
        <v>5683</v>
      </c>
      <c r="H441" s="2" t="s">
        <v>5</v>
      </c>
      <c r="I441" s="2" t="s">
        <v>6</v>
      </c>
      <c r="J441" s="2" t="s">
        <v>5</v>
      </c>
      <c r="K441" s="2" t="s">
        <v>5</v>
      </c>
      <c r="L441" s="2" t="s">
        <v>6</v>
      </c>
      <c r="M441" s="1" t="s">
        <v>5684</v>
      </c>
      <c r="N441" s="1" t="s">
        <v>1634</v>
      </c>
      <c r="O441" s="2" t="s">
        <v>680</v>
      </c>
      <c r="P441" s="1" t="s">
        <v>541</v>
      </c>
      <c r="Q441" s="2" t="s">
        <v>10</v>
      </c>
      <c r="R441" s="2" t="s">
        <v>110</v>
      </c>
      <c r="T441" s="2" t="s">
        <v>12</v>
      </c>
      <c r="U441" s="3">
        <v>1</v>
      </c>
      <c r="V441" s="3">
        <v>1</v>
      </c>
      <c r="W441" s="4" t="s">
        <v>5685</v>
      </c>
      <c r="X441" s="4" t="s">
        <v>5685</v>
      </c>
      <c r="Y441" s="4" t="s">
        <v>5032</v>
      </c>
      <c r="Z441" s="4" t="s">
        <v>5032</v>
      </c>
      <c r="AA441" s="3">
        <v>407</v>
      </c>
      <c r="AB441" s="3">
        <v>245</v>
      </c>
      <c r="AC441" s="3">
        <v>985</v>
      </c>
      <c r="AD441" s="3">
        <v>2</v>
      </c>
      <c r="AE441" s="3">
        <v>14</v>
      </c>
      <c r="AF441" s="3">
        <v>10</v>
      </c>
      <c r="AG441" s="3">
        <v>42</v>
      </c>
      <c r="AH441" s="3">
        <v>2</v>
      </c>
      <c r="AI441" s="3">
        <v>10</v>
      </c>
      <c r="AJ441" s="3">
        <v>2</v>
      </c>
      <c r="AK441" s="3">
        <v>8</v>
      </c>
      <c r="AL441" s="3">
        <v>7</v>
      </c>
      <c r="AM441" s="3">
        <v>18</v>
      </c>
      <c r="AN441" s="3">
        <v>1</v>
      </c>
      <c r="AO441" s="3">
        <v>12</v>
      </c>
      <c r="AP441" s="3">
        <v>0</v>
      </c>
      <c r="AQ441" s="3">
        <v>1</v>
      </c>
      <c r="AR441" s="2" t="s">
        <v>5</v>
      </c>
      <c r="AS441" s="2" t="s">
        <v>5</v>
      </c>
      <c r="AU441" s="5" t="str">
        <f>HYPERLINK("https://creighton-primo.hosted.exlibrisgroup.com/primo-explore/search?tab=default_tab&amp;search_scope=EVERYTHING&amp;vid=01CRU&amp;lang=en_US&amp;offset=0&amp;query=any,contains,991000567029702656","Catalog Record")</f>
        <v>Catalog Record</v>
      </c>
      <c r="AV441" s="5" t="str">
        <f>HYPERLINK("http://www.worldcat.org/oclc/57251369","WorldCat Record")</f>
        <v>WorldCat Record</v>
      </c>
      <c r="AW441" s="2" t="s">
        <v>5686</v>
      </c>
      <c r="AX441" s="2" t="s">
        <v>5687</v>
      </c>
      <c r="AY441" s="2" t="s">
        <v>5688</v>
      </c>
      <c r="AZ441" s="2" t="s">
        <v>5688</v>
      </c>
      <c r="BA441" s="2" t="s">
        <v>5689</v>
      </c>
      <c r="BB441" s="2" t="s">
        <v>19</v>
      </c>
      <c r="BD441" s="2" t="s">
        <v>5690</v>
      </c>
      <c r="BE441" s="2" t="s">
        <v>5691</v>
      </c>
      <c r="BF441" s="2" t="s">
        <v>5692</v>
      </c>
    </row>
    <row r="442" spans="1:58" ht="50.25" customHeight="1" x14ac:dyDescent="0.25">
      <c r="A442" s="8" t="s">
        <v>5</v>
      </c>
      <c r="B442" s="1" t="s">
        <v>0</v>
      </c>
      <c r="C442" s="1" t="s">
        <v>1</v>
      </c>
      <c r="D442" s="1" t="s">
        <v>5693</v>
      </c>
      <c r="E442" s="1" t="s">
        <v>5694</v>
      </c>
      <c r="F442" s="1" t="s">
        <v>5695</v>
      </c>
      <c r="H442" s="2" t="s">
        <v>5</v>
      </c>
      <c r="I442" s="2" t="s">
        <v>6</v>
      </c>
      <c r="J442" s="2" t="s">
        <v>5</v>
      </c>
      <c r="K442" s="2" t="s">
        <v>5</v>
      </c>
      <c r="L442" s="2" t="s">
        <v>7</v>
      </c>
      <c r="N442" s="1" t="s">
        <v>5696</v>
      </c>
      <c r="O442" s="2" t="s">
        <v>213</v>
      </c>
      <c r="Q442" s="2" t="s">
        <v>10</v>
      </c>
      <c r="R442" s="2" t="s">
        <v>77</v>
      </c>
      <c r="S442" s="1" t="s">
        <v>3444</v>
      </c>
      <c r="T442" s="2" t="s">
        <v>12</v>
      </c>
      <c r="U442" s="3">
        <v>5</v>
      </c>
      <c r="V442" s="3">
        <v>5</v>
      </c>
      <c r="W442" s="4" t="s">
        <v>5697</v>
      </c>
      <c r="X442" s="4" t="s">
        <v>5697</v>
      </c>
      <c r="Y442" s="4" t="s">
        <v>1178</v>
      </c>
      <c r="Z442" s="4" t="s">
        <v>1178</v>
      </c>
      <c r="AA442" s="3">
        <v>199</v>
      </c>
      <c r="AB442" s="3">
        <v>117</v>
      </c>
      <c r="AC442" s="3">
        <v>203</v>
      </c>
      <c r="AD442" s="3">
        <v>3</v>
      </c>
      <c r="AE442" s="3">
        <v>3</v>
      </c>
      <c r="AF442" s="3">
        <v>3</v>
      </c>
      <c r="AG442" s="3">
        <v>7</v>
      </c>
      <c r="AH442" s="3">
        <v>0</v>
      </c>
      <c r="AI442" s="3">
        <v>0</v>
      </c>
      <c r="AJ442" s="3">
        <v>0</v>
      </c>
      <c r="AK442" s="3">
        <v>4</v>
      </c>
      <c r="AL442" s="3">
        <v>1</v>
      </c>
      <c r="AM442" s="3">
        <v>2</v>
      </c>
      <c r="AN442" s="3">
        <v>2</v>
      </c>
      <c r="AO442" s="3">
        <v>2</v>
      </c>
      <c r="AP442" s="3">
        <v>0</v>
      </c>
      <c r="AQ442" s="3">
        <v>0</v>
      </c>
      <c r="AR442" s="2" t="s">
        <v>5</v>
      </c>
      <c r="AS442" s="2" t="s">
        <v>90</v>
      </c>
      <c r="AT442" s="5" t="str">
        <f>HYPERLINK("http://catalog.hathitrust.org/Record/004550367","HathiTrust Record")</f>
        <v>HathiTrust Record</v>
      </c>
      <c r="AU442" s="5" t="str">
        <f>HYPERLINK("https://creighton-primo.hosted.exlibrisgroup.com/primo-explore/search?tab=default_tab&amp;search_scope=EVERYTHING&amp;vid=01CRU&amp;lang=en_US&amp;offset=0&amp;query=any,contains,991000644989702656","Catalog Record")</f>
        <v>Catalog Record</v>
      </c>
      <c r="AV442" s="5" t="str">
        <f>HYPERLINK("http://www.worldcat.org/oclc/25594091","WorldCat Record")</f>
        <v>WorldCat Record</v>
      </c>
      <c r="AW442" s="2" t="s">
        <v>5698</v>
      </c>
      <c r="AX442" s="2" t="s">
        <v>5699</v>
      </c>
      <c r="AY442" s="2" t="s">
        <v>5700</v>
      </c>
      <c r="AZ442" s="2" t="s">
        <v>5700</v>
      </c>
      <c r="BA442" s="2" t="s">
        <v>5701</v>
      </c>
      <c r="BB442" s="2" t="s">
        <v>19</v>
      </c>
      <c r="BD442" s="2" t="s">
        <v>5702</v>
      </c>
      <c r="BE442" s="2" t="s">
        <v>5703</v>
      </c>
      <c r="BF442" s="2" t="s">
        <v>5704</v>
      </c>
    </row>
    <row r="443" spans="1:58" ht="50.25" customHeight="1" x14ac:dyDescent="0.25">
      <c r="A443" s="8" t="s">
        <v>5</v>
      </c>
      <c r="B443" s="1" t="s">
        <v>0</v>
      </c>
      <c r="C443" s="1" t="s">
        <v>1</v>
      </c>
      <c r="D443" s="1" t="s">
        <v>5705</v>
      </c>
      <c r="E443" s="1" t="s">
        <v>5706</v>
      </c>
      <c r="F443" s="1" t="s">
        <v>5707</v>
      </c>
      <c r="H443" s="2" t="s">
        <v>5</v>
      </c>
      <c r="I443" s="2" t="s">
        <v>6</v>
      </c>
      <c r="J443" s="2" t="s">
        <v>5</v>
      </c>
      <c r="K443" s="2" t="s">
        <v>90</v>
      </c>
      <c r="L443" s="2" t="s">
        <v>7</v>
      </c>
      <c r="M443" s="1" t="s">
        <v>5708</v>
      </c>
      <c r="N443" s="1" t="s">
        <v>5709</v>
      </c>
      <c r="O443" s="2" t="s">
        <v>213</v>
      </c>
      <c r="P443" s="1" t="s">
        <v>404</v>
      </c>
      <c r="Q443" s="2" t="s">
        <v>10</v>
      </c>
      <c r="R443" s="2" t="s">
        <v>11</v>
      </c>
      <c r="T443" s="2" t="s">
        <v>12</v>
      </c>
      <c r="U443" s="3">
        <v>18</v>
      </c>
      <c r="V443" s="3">
        <v>18</v>
      </c>
      <c r="W443" s="4" t="s">
        <v>5710</v>
      </c>
      <c r="X443" s="4" t="s">
        <v>5710</v>
      </c>
      <c r="Y443" s="4" t="s">
        <v>5711</v>
      </c>
      <c r="Z443" s="4" t="s">
        <v>5711</v>
      </c>
      <c r="AA443" s="3">
        <v>316</v>
      </c>
      <c r="AB443" s="3">
        <v>259</v>
      </c>
      <c r="AC443" s="3">
        <v>899</v>
      </c>
      <c r="AD443" s="3">
        <v>1</v>
      </c>
      <c r="AE443" s="3">
        <v>4</v>
      </c>
      <c r="AF443" s="3">
        <v>6</v>
      </c>
      <c r="AG443" s="3">
        <v>29</v>
      </c>
      <c r="AH443" s="3">
        <v>3</v>
      </c>
      <c r="AI443" s="3">
        <v>14</v>
      </c>
      <c r="AJ443" s="3">
        <v>2</v>
      </c>
      <c r="AK443" s="3">
        <v>8</v>
      </c>
      <c r="AL443" s="3">
        <v>5</v>
      </c>
      <c r="AM443" s="3">
        <v>11</v>
      </c>
      <c r="AN443" s="3">
        <v>0</v>
      </c>
      <c r="AO443" s="3">
        <v>3</v>
      </c>
      <c r="AP443" s="3">
        <v>0</v>
      </c>
      <c r="AQ443" s="3">
        <v>1</v>
      </c>
      <c r="AR443" s="2" t="s">
        <v>5</v>
      </c>
      <c r="AS443" s="2" t="s">
        <v>90</v>
      </c>
      <c r="AT443" s="5" t="str">
        <f>HYPERLINK("http://catalog.hathitrust.org/Record/002549979","HathiTrust Record")</f>
        <v>HathiTrust Record</v>
      </c>
      <c r="AU443" s="5" t="str">
        <f>HYPERLINK("https://creighton-primo.hosted.exlibrisgroup.com/primo-explore/search?tab=default_tab&amp;search_scope=EVERYTHING&amp;vid=01CRU&amp;lang=en_US&amp;offset=0&amp;query=any,contains,991001428839702656","Catalog Record")</f>
        <v>Catalog Record</v>
      </c>
      <c r="AV443" s="5" t="str">
        <f>HYPERLINK("http://www.worldcat.org/oclc/25009601","WorldCat Record")</f>
        <v>WorldCat Record</v>
      </c>
      <c r="AW443" s="2" t="s">
        <v>5712</v>
      </c>
      <c r="AX443" s="2" t="s">
        <v>5713</v>
      </c>
      <c r="AY443" s="2" t="s">
        <v>5714</v>
      </c>
      <c r="AZ443" s="2" t="s">
        <v>5714</v>
      </c>
      <c r="BA443" s="2" t="s">
        <v>5715</v>
      </c>
      <c r="BB443" s="2" t="s">
        <v>19</v>
      </c>
      <c r="BD443" s="2" t="s">
        <v>5716</v>
      </c>
      <c r="BE443" s="2" t="s">
        <v>5717</v>
      </c>
      <c r="BF443" s="2" t="s">
        <v>5718</v>
      </c>
    </row>
    <row r="444" spans="1:58" ht="50.25" customHeight="1" x14ac:dyDescent="0.25">
      <c r="A444" s="8" t="s">
        <v>5</v>
      </c>
      <c r="B444" s="1" t="s">
        <v>0</v>
      </c>
      <c r="C444" s="1" t="s">
        <v>1</v>
      </c>
      <c r="D444" s="1" t="s">
        <v>5719</v>
      </c>
      <c r="E444" s="1" t="s">
        <v>5720</v>
      </c>
      <c r="F444" s="1" t="s">
        <v>5721</v>
      </c>
      <c r="H444" s="2" t="s">
        <v>5</v>
      </c>
      <c r="I444" s="2" t="s">
        <v>6</v>
      </c>
      <c r="J444" s="2" t="s">
        <v>90</v>
      </c>
      <c r="K444" s="2" t="s">
        <v>90</v>
      </c>
      <c r="L444" s="2" t="s">
        <v>7</v>
      </c>
      <c r="M444" s="1" t="s">
        <v>5722</v>
      </c>
      <c r="N444" s="1" t="s">
        <v>5723</v>
      </c>
      <c r="O444" s="2" t="s">
        <v>2963</v>
      </c>
      <c r="Q444" s="2" t="s">
        <v>10</v>
      </c>
      <c r="R444" s="2" t="s">
        <v>5367</v>
      </c>
      <c r="T444" s="2" t="s">
        <v>12</v>
      </c>
      <c r="U444" s="3">
        <v>2</v>
      </c>
      <c r="V444" s="3">
        <v>3</v>
      </c>
      <c r="W444" s="4" t="s">
        <v>5724</v>
      </c>
      <c r="X444" s="4" t="s">
        <v>5724</v>
      </c>
      <c r="Y444" s="4" t="s">
        <v>5724</v>
      </c>
      <c r="Z444" s="4" t="s">
        <v>5724</v>
      </c>
      <c r="AA444" s="3">
        <v>1</v>
      </c>
      <c r="AB444" s="3">
        <v>1</v>
      </c>
      <c r="AC444" s="3">
        <v>1</v>
      </c>
      <c r="AD444" s="3">
        <v>1</v>
      </c>
      <c r="AE444" s="3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2" t="s">
        <v>5</v>
      </c>
      <c r="AS444" s="2" t="s">
        <v>5</v>
      </c>
      <c r="AU444" s="5" t="str">
        <f>HYPERLINK("https://creighton-primo.hosted.exlibrisgroup.com/primo-explore/search?tab=default_tab&amp;search_scope=EVERYTHING&amp;vid=01CRU&amp;lang=en_US&amp;offset=0&amp;query=any,contains,991001307839702656","Catalog Record")</f>
        <v>Catalog Record</v>
      </c>
      <c r="AV444" s="5" t="str">
        <f>HYPERLINK("http://www.worldcat.org/oclc/23907334","WorldCat Record")</f>
        <v>WorldCat Record</v>
      </c>
      <c r="AW444" s="2" t="s">
        <v>5725</v>
      </c>
      <c r="AX444" s="2" t="s">
        <v>5726</v>
      </c>
      <c r="AY444" s="2" t="s">
        <v>5727</v>
      </c>
      <c r="AZ444" s="2" t="s">
        <v>5727</v>
      </c>
      <c r="BA444" s="2" t="s">
        <v>5728</v>
      </c>
      <c r="BB444" s="2" t="s">
        <v>19</v>
      </c>
      <c r="BE444" s="2" t="s">
        <v>5729</v>
      </c>
      <c r="BF444" s="2" t="s">
        <v>5730</v>
      </c>
    </row>
    <row r="445" spans="1:58" ht="50.25" customHeight="1" x14ac:dyDescent="0.25">
      <c r="A445" s="8" t="s">
        <v>5</v>
      </c>
      <c r="B445" s="1" t="s">
        <v>0</v>
      </c>
      <c r="C445" s="1" t="s">
        <v>1</v>
      </c>
      <c r="D445" s="1" t="s">
        <v>5731</v>
      </c>
      <c r="E445" s="1" t="s">
        <v>5732</v>
      </c>
      <c r="F445" s="1" t="s">
        <v>5721</v>
      </c>
      <c r="H445" s="2" t="s">
        <v>5</v>
      </c>
      <c r="I445" s="2" t="s">
        <v>6</v>
      </c>
      <c r="J445" s="2" t="s">
        <v>90</v>
      </c>
      <c r="K445" s="2" t="s">
        <v>90</v>
      </c>
      <c r="L445" s="2" t="s">
        <v>7</v>
      </c>
      <c r="M445" s="1" t="s">
        <v>5722</v>
      </c>
      <c r="N445" s="1" t="s">
        <v>5723</v>
      </c>
      <c r="O445" s="2" t="s">
        <v>2963</v>
      </c>
      <c r="Q445" s="2" t="s">
        <v>10</v>
      </c>
      <c r="R445" s="2" t="s">
        <v>5367</v>
      </c>
      <c r="T445" s="2" t="s">
        <v>12</v>
      </c>
      <c r="U445" s="3">
        <v>1</v>
      </c>
      <c r="V445" s="3">
        <v>3</v>
      </c>
      <c r="X445" s="4" t="s">
        <v>5724</v>
      </c>
      <c r="Y445" s="4" t="s">
        <v>5733</v>
      </c>
      <c r="Z445" s="4" t="s">
        <v>5724</v>
      </c>
      <c r="AA445" s="3">
        <v>1</v>
      </c>
      <c r="AB445" s="3">
        <v>1</v>
      </c>
      <c r="AC445" s="3">
        <v>1</v>
      </c>
      <c r="AD445" s="3">
        <v>1</v>
      </c>
      <c r="AE445" s="3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2" t="s">
        <v>5</v>
      </c>
      <c r="AS445" s="2" t="s">
        <v>5</v>
      </c>
      <c r="AU445" s="5" t="str">
        <f>HYPERLINK("https://creighton-primo.hosted.exlibrisgroup.com/primo-explore/search?tab=default_tab&amp;search_scope=EVERYTHING&amp;vid=01CRU&amp;lang=en_US&amp;offset=0&amp;query=any,contains,991001307839702656","Catalog Record")</f>
        <v>Catalog Record</v>
      </c>
      <c r="AV445" s="5" t="str">
        <f>HYPERLINK("http://www.worldcat.org/oclc/23907334","WorldCat Record")</f>
        <v>WorldCat Record</v>
      </c>
      <c r="AW445" s="2" t="s">
        <v>5725</v>
      </c>
      <c r="AX445" s="2" t="s">
        <v>5726</v>
      </c>
      <c r="AY445" s="2" t="s">
        <v>5727</v>
      </c>
      <c r="AZ445" s="2" t="s">
        <v>5727</v>
      </c>
      <c r="BA445" s="2" t="s">
        <v>5728</v>
      </c>
      <c r="BB445" s="2" t="s">
        <v>19</v>
      </c>
      <c r="BE445" s="2" t="s">
        <v>5734</v>
      </c>
      <c r="BF445" s="2" t="s">
        <v>5735</v>
      </c>
    </row>
    <row r="446" spans="1:58" ht="50.25" customHeight="1" x14ac:dyDescent="0.25">
      <c r="A446" s="8" t="s">
        <v>5</v>
      </c>
      <c r="B446" s="1" t="s">
        <v>0</v>
      </c>
      <c r="C446" s="1" t="s">
        <v>1</v>
      </c>
      <c r="D446" s="1" t="s">
        <v>5736</v>
      </c>
      <c r="E446" s="1" t="s">
        <v>5737</v>
      </c>
      <c r="F446" s="1" t="s">
        <v>5721</v>
      </c>
      <c r="G446" s="2" t="s">
        <v>822</v>
      </c>
      <c r="H446" s="2" t="s">
        <v>90</v>
      </c>
      <c r="I446" s="2" t="s">
        <v>6</v>
      </c>
      <c r="J446" s="2" t="s">
        <v>5</v>
      </c>
      <c r="K446" s="2" t="s">
        <v>90</v>
      </c>
      <c r="L446" s="2" t="s">
        <v>7</v>
      </c>
      <c r="M446" s="1" t="s">
        <v>5722</v>
      </c>
      <c r="N446" s="1" t="s">
        <v>5738</v>
      </c>
      <c r="O446" s="2" t="s">
        <v>198</v>
      </c>
      <c r="Q446" s="2" t="s">
        <v>10</v>
      </c>
      <c r="R446" s="2" t="s">
        <v>5367</v>
      </c>
      <c r="T446" s="2" t="s">
        <v>12</v>
      </c>
      <c r="U446" s="3">
        <v>9</v>
      </c>
      <c r="V446" s="3">
        <v>22</v>
      </c>
      <c r="W446" s="4" t="s">
        <v>5739</v>
      </c>
      <c r="X446" s="4" t="s">
        <v>5739</v>
      </c>
      <c r="Y446" s="4" t="s">
        <v>1346</v>
      </c>
      <c r="Z446" s="4" t="s">
        <v>1346</v>
      </c>
      <c r="AA446" s="3">
        <v>1</v>
      </c>
      <c r="AB446" s="3">
        <v>1</v>
      </c>
      <c r="AC446" s="3">
        <v>1</v>
      </c>
      <c r="AD446" s="3">
        <v>1</v>
      </c>
      <c r="AE446" s="3">
        <v>1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2" t="s">
        <v>5</v>
      </c>
      <c r="AS446" s="2" t="s">
        <v>5</v>
      </c>
      <c r="AU446" s="5" t="str">
        <f>HYPERLINK("https://creighton-primo.hosted.exlibrisgroup.com/primo-explore/search?tab=default_tab&amp;search_scope=EVERYTHING&amp;vid=01CRU&amp;lang=en_US&amp;offset=0&amp;query=any,contains,991001275919702656","Catalog Record")</f>
        <v>Catalog Record</v>
      </c>
      <c r="AV446" s="5" t="str">
        <f>HYPERLINK("http://www.worldcat.org/oclc/16309434","WorldCat Record")</f>
        <v>WorldCat Record</v>
      </c>
      <c r="AW446" s="2" t="s">
        <v>5725</v>
      </c>
      <c r="AX446" s="2" t="s">
        <v>5740</v>
      </c>
      <c r="AY446" s="2" t="s">
        <v>5741</v>
      </c>
      <c r="AZ446" s="2" t="s">
        <v>5741</v>
      </c>
      <c r="BA446" s="2" t="s">
        <v>5742</v>
      </c>
      <c r="BB446" s="2" t="s">
        <v>19</v>
      </c>
      <c r="BE446" s="2" t="s">
        <v>5743</v>
      </c>
      <c r="BF446" s="2" t="s">
        <v>5744</v>
      </c>
    </row>
    <row r="447" spans="1:58" ht="50.25" customHeight="1" x14ac:dyDescent="0.25">
      <c r="A447" s="8" t="s">
        <v>5</v>
      </c>
      <c r="B447" s="1" t="s">
        <v>0</v>
      </c>
      <c r="C447" s="1" t="s">
        <v>1</v>
      </c>
      <c r="D447" s="1" t="s">
        <v>5736</v>
      </c>
      <c r="E447" s="1" t="s">
        <v>5737</v>
      </c>
      <c r="F447" s="1" t="s">
        <v>5721</v>
      </c>
      <c r="G447" s="2" t="s">
        <v>839</v>
      </c>
      <c r="H447" s="2" t="s">
        <v>90</v>
      </c>
      <c r="I447" s="2" t="s">
        <v>6</v>
      </c>
      <c r="J447" s="2" t="s">
        <v>5</v>
      </c>
      <c r="K447" s="2" t="s">
        <v>90</v>
      </c>
      <c r="L447" s="2" t="s">
        <v>7</v>
      </c>
      <c r="M447" s="1" t="s">
        <v>5722</v>
      </c>
      <c r="N447" s="1" t="s">
        <v>5738</v>
      </c>
      <c r="O447" s="2" t="s">
        <v>198</v>
      </c>
      <c r="Q447" s="2" t="s">
        <v>10</v>
      </c>
      <c r="R447" s="2" t="s">
        <v>5367</v>
      </c>
      <c r="T447" s="2" t="s">
        <v>12</v>
      </c>
      <c r="U447" s="3">
        <v>13</v>
      </c>
      <c r="V447" s="3">
        <v>22</v>
      </c>
      <c r="W447" s="4" t="s">
        <v>5739</v>
      </c>
      <c r="X447" s="4" t="s">
        <v>5739</v>
      </c>
      <c r="Y447" s="4" t="s">
        <v>1346</v>
      </c>
      <c r="Z447" s="4" t="s">
        <v>1346</v>
      </c>
      <c r="AA447" s="3">
        <v>1</v>
      </c>
      <c r="AB447" s="3">
        <v>1</v>
      </c>
      <c r="AC447" s="3">
        <v>1</v>
      </c>
      <c r="AD447" s="3">
        <v>1</v>
      </c>
      <c r="AE447" s="3">
        <v>1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2" t="s">
        <v>5</v>
      </c>
      <c r="AS447" s="2" t="s">
        <v>5</v>
      </c>
      <c r="AU447" s="5" t="str">
        <f>HYPERLINK("https://creighton-primo.hosted.exlibrisgroup.com/primo-explore/search?tab=default_tab&amp;search_scope=EVERYTHING&amp;vid=01CRU&amp;lang=en_US&amp;offset=0&amp;query=any,contains,991001275919702656","Catalog Record")</f>
        <v>Catalog Record</v>
      </c>
      <c r="AV447" s="5" t="str">
        <f>HYPERLINK("http://www.worldcat.org/oclc/16309434","WorldCat Record")</f>
        <v>WorldCat Record</v>
      </c>
      <c r="AW447" s="2" t="s">
        <v>5725</v>
      </c>
      <c r="AX447" s="2" t="s">
        <v>5740</v>
      </c>
      <c r="AY447" s="2" t="s">
        <v>5741</v>
      </c>
      <c r="AZ447" s="2" t="s">
        <v>5741</v>
      </c>
      <c r="BA447" s="2" t="s">
        <v>5742</v>
      </c>
      <c r="BB447" s="2" t="s">
        <v>19</v>
      </c>
      <c r="BE447" s="2" t="s">
        <v>5745</v>
      </c>
      <c r="BF447" s="2" t="s">
        <v>5746</v>
      </c>
    </row>
    <row r="448" spans="1:58" ht="50.25" customHeight="1" x14ac:dyDescent="0.25">
      <c r="A448" s="8" t="s">
        <v>5</v>
      </c>
      <c r="B448" s="1" t="s">
        <v>0</v>
      </c>
      <c r="C448" s="1" t="s">
        <v>1</v>
      </c>
      <c r="D448" s="1" t="s">
        <v>5747</v>
      </c>
      <c r="E448" s="1" t="s">
        <v>5748</v>
      </c>
      <c r="F448" s="1" t="s">
        <v>5749</v>
      </c>
      <c r="H448" s="2" t="s">
        <v>5</v>
      </c>
      <c r="I448" s="2" t="s">
        <v>6</v>
      </c>
      <c r="J448" s="2" t="s">
        <v>5</v>
      </c>
      <c r="K448" s="2" t="s">
        <v>90</v>
      </c>
      <c r="L448" s="2" t="s">
        <v>7</v>
      </c>
      <c r="M448" s="1" t="s">
        <v>5722</v>
      </c>
      <c r="N448" s="1" t="s">
        <v>5723</v>
      </c>
      <c r="O448" s="2" t="s">
        <v>2963</v>
      </c>
      <c r="Q448" s="2" t="s">
        <v>10</v>
      </c>
      <c r="R448" s="2" t="s">
        <v>5367</v>
      </c>
      <c r="T448" s="2" t="s">
        <v>12</v>
      </c>
      <c r="U448" s="3">
        <v>4</v>
      </c>
      <c r="V448" s="3">
        <v>4</v>
      </c>
      <c r="W448" s="4" t="s">
        <v>5750</v>
      </c>
      <c r="X448" s="4" t="s">
        <v>5750</v>
      </c>
      <c r="Y448" s="4" t="s">
        <v>5733</v>
      </c>
      <c r="Z448" s="4" t="s">
        <v>5733</v>
      </c>
      <c r="AA448" s="3">
        <v>1</v>
      </c>
      <c r="AB448" s="3">
        <v>1</v>
      </c>
      <c r="AC448" s="3">
        <v>1</v>
      </c>
      <c r="AD448" s="3">
        <v>1</v>
      </c>
      <c r="AE448" s="3">
        <v>1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2" t="s">
        <v>5</v>
      </c>
      <c r="AS448" s="2" t="s">
        <v>5</v>
      </c>
      <c r="AU448" s="5" t="str">
        <f>HYPERLINK("https://creighton-primo.hosted.exlibrisgroup.com/primo-explore/search?tab=default_tab&amp;search_scope=EVERYTHING&amp;vid=01CRU&amp;lang=en_US&amp;offset=0&amp;query=any,contains,991001416179702656","Catalog Record")</f>
        <v>Catalog Record</v>
      </c>
      <c r="AV448" s="5" t="str">
        <f>HYPERLINK("http://www.worldcat.org/oclc/23907020","WorldCat Record")</f>
        <v>WorldCat Record</v>
      </c>
      <c r="AW448" s="2" t="s">
        <v>5751</v>
      </c>
      <c r="AX448" s="2" t="s">
        <v>5752</v>
      </c>
      <c r="AY448" s="2" t="s">
        <v>5753</v>
      </c>
      <c r="AZ448" s="2" t="s">
        <v>5753</v>
      </c>
      <c r="BA448" s="2" t="s">
        <v>5754</v>
      </c>
      <c r="BB448" s="2" t="s">
        <v>19</v>
      </c>
      <c r="BE448" s="2" t="s">
        <v>5755</v>
      </c>
      <c r="BF448" s="2" t="s">
        <v>5756</v>
      </c>
    </row>
    <row r="449" spans="1:58" ht="50.25" customHeight="1" x14ac:dyDescent="0.25">
      <c r="A449" s="8" t="s">
        <v>5</v>
      </c>
      <c r="B449" s="1" t="s">
        <v>0</v>
      </c>
      <c r="C449" s="1" t="s">
        <v>1</v>
      </c>
      <c r="D449" s="1" t="s">
        <v>5757</v>
      </c>
      <c r="E449" s="1" t="s">
        <v>5758</v>
      </c>
      <c r="F449" s="1" t="s">
        <v>5749</v>
      </c>
      <c r="H449" s="2" t="s">
        <v>5</v>
      </c>
      <c r="I449" s="2" t="s">
        <v>6</v>
      </c>
      <c r="J449" s="2" t="s">
        <v>90</v>
      </c>
      <c r="K449" s="2" t="s">
        <v>90</v>
      </c>
      <c r="L449" s="2" t="s">
        <v>7</v>
      </c>
      <c r="M449" s="1" t="s">
        <v>5722</v>
      </c>
      <c r="N449" s="1" t="s">
        <v>5738</v>
      </c>
      <c r="O449" s="2" t="s">
        <v>198</v>
      </c>
      <c r="Q449" s="2" t="s">
        <v>10</v>
      </c>
      <c r="R449" s="2" t="s">
        <v>5367</v>
      </c>
      <c r="T449" s="2" t="s">
        <v>12</v>
      </c>
      <c r="U449" s="3">
        <v>5</v>
      </c>
      <c r="V449" s="3">
        <v>11</v>
      </c>
      <c r="W449" s="4" t="s">
        <v>5739</v>
      </c>
      <c r="X449" s="4" t="s">
        <v>5750</v>
      </c>
      <c r="Y449" s="4" t="s">
        <v>5759</v>
      </c>
      <c r="Z449" s="4" t="s">
        <v>5760</v>
      </c>
      <c r="AA449" s="3">
        <v>1</v>
      </c>
      <c r="AB449" s="3">
        <v>1</v>
      </c>
      <c r="AC449" s="3">
        <v>1</v>
      </c>
      <c r="AD449" s="3">
        <v>1</v>
      </c>
      <c r="AE449" s="3">
        <v>1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2" t="s">
        <v>5</v>
      </c>
      <c r="AS449" s="2" t="s">
        <v>5</v>
      </c>
      <c r="AU449" s="5" t="str">
        <f>HYPERLINK("https://creighton-primo.hosted.exlibrisgroup.com/primo-explore/search?tab=default_tab&amp;search_scope=EVERYTHING&amp;vid=01CRU&amp;lang=en_US&amp;offset=0&amp;query=any,contains,991001275839702656","Catalog Record")</f>
        <v>Catalog Record</v>
      </c>
      <c r="AV449" s="5" t="str">
        <f>HYPERLINK("http://www.worldcat.org/oclc/16309317","WorldCat Record")</f>
        <v>WorldCat Record</v>
      </c>
      <c r="AW449" s="2" t="s">
        <v>5751</v>
      </c>
      <c r="AX449" s="2" t="s">
        <v>5761</v>
      </c>
      <c r="AY449" s="2" t="s">
        <v>5762</v>
      </c>
      <c r="AZ449" s="2" t="s">
        <v>5762</v>
      </c>
      <c r="BA449" s="2" t="s">
        <v>5763</v>
      </c>
      <c r="BB449" s="2" t="s">
        <v>19</v>
      </c>
      <c r="BE449" s="2" t="s">
        <v>5764</v>
      </c>
      <c r="BF449" s="2" t="s">
        <v>5765</v>
      </c>
    </row>
    <row r="450" spans="1:58" ht="50.25" customHeight="1" x14ac:dyDescent="0.25">
      <c r="A450" s="8" t="s">
        <v>5</v>
      </c>
      <c r="B450" s="1" t="s">
        <v>0</v>
      </c>
      <c r="C450" s="1" t="s">
        <v>1</v>
      </c>
      <c r="D450" s="1" t="s">
        <v>5757</v>
      </c>
      <c r="E450" s="1" t="s">
        <v>5758</v>
      </c>
      <c r="F450" s="1" t="s">
        <v>5749</v>
      </c>
      <c r="H450" s="2" t="s">
        <v>5</v>
      </c>
      <c r="I450" s="2" t="s">
        <v>770</v>
      </c>
      <c r="J450" s="2" t="s">
        <v>90</v>
      </c>
      <c r="K450" s="2" t="s">
        <v>90</v>
      </c>
      <c r="L450" s="2" t="s">
        <v>7</v>
      </c>
      <c r="M450" s="1" t="s">
        <v>5722</v>
      </c>
      <c r="N450" s="1" t="s">
        <v>5738</v>
      </c>
      <c r="O450" s="2" t="s">
        <v>198</v>
      </c>
      <c r="Q450" s="2" t="s">
        <v>10</v>
      </c>
      <c r="R450" s="2" t="s">
        <v>5367</v>
      </c>
      <c r="T450" s="2" t="s">
        <v>12</v>
      </c>
      <c r="U450" s="3">
        <v>6</v>
      </c>
      <c r="V450" s="3">
        <v>11</v>
      </c>
      <c r="W450" s="4" t="s">
        <v>5750</v>
      </c>
      <c r="X450" s="4" t="s">
        <v>5750</v>
      </c>
      <c r="Y450" s="4" t="s">
        <v>5760</v>
      </c>
      <c r="Z450" s="4" t="s">
        <v>5760</v>
      </c>
      <c r="AA450" s="3">
        <v>1</v>
      </c>
      <c r="AB450" s="3">
        <v>1</v>
      </c>
      <c r="AC450" s="3">
        <v>1</v>
      </c>
      <c r="AD450" s="3">
        <v>1</v>
      </c>
      <c r="AE450" s="3">
        <v>1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2" t="s">
        <v>5</v>
      </c>
      <c r="AS450" s="2" t="s">
        <v>5</v>
      </c>
      <c r="AU450" s="5" t="str">
        <f>HYPERLINK("https://creighton-primo.hosted.exlibrisgroup.com/primo-explore/search?tab=default_tab&amp;search_scope=EVERYTHING&amp;vid=01CRU&amp;lang=en_US&amp;offset=0&amp;query=any,contains,991001275839702656","Catalog Record")</f>
        <v>Catalog Record</v>
      </c>
      <c r="AV450" s="5" t="str">
        <f>HYPERLINK("http://www.worldcat.org/oclc/16309317","WorldCat Record")</f>
        <v>WorldCat Record</v>
      </c>
      <c r="AW450" s="2" t="s">
        <v>5751</v>
      </c>
      <c r="AX450" s="2" t="s">
        <v>5761</v>
      </c>
      <c r="AY450" s="2" t="s">
        <v>5762</v>
      </c>
      <c r="AZ450" s="2" t="s">
        <v>5762</v>
      </c>
      <c r="BA450" s="2" t="s">
        <v>5763</v>
      </c>
      <c r="BB450" s="2" t="s">
        <v>19</v>
      </c>
      <c r="BE450" s="2" t="s">
        <v>5766</v>
      </c>
      <c r="BF450" s="2" t="s">
        <v>5767</v>
      </c>
    </row>
    <row r="451" spans="1:58" ht="50.25" customHeight="1" x14ac:dyDescent="0.25">
      <c r="A451" s="8" t="s">
        <v>5</v>
      </c>
      <c r="B451" s="1" t="s">
        <v>0</v>
      </c>
      <c r="C451" s="1" t="s">
        <v>1</v>
      </c>
      <c r="D451" s="1" t="s">
        <v>5768</v>
      </c>
      <c r="E451" s="1" t="s">
        <v>5769</v>
      </c>
      <c r="F451" s="1" t="s">
        <v>5770</v>
      </c>
      <c r="H451" s="2" t="s">
        <v>5</v>
      </c>
      <c r="I451" s="2" t="s">
        <v>6</v>
      </c>
      <c r="J451" s="2" t="s">
        <v>5</v>
      </c>
      <c r="K451" s="2" t="s">
        <v>90</v>
      </c>
      <c r="L451" s="2" t="s">
        <v>7</v>
      </c>
      <c r="M451" s="1" t="s">
        <v>5771</v>
      </c>
      <c r="N451" s="1" t="s">
        <v>5772</v>
      </c>
      <c r="O451" s="2" t="s">
        <v>213</v>
      </c>
      <c r="P451" s="1" t="s">
        <v>568</v>
      </c>
      <c r="Q451" s="2" t="s">
        <v>10</v>
      </c>
      <c r="R451" s="2" t="s">
        <v>405</v>
      </c>
      <c r="T451" s="2" t="s">
        <v>12</v>
      </c>
      <c r="U451" s="3">
        <v>58</v>
      </c>
      <c r="V451" s="3">
        <v>58</v>
      </c>
      <c r="W451" s="4" t="s">
        <v>5773</v>
      </c>
      <c r="X451" s="4" t="s">
        <v>5773</v>
      </c>
      <c r="Y451" s="4" t="s">
        <v>5774</v>
      </c>
      <c r="Z451" s="4" t="s">
        <v>5774</v>
      </c>
      <c r="AA451" s="3">
        <v>108</v>
      </c>
      <c r="AB451" s="3">
        <v>79</v>
      </c>
      <c r="AC451" s="3">
        <v>284</v>
      </c>
      <c r="AD451" s="3">
        <v>1</v>
      </c>
      <c r="AE451" s="3">
        <v>2</v>
      </c>
      <c r="AF451" s="3">
        <v>0</v>
      </c>
      <c r="AG451" s="3">
        <v>9</v>
      </c>
      <c r="AH451" s="3">
        <v>0</v>
      </c>
      <c r="AI451" s="3">
        <v>4</v>
      </c>
      <c r="AJ451" s="3">
        <v>0</v>
      </c>
      <c r="AK451" s="3">
        <v>1</v>
      </c>
      <c r="AL451" s="3">
        <v>0</v>
      </c>
      <c r="AM451" s="3">
        <v>3</v>
      </c>
      <c r="AN451" s="3">
        <v>0</v>
      </c>
      <c r="AO451" s="3">
        <v>1</v>
      </c>
      <c r="AP451" s="3">
        <v>0</v>
      </c>
      <c r="AQ451" s="3">
        <v>0</v>
      </c>
      <c r="AR451" s="2" t="s">
        <v>5</v>
      </c>
      <c r="AS451" s="2" t="s">
        <v>90</v>
      </c>
      <c r="AT451" s="5" t="str">
        <f>HYPERLINK("http://catalog.hathitrust.org/Record/009145755","HathiTrust Record")</f>
        <v>HathiTrust Record</v>
      </c>
      <c r="AU451" s="5" t="str">
        <f>HYPERLINK("https://creighton-primo.hosted.exlibrisgroup.com/primo-explore/search?tab=default_tab&amp;search_scope=EVERYTHING&amp;vid=01CRU&amp;lang=en_US&amp;offset=0&amp;query=any,contains,991000497919702656","Catalog Record")</f>
        <v>Catalog Record</v>
      </c>
      <c r="AV451" s="5" t="str">
        <f>HYPERLINK("http://www.worldcat.org/oclc/24590278","WorldCat Record")</f>
        <v>WorldCat Record</v>
      </c>
      <c r="AW451" s="2" t="s">
        <v>5775</v>
      </c>
      <c r="AX451" s="2" t="s">
        <v>5776</v>
      </c>
      <c r="AY451" s="2" t="s">
        <v>5777</v>
      </c>
      <c r="AZ451" s="2" t="s">
        <v>5777</v>
      </c>
      <c r="BA451" s="2" t="s">
        <v>5778</v>
      </c>
      <c r="BB451" s="2" t="s">
        <v>19</v>
      </c>
      <c r="BD451" s="2" t="s">
        <v>5779</v>
      </c>
      <c r="BE451" s="2" t="s">
        <v>5780</v>
      </c>
      <c r="BF451" s="2" t="s">
        <v>5781</v>
      </c>
    </row>
    <row r="452" spans="1:58" ht="50.25" customHeight="1" x14ac:dyDescent="0.25">
      <c r="A452" s="8" t="s">
        <v>5</v>
      </c>
      <c r="B452" s="1" t="s">
        <v>0</v>
      </c>
      <c r="C452" s="1" t="s">
        <v>1</v>
      </c>
      <c r="D452" s="1" t="s">
        <v>5782</v>
      </c>
      <c r="E452" s="1" t="s">
        <v>5783</v>
      </c>
      <c r="F452" s="1" t="s">
        <v>5784</v>
      </c>
      <c r="H452" s="2" t="s">
        <v>5</v>
      </c>
      <c r="I452" s="2" t="s">
        <v>6</v>
      </c>
      <c r="J452" s="2" t="s">
        <v>5</v>
      </c>
      <c r="K452" s="2" t="s">
        <v>90</v>
      </c>
      <c r="L452" s="2" t="s">
        <v>7</v>
      </c>
      <c r="M452" s="1" t="s">
        <v>5785</v>
      </c>
      <c r="N452" s="1" t="s">
        <v>1122</v>
      </c>
      <c r="O452" s="2" t="s">
        <v>259</v>
      </c>
      <c r="P452" s="1" t="s">
        <v>5786</v>
      </c>
      <c r="Q452" s="2" t="s">
        <v>10</v>
      </c>
      <c r="R452" s="2" t="s">
        <v>11</v>
      </c>
      <c r="T452" s="2" t="s">
        <v>12</v>
      </c>
      <c r="U452" s="3">
        <v>26</v>
      </c>
      <c r="V452" s="3">
        <v>26</v>
      </c>
      <c r="W452" s="4" t="s">
        <v>156</v>
      </c>
      <c r="X452" s="4" t="s">
        <v>156</v>
      </c>
      <c r="Y452" s="4" t="s">
        <v>1124</v>
      </c>
      <c r="Z452" s="4" t="s">
        <v>1124</v>
      </c>
      <c r="AA452" s="3">
        <v>451</v>
      </c>
      <c r="AB452" s="3">
        <v>277</v>
      </c>
      <c r="AC452" s="3">
        <v>509</v>
      </c>
      <c r="AD452" s="3">
        <v>2</v>
      </c>
      <c r="AE452" s="3">
        <v>5</v>
      </c>
      <c r="AF452" s="3">
        <v>12</v>
      </c>
      <c r="AG452" s="3">
        <v>17</v>
      </c>
      <c r="AH452" s="3">
        <v>3</v>
      </c>
      <c r="AI452" s="3">
        <v>4</v>
      </c>
      <c r="AJ452" s="3">
        <v>4</v>
      </c>
      <c r="AK452" s="3">
        <v>5</v>
      </c>
      <c r="AL452" s="3">
        <v>7</v>
      </c>
      <c r="AM452" s="3">
        <v>10</v>
      </c>
      <c r="AN452" s="3">
        <v>1</v>
      </c>
      <c r="AO452" s="3">
        <v>2</v>
      </c>
      <c r="AP452" s="3">
        <v>0</v>
      </c>
      <c r="AQ452" s="3">
        <v>0</v>
      </c>
      <c r="AR452" s="2" t="s">
        <v>5</v>
      </c>
      <c r="AS452" s="2" t="s">
        <v>5</v>
      </c>
      <c r="AU452" s="5" t="str">
        <f>HYPERLINK("https://creighton-primo.hosted.exlibrisgroup.com/primo-explore/search?tab=default_tab&amp;search_scope=EVERYTHING&amp;vid=01CRU&amp;lang=en_US&amp;offset=0&amp;query=any,contains,991000681179702656","Catalog Record")</f>
        <v>Catalog Record</v>
      </c>
      <c r="AV452" s="5" t="str">
        <f>HYPERLINK("http://www.worldcat.org/oclc/28586115","WorldCat Record")</f>
        <v>WorldCat Record</v>
      </c>
      <c r="AW452" s="2" t="s">
        <v>5787</v>
      </c>
      <c r="AX452" s="2" t="s">
        <v>5788</v>
      </c>
      <c r="AY452" s="2" t="s">
        <v>5789</v>
      </c>
      <c r="AZ452" s="2" t="s">
        <v>5789</v>
      </c>
      <c r="BA452" s="2" t="s">
        <v>5790</v>
      </c>
      <c r="BB452" s="2" t="s">
        <v>19</v>
      </c>
      <c r="BD452" s="2" t="s">
        <v>5791</v>
      </c>
      <c r="BE452" s="2" t="s">
        <v>5792</v>
      </c>
      <c r="BF452" s="2" t="s">
        <v>5793</v>
      </c>
    </row>
    <row r="453" spans="1:58" ht="50.25" customHeight="1" x14ac:dyDescent="0.25">
      <c r="A453" s="8" t="s">
        <v>5</v>
      </c>
      <c r="B453" s="1" t="s">
        <v>0</v>
      </c>
      <c r="C453" s="1" t="s">
        <v>1</v>
      </c>
      <c r="D453" s="1" t="s">
        <v>5794</v>
      </c>
      <c r="E453" s="1" t="s">
        <v>5795</v>
      </c>
      <c r="F453" s="1" t="s">
        <v>5796</v>
      </c>
      <c r="H453" s="2" t="s">
        <v>5</v>
      </c>
      <c r="I453" s="2" t="s">
        <v>6</v>
      </c>
      <c r="J453" s="2" t="s">
        <v>5</v>
      </c>
      <c r="K453" s="2" t="s">
        <v>5</v>
      </c>
      <c r="L453" s="2" t="s">
        <v>7</v>
      </c>
      <c r="N453" s="1" t="s">
        <v>5797</v>
      </c>
      <c r="O453" s="2" t="s">
        <v>213</v>
      </c>
      <c r="Q453" s="2" t="s">
        <v>10</v>
      </c>
      <c r="R453" s="2" t="s">
        <v>199</v>
      </c>
      <c r="T453" s="2" t="s">
        <v>12</v>
      </c>
      <c r="U453" s="3">
        <v>18</v>
      </c>
      <c r="V453" s="3">
        <v>18</v>
      </c>
      <c r="W453" s="4" t="s">
        <v>5798</v>
      </c>
      <c r="X453" s="4" t="s">
        <v>5798</v>
      </c>
      <c r="Y453" s="4" t="s">
        <v>5799</v>
      </c>
      <c r="Z453" s="4" t="s">
        <v>5799</v>
      </c>
      <c r="AA453" s="3">
        <v>313</v>
      </c>
      <c r="AB453" s="3">
        <v>270</v>
      </c>
      <c r="AC453" s="3">
        <v>271</v>
      </c>
      <c r="AD453" s="3">
        <v>1</v>
      </c>
      <c r="AE453" s="3">
        <v>1</v>
      </c>
      <c r="AF453" s="3">
        <v>9</v>
      </c>
      <c r="AG453" s="3">
        <v>9</v>
      </c>
      <c r="AH453" s="3">
        <v>1</v>
      </c>
      <c r="AI453" s="3">
        <v>1</v>
      </c>
      <c r="AJ453" s="3">
        <v>3</v>
      </c>
      <c r="AK453" s="3">
        <v>3</v>
      </c>
      <c r="AL453" s="3">
        <v>8</v>
      </c>
      <c r="AM453" s="3">
        <v>8</v>
      </c>
      <c r="AN453" s="3">
        <v>0</v>
      </c>
      <c r="AO453" s="3">
        <v>0</v>
      </c>
      <c r="AP453" s="3">
        <v>0</v>
      </c>
      <c r="AQ453" s="3">
        <v>0</v>
      </c>
      <c r="AR453" s="2" t="s">
        <v>5</v>
      </c>
      <c r="AS453" s="2" t="s">
        <v>5</v>
      </c>
      <c r="AU453" s="5" t="str">
        <f>HYPERLINK("https://creighton-primo.hosted.exlibrisgroup.com/primo-explore/search?tab=default_tab&amp;search_scope=EVERYTHING&amp;vid=01CRU&amp;lang=en_US&amp;offset=0&amp;query=any,contains,991001305739702656","Catalog Record")</f>
        <v>Catalog Record</v>
      </c>
      <c r="AV453" s="5" t="str">
        <f>HYPERLINK("http://www.worldcat.org/oclc/24502847","WorldCat Record")</f>
        <v>WorldCat Record</v>
      </c>
      <c r="AW453" s="2" t="s">
        <v>5800</v>
      </c>
      <c r="AX453" s="2" t="s">
        <v>5801</v>
      </c>
      <c r="AY453" s="2" t="s">
        <v>5802</v>
      </c>
      <c r="AZ453" s="2" t="s">
        <v>5802</v>
      </c>
      <c r="BA453" s="2" t="s">
        <v>5803</v>
      </c>
      <c r="BB453" s="2" t="s">
        <v>19</v>
      </c>
      <c r="BD453" s="2" t="s">
        <v>5804</v>
      </c>
      <c r="BE453" s="2" t="s">
        <v>5805</v>
      </c>
      <c r="BF453" s="2" t="s">
        <v>5806</v>
      </c>
    </row>
    <row r="454" spans="1:58" ht="50.25" customHeight="1" x14ac:dyDescent="0.25">
      <c r="A454" s="8" t="s">
        <v>5</v>
      </c>
      <c r="B454" s="1" t="s">
        <v>0</v>
      </c>
      <c r="C454" s="1" t="s">
        <v>1</v>
      </c>
      <c r="D454" s="1" t="s">
        <v>5807</v>
      </c>
      <c r="E454" s="1" t="s">
        <v>5808</v>
      </c>
      <c r="F454" s="1" t="s">
        <v>5809</v>
      </c>
      <c r="H454" s="2" t="s">
        <v>5</v>
      </c>
      <c r="I454" s="2" t="s">
        <v>6</v>
      </c>
      <c r="J454" s="2" t="s">
        <v>90</v>
      </c>
      <c r="K454" s="2" t="s">
        <v>5</v>
      </c>
      <c r="L454" s="2" t="s">
        <v>7</v>
      </c>
      <c r="N454" s="1" t="s">
        <v>5810</v>
      </c>
      <c r="O454" s="2" t="s">
        <v>141</v>
      </c>
      <c r="Q454" s="2" t="s">
        <v>10</v>
      </c>
      <c r="R454" s="2" t="s">
        <v>29</v>
      </c>
      <c r="T454" s="2" t="s">
        <v>12</v>
      </c>
      <c r="U454" s="3">
        <v>31</v>
      </c>
      <c r="V454" s="3">
        <v>31</v>
      </c>
      <c r="W454" s="4" t="s">
        <v>5811</v>
      </c>
      <c r="X454" s="4" t="s">
        <v>5811</v>
      </c>
      <c r="Y454" s="4" t="s">
        <v>5812</v>
      </c>
      <c r="Z454" s="4" t="s">
        <v>5812</v>
      </c>
      <c r="AA454" s="3">
        <v>257</v>
      </c>
      <c r="AB454" s="3">
        <v>187</v>
      </c>
      <c r="AC454" s="3">
        <v>619</v>
      </c>
      <c r="AD454" s="3">
        <v>3</v>
      </c>
      <c r="AE454" s="3">
        <v>4</v>
      </c>
      <c r="AF454" s="3">
        <v>1</v>
      </c>
      <c r="AG454" s="3">
        <v>24</v>
      </c>
      <c r="AH454" s="3">
        <v>0</v>
      </c>
      <c r="AI454" s="3">
        <v>9</v>
      </c>
      <c r="AJ454" s="3">
        <v>0</v>
      </c>
      <c r="AK454" s="3">
        <v>6</v>
      </c>
      <c r="AL454" s="3">
        <v>0</v>
      </c>
      <c r="AM454" s="3">
        <v>10</v>
      </c>
      <c r="AN454" s="3">
        <v>1</v>
      </c>
      <c r="AO454" s="3">
        <v>2</v>
      </c>
      <c r="AP454" s="3">
        <v>0</v>
      </c>
      <c r="AQ454" s="3">
        <v>2</v>
      </c>
      <c r="AR454" s="2" t="s">
        <v>5</v>
      </c>
      <c r="AS454" s="2" t="s">
        <v>90</v>
      </c>
      <c r="AT454" s="5" t="str">
        <f>HYPERLINK("http://catalog.hathitrust.org/Record/000832596","HathiTrust Record")</f>
        <v>HathiTrust Record</v>
      </c>
      <c r="AU454" s="5" t="str">
        <f>HYPERLINK("https://creighton-primo.hosted.exlibrisgroup.com/primo-explore/search?tab=default_tab&amp;search_scope=EVERYTHING&amp;vid=01CRU&amp;lang=en_US&amp;offset=0&amp;query=any,contains,991001421209702656","Catalog Record")</f>
        <v>Catalog Record</v>
      </c>
      <c r="AV454" s="5" t="str">
        <f>HYPERLINK("http://www.worldcat.org/oclc/13270827","WorldCat Record")</f>
        <v>WorldCat Record</v>
      </c>
      <c r="AW454" s="2" t="s">
        <v>5813</v>
      </c>
      <c r="AX454" s="2" t="s">
        <v>5814</v>
      </c>
      <c r="AY454" s="2" t="s">
        <v>5815</v>
      </c>
      <c r="AZ454" s="2" t="s">
        <v>5815</v>
      </c>
      <c r="BA454" s="2" t="s">
        <v>5816</v>
      </c>
      <c r="BB454" s="2" t="s">
        <v>19</v>
      </c>
      <c r="BD454" s="2" t="s">
        <v>5817</v>
      </c>
      <c r="BE454" s="2" t="s">
        <v>5818</v>
      </c>
      <c r="BF454" s="2" t="s">
        <v>5819</v>
      </c>
    </row>
    <row r="455" spans="1:58" ht="50.25" customHeight="1" x14ac:dyDescent="0.25">
      <c r="A455" s="8" t="s">
        <v>5</v>
      </c>
      <c r="B455" s="1" t="s">
        <v>0</v>
      </c>
      <c r="C455" s="1" t="s">
        <v>1</v>
      </c>
      <c r="D455" s="1" t="s">
        <v>5820</v>
      </c>
      <c r="E455" s="1" t="s">
        <v>5821</v>
      </c>
      <c r="F455" s="1" t="s">
        <v>5822</v>
      </c>
      <c r="H455" s="2" t="s">
        <v>5</v>
      </c>
      <c r="I455" s="2" t="s">
        <v>6</v>
      </c>
      <c r="J455" s="2" t="s">
        <v>5</v>
      </c>
      <c r="K455" s="2" t="s">
        <v>5</v>
      </c>
      <c r="L455" s="2" t="s">
        <v>7</v>
      </c>
      <c r="M455" s="1" t="s">
        <v>5823</v>
      </c>
      <c r="N455" s="1" t="s">
        <v>5824</v>
      </c>
      <c r="O455" s="2" t="s">
        <v>3003</v>
      </c>
      <c r="P455" s="1" t="s">
        <v>320</v>
      </c>
      <c r="Q455" s="2" t="s">
        <v>10</v>
      </c>
      <c r="R455" s="2" t="s">
        <v>61</v>
      </c>
      <c r="T455" s="2" t="s">
        <v>12</v>
      </c>
      <c r="U455" s="3">
        <v>16</v>
      </c>
      <c r="V455" s="3">
        <v>16</v>
      </c>
      <c r="W455" s="4" t="s">
        <v>5825</v>
      </c>
      <c r="X455" s="4" t="s">
        <v>5825</v>
      </c>
      <c r="Y455" s="4" t="s">
        <v>1346</v>
      </c>
      <c r="Z455" s="4" t="s">
        <v>1346</v>
      </c>
      <c r="AA455" s="3">
        <v>176</v>
      </c>
      <c r="AB455" s="3">
        <v>139</v>
      </c>
      <c r="AC455" s="3">
        <v>141</v>
      </c>
      <c r="AD455" s="3">
        <v>1</v>
      </c>
      <c r="AE455" s="3">
        <v>1</v>
      </c>
      <c r="AF455" s="3">
        <v>3</v>
      </c>
      <c r="AG455" s="3">
        <v>3</v>
      </c>
      <c r="AH455" s="3">
        <v>0</v>
      </c>
      <c r="AI455" s="3">
        <v>0</v>
      </c>
      <c r="AJ455" s="3">
        <v>1</v>
      </c>
      <c r="AK455" s="3">
        <v>1</v>
      </c>
      <c r="AL455" s="3">
        <v>2</v>
      </c>
      <c r="AM455" s="3">
        <v>2</v>
      </c>
      <c r="AN455" s="3">
        <v>0</v>
      </c>
      <c r="AO455" s="3">
        <v>0</v>
      </c>
      <c r="AP455" s="3">
        <v>0</v>
      </c>
      <c r="AQ455" s="3">
        <v>0</v>
      </c>
      <c r="AR455" s="2" t="s">
        <v>5</v>
      </c>
      <c r="AS455" s="2" t="s">
        <v>90</v>
      </c>
      <c r="AT455" s="5" t="str">
        <f>HYPERLINK("http://catalog.hathitrust.org/Record/000454125","HathiTrust Record")</f>
        <v>HathiTrust Record</v>
      </c>
      <c r="AU455" s="5" t="str">
        <f>HYPERLINK("https://creighton-primo.hosted.exlibrisgroup.com/primo-explore/search?tab=default_tab&amp;search_scope=EVERYTHING&amp;vid=01CRU&amp;lang=en_US&amp;offset=0&amp;query=any,contains,991001468709702656","Catalog Record")</f>
        <v>Catalog Record</v>
      </c>
      <c r="AV455" s="5" t="str">
        <f>HYPERLINK("http://www.worldcat.org/oclc/12083494","WorldCat Record")</f>
        <v>WorldCat Record</v>
      </c>
      <c r="AW455" s="2" t="s">
        <v>5826</v>
      </c>
      <c r="AX455" s="2" t="s">
        <v>5827</v>
      </c>
      <c r="AY455" s="2" t="s">
        <v>5828</v>
      </c>
      <c r="AZ455" s="2" t="s">
        <v>5828</v>
      </c>
      <c r="BA455" s="2" t="s">
        <v>5829</v>
      </c>
      <c r="BB455" s="2" t="s">
        <v>19</v>
      </c>
      <c r="BD455" s="2" t="s">
        <v>5830</v>
      </c>
      <c r="BE455" s="2" t="s">
        <v>5831</v>
      </c>
      <c r="BF455" s="2" t="s">
        <v>5832</v>
      </c>
    </row>
    <row r="456" spans="1:58" ht="50.25" customHeight="1" x14ac:dyDescent="0.25">
      <c r="A456" s="8" t="s">
        <v>5</v>
      </c>
      <c r="B456" s="1" t="s">
        <v>0</v>
      </c>
      <c r="C456" s="1" t="s">
        <v>1</v>
      </c>
      <c r="D456" s="1" t="s">
        <v>5833</v>
      </c>
      <c r="E456" s="1" t="s">
        <v>5834</v>
      </c>
      <c r="F456" s="1" t="s">
        <v>5835</v>
      </c>
      <c r="H456" s="2" t="s">
        <v>5</v>
      </c>
      <c r="I456" s="2" t="s">
        <v>6</v>
      </c>
      <c r="J456" s="2" t="s">
        <v>5</v>
      </c>
      <c r="K456" s="2" t="s">
        <v>5</v>
      </c>
      <c r="L456" s="2" t="s">
        <v>7</v>
      </c>
      <c r="M456" s="1" t="s">
        <v>5836</v>
      </c>
      <c r="N456" s="1" t="s">
        <v>5837</v>
      </c>
      <c r="O456" s="2" t="s">
        <v>2950</v>
      </c>
      <c r="Q456" s="2" t="s">
        <v>10</v>
      </c>
      <c r="R456" s="2" t="s">
        <v>29</v>
      </c>
      <c r="T456" s="2" t="s">
        <v>12</v>
      </c>
      <c r="U456" s="3">
        <v>14</v>
      </c>
      <c r="V456" s="3">
        <v>14</v>
      </c>
      <c r="W456" s="4" t="s">
        <v>5838</v>
      </c>
      <c r="X456" s="4" t="s">
        <v>5838</v>
      </c>
      <c r="Y456" s="4" t="s">
        <v>1346</v>
      </c>
      <c r="Z456" s="4" t="s">
        <v>1346</v>
      </c>
      <c r="AA456" s="3">
        <v>105</v>
      </c>
      <c r="AB456" s="3">
        <v>75</v>
      </c>
      <c r="AC456" s="3">
        <v>77</v>
      </c>
      <c r="AD456" s="3">
        <v>1</v>
      </c>
      <c r="AE456" s="3">
        <v>1</v>
      </c>
      <c r="AF456" s="3">
        <v>2</v>
      </c>
      <c r="AG456" s="3">
        <v>2</v>
      </c>
      <c r="AH456" s="3">
        <v>0</v>
      </c>
      <c r="AI456" s="3">
        <v>0</v>
      </c>
      <c r="AJ456" s="3">
        <v>1</v>
      </c>
      <c r="AK456" s="3">
        <v>1</v>
      </c>
      <c r="AL456" s="3">
        <v>1</v>
      </c>
      <c r="AM456" s="3">
        <v>1</v>
      </c>
      <c r="AN456" s="3">
        <v>0</v>
      </c>
      <c r="AO456" s="3">
        <v>0</v>
      </c>
      <c r="AP456" s="3">
        <v>0</v>
      </c>
      <c r="AQ456" s="3">
        <v>0</v>
      </c>
      <c r="AR456" s="2" t="s">
        <v>5</v>
      </c>
      <c r="AS456" s="2" t="s">
        <v>90</v>
      </c>
      <c r="AT456" s="5" t="str">
        <f>HYPERLINK("http://catalog.hathitrust.org/Record/000223648","HathiTrust Record")</f>
        <v>HathiTrust Record</v>
      </c>
      <c r="AU456" s="5" t="str">
        <f>HYPERLINK("https://creighton-primo.hosted.exlibrisgroup.com/primo-explore/search?tab=default_tab&amp;search_scope=EVERYTHING&amp;vid=01CRU&amp;lang=en_US&amp;offset=0&amp;query=any,contains,991000734419702656","Catalog Record")</f>
        <v>Catalog Record</v>
      </c>
      <c r="AV456" s="5" t="str">
        <f>HYPERLINK("http://www.worldcat.org/oclc/6861727","WorldCat Record")</f>
        <v>WorldCat Record</v>
      </c>
      <c r="AW456" s="2" t="s">
        <v>5839</v>
      </c>
      <c r="AX456" s="2" t="s">
        <v>5840</v>
      </c>
      <c r="AY456" s="2" t="s">
        <v>5841</v>
      </c>
      <c r="AZ456" s="2" t="s">
        <v>5841</v>
      </c>
      <c r="BA456" s="2" t="s">
        <v>5842</v>
      </c>
      <c r="BB456" s="2" t="s">
        <v>19</v>
      </c>
      <c r="BD456" s="2" t="s">
        <v>5843</v>
      </c>
      <c r="BE456" s="2" t="s">
        <v>5844</v>
      </c>
      <c r="BF456" s="2" t="s">
        <v>5845</v>
      </c>
    </row>
    <row r="457" spans="1:58" ht="50.25" customHeight="1" x14ac:dyDescent="0.25">
      <c r="A457" s="8" t="s">
        <v>5</v>
      </c>
      <c r="B457" s="1" t="s">
        <v>0</v>
      </c>
      <c r="C457" s="1" t="s">
        <v>1</v>
      </c>
      <c r="D457" s="1" t="s">
        <v>5846</v>
      </c>
      <c r="E457" s="1" t="s">
        <v>5847</v>
      </c>
      <c r="F457" s="1" t="s">
        <v>5848</v>
      </c>
      <c r="H457" s="2" t="s">
        <v>5</v>
      </c>
      <c r="I457" s="2" t="s">
        <v>6</v>
      </c>
      <c r="J457" s="2" t="s">
        <v>5</v>
      </c>
      <c r="K457" s="2" t="s">
        <v>5</v>
      </c>
      <c r="L457" s="2" t="s">
        <v>7</v>
      </c>
      <c r="M457" s="1" t="s">
        <v>5849</v>
      </c>
      <c r="N457" s="1" t="s">
        <v>5850</v>
      </c>
      <c r="O457" s="2" t="s">
        <v>474</v>
      </c>
      <c r="P457" s="1" t="s">
        <v>568</v>
      </c>
      <c r="Q457" s="2" t="s">
        <v>10</v>
      </c>
      <c r="R457" s="2" t="s">
        <v>29</v>
      </c>
      <c r="T457" s="2" t="s">
        <v>12</v>
      </c>
      <c r="U457" s="3">
        <v>8</v>
      </c>
      <c r="V457" s="3">
        <v>8</v>
      </c>
      <c r="W457" s="4" t="s">
        <v>5851</v>
      </c>
      <c r="X457" s="4" t="s">
        <v>5851</v>
      </c>
      <c r="Y457" s="4" t="s">
        <v>3853</v>
      </c>
      <c r="Z457" s="4" t="s">
        <v>3853</v>
      </c>
      <c r="AA457" s="3">
        <v>255</v>
      </c>
      <c r="AB457" s="3">
        <v>172</v>
      </c>
      <c r="AC457" s="3">
        <v>273</v>
      </c>
      <c r="AD457" s="3">
        <v>1</v>
      </c>
      <c r="AE457" s="3">
        <v>2</v>
      </c>
      <c r="AF457" s="3">
        <v>2</v>
      </c>
      <c r="AG457" s="3">
        <v>4</v>
      </c>
      <c r="AH457" s="3">
        <v>0</v>
      </c>
      <c r="AI457" s="3">
        <v>1</v>
      </c>
      <c r="AJ457" s="3">
        <v>2</v>
      </c>
      <c r="AK457" s="3">
        <v>2</v>
      </c>
      <c r="AL457" s="3">
        <v>1</v>
      </c>
      <c r="AM457" s="3">
        <v>1</v>
      </c>
      <c r="AN457" s="3">
        <v>0</v>
      </c>
      <c r="AO457" s="3">
        <v>1</v>
      </c>
      <c r="AP457" s="3">
        <v>0</v>
      </c>
      <c r="AQ457" s="3">
        <v>0</v>
      </c>
      <c r="AR457" s="2" t="s">
        <v>5</v>
      </c>
      <c r="AS457" s="2" t="s">
        <v>5</v>
      </c>
      <c r="AU457" s="5" t="str">
        <f>HYPERLINK("https://creighton-primo.hosted.exlibrisgroup.com/primo-explore/search?tab=default_tab&amp;search_scope=EVERYTHING&amp;vid=01CRU&amp;lang=en_US&amp;offset=0&amp;query=any,contains,991001451459702656","Catalog Record")</f>
        <v>Catalog Record</v>
      </c>
      <c r="AV457" s="5" t="str">
        <f>HYPERLINK("http://www.worldcat.org/oclc/20453882","WorldCat Record")</f>
        <v>WorldCat Record</v>
      </c>
      <c r="AW457" s="2" t="s">
        <v>5852</v>
      </c>
      <c r="AX457" s="2" t="s">
        <v>5853</v>
      </c>
      <c r="AY457" s="2" t="s">
        <v>5854</v>
      </c>
      <c r="AZ457" s="2" t="s">
        <v>5854</v>
      </c>
      <c r="BA457" s="2" t="s">
        <v>5855</v>
      </c>
      <c r="BB457" s="2" t="s">
        <v>19</v>
      </c>
      <c r="BD457" s="2" t="s">
        <v>5856</v>
      </c>
      <c r="BE457" s="2" t="s">
        <v>5857</v>
      </c>
      <c r="BF457" s="2" t="s">
        <v>5858</v>
      </c>
    </row>
    <row r="458" spans="1:58" ht="50.25" customHeight="1" x14ac:dyDescent="0.25">
      <c r="A458" s="8" t="s">
        <v>5</v>
      </c>
      <c r="B458" s="1" t="s">
        <v>0</v>
      </c>
      <c r="C458" s="1" t="s">
        <v>1</v>
      </c>
      <c r="D458" s="1" t="s">
        <v>5859</v>
      </c>
      <c r="E458" s="1" t="s">
        <v>5860</v>
      </c>
      <c r="F458" s="1" t="s">
        <v>5861</v>
      </c>
      <c r="H458" s="2" t="s">
        <v>5</v>
      </c>
      <c r="I458" s="2" t="s">
        <v>6</v>
      </c>
      <c r="J458" s="2" t="s">
        <v>5</v>
      </c>
      <c r="K458" s="2" t="s">
        <v>5</v>
      </c>
      <c r="L458" s="2" t="s">
        <v>7</v>
      </c>
      <c r="M458" s="1" t="s">
        <v>5862</v>
      </c>
      <c r="N458" s="1" t="s">
        <v>5863</v>
      </c>
      <c r="O458" s="2" t="s">
        <v>198</v>
      </c>
      <c r="Q458" s="2" t="s">
        <v>10</v>
      </c>
      <c r="R458" s="2" t="s">
        <v>29</v>
      </c>
      <c r="S458" s="1" t="s">
        <v>5864</v>
      </c>
      <c r="T458" s="2" t="s">
        <v>12</v>
      </c>
      <c r="U458" s="3">
        <v>6</v>
      </c>
      <c r="V458" s="3">
        <v>6</v>
      </c>
      <c r="W458" s="4" t="s">
        <v>5865</v>
      </c>
      <c r="X458" s="4" t="s">
        <v>5865</v>
      </c>
      <c r="Y458" s="4" t="s">
        <v>1346</v>
      </c>
      <c r="Z458" s="4" t="s">
        <v>1346</v>
      </c>
      <c r="AA458" s="3">
        <v>192</v>
      </c>
      <c r="AB458" s="3">
        <v>166</v>
      </c>
      <c r="AC458" s="3">
        <v>168</v>
      </c>
      <c r="AD458" s="3">
        <v>1</v>
      </c>
      <c r="AE458" s="3">
        <v>1</v>
      </c>
      <c r="AF458" s="3">
        <v>4</v>
      </c>
      <c r="AG458" s="3">
        <v>4</v>
      </c>
      <c r="AH458" s="3">
        <v>1</v>
      </c>
      <c r="AI458" s="3">
        <v>1</v>
      </c>
      <c r="AJ458" s="3">
        <v>2</v>
      </c>
      <c r="AK458" s="3">
        <v>2</v>
      </c>
      <c r="AL458" s="3">
        <v>2</v>
      </c>
      <c r="AM458" s="3">
        <v>2</v>
      </c>
      <c r="AN458" s="3">
        <v>0</v>
      </c>
      <c r="AO458" s="3">
        <v>0</v>
      </c>
      <c r="AP458" s="3">
        <v>0</v>
      </c>
      <c r="AQ458" s="3">
        <v>0</v>
      </c>
      <c r="AR458" s="2" t="s">
        <v>5</v>
      </c>
      <c r="AS458" s="2" t="s">
        <v>90</v>
      </c>
      <c r="AT458" s="5" t="str">
        <f>HYPERLINK("http://catalog.hathitrust.org/Record/000423519","HathiTrust Record")</f>
        <v>HathiTrust Record</v>
      </c>
      <c r="AU458" s="5" t="str">
        <f>HYPERLINK("https://creighton-primo.hosted.exlibrisgroup.com/primo-explore/search?tab=default_tab&amp;search_scope=EVERYTHING&amp;vid=01CRU&amp;lang=en_US&amp;offset=0&amp;query=any,contains,991000734499702656","Catalog Record")</f>
        <v>Catalog Record</v>
      </c>
      <c r="AV458" s="5" t="str">
        <f>HYPERLINK("http://www.worldcat.org/oclc/11235768","WorldCat Record")</f>
        <v>WorldCat Record</v>
      </c>
      <c r="AW458" s="2" t="s">
        <v>5866</v>
      </c>
      <c r="AX458" s="2" t="s">
        <v>5867</v>
      </c>
      <c r="AY458" s="2" t="s">
        <v>5868</v>
      </c>
      <c r="AZ458" s="2" t="s">
        <v>5868</v>
      </c>
      <c r="BA458" s="2" t="s">
        <v>5869</v>
      </c>
      <c r="BB458" s="2" t="s">
        <v>19</v>
      </c>
      <c r="BD458" s="2" t="s">
        <v>5870</v>
      </c>
      <c r="BE458" s="2" t="s">
        <v>5871</v>
      </c>
      <c r="BF458" s="2" t="s">
        <v>5872</v>
      </c>
    </row>
    <row r="459" spans="1:58" ht="50.25" customHeight="1" x14ac:dyDescent="0.25">
      <c r="A459" s="8" t="s">
        <v>5</v>
      </c>
      <c r="B459" s="1" t="s">
        <v>0</v>
      </c>
      <c r="C459" s="1" t="s">
        <v>1</v>
      </c>
      <c r="D459" s="1" t="s">
        <v>5873</v>
      </c>
      <c r="E459" s="1" t="s">
        <v>5874</v>
      </c>
      <c r="F459" s="1" t="s">
        <v>5875</v>
      </c>
      <c r="H459" s="2" t="s">
        <v>5</v>
      </c>
      <c r="I459" s="2" t="s">
        <v>6</v>
      </c>
      <c r="J459" s="2" t="s">
        <v>5</v>
      </c>
      <c r="K459" s="2" t="s">
        <v>5</v>
      </c>
      <c r="L459" s="2" t="s">
        <v>7</v>
      </c>
      <c r="N459" s="1" t="s">
        <v>5876</v>
      </c>
      <c r="O459" s="2" t="s">
        <v>60</v>
      </c>
      <c r="Q459" s="2" t="s">
        <v>10</v>
      </c>
      <c r="R459" s="2" t="s">
        <v>77</v>
      </c>
      <c r="S459" s="1" t="s">
        <v>5877</v>
      </c>
      <c r="T459" s="2" t="s">
        <v>12</v>
      </c>
      <c r="U459" s="3">
        <v>2</v>
      </c>
      <c r="V459" s="3">
        <v>2</v>
      </c>
      <c r="W459" s="4" t="s">
        <v>5878</v>
      </c>
      <c r="X459" s="4" t="s">
        <v>5878</v>
      </c>
      <c r="Y459" s="4" t="s">
        <v>5879</v>
      </c>
      <c r="Z459" s="4" t="s">
        <v>5879</v>
      </c>
      <c r="AA459" s="3">
        <v>139</v>
      </c>
      <c r="AB459" s="3">
        <v>86</v>
      </c>
      <c r="AC459" s="3">
        <v>172</v>
      </c>
      <c r="AD459" s="3">
        <v>1</v>
      </c>
      <c r="AE459" s="3">
        <v>1</v>
      </c>
      <c r="AF459" s="3">
        <v>4</v>
      </c>
      <c r="AG459" s="3">
        <v>8</v>
      </c>
      <c r="AH459" s="3">
        <v>1</v>
      </c>
      <c r="AI459" s="3">
        <v>1</v>
      </c>
      <c r="AJ459" s="3">
        <v>0</v>
      </c>
      <c r="AK459" s="3">
        <v>4</v>
      </c>
      <c r="AL459" s="3">
        <v>4</v>
      </c>
      <c r="AM459" s="3">
        <v>5</v>
      </c>
      <c r="AN459" s="3">
        <v>0</v>
      </c>
      <c r="AO459" s="3">
        <v>0</v>
      </c>
      <c r="AP459" s="3">
        <v>0</v>
      </c>
      <c r="AQ459" s="3">
        <v>0</v>
      </c>
      <c r="AR459" s="2" t="s">
        <v>5</v>
      </c>
      <c r="AS459" s="2" t="s">
        <v>5</v>
      </c>
      <c r="AU459" s="5" t="str">
        <f>HYPERLINK("https://creighton-primo.hosted.exlibrisgroup.com/primo-explore/search?tab=default_tab&amp;search_scope=EVERYTHING&amp;vid=01CRU&amp;lang=en_US&amp;offset=0&amp;query=any,contains,991000435079702656","Catalog Record")</f>
        <v>Catalog Record</v>
      </c>
      <c r="AV459" s="5" t="str">
        <f>HYPERLINK("http://www.worldcat.org/oclc/53871752","WorldCat Record")</f>
        <v>WorldCat Record</v>
      </c>
      <c r="AW459" s="2" t="s">
        <v>5880</v>
      </c>
      <c r="AX459" s="2" t="s">
        <v>5881</v>
      </c>
      <c r="AY459" s="2" t="s">
        <v>5882</v>
      </c>
      <c r="AZ459" s="2" t="s">
        <v>5882</v>
      </c>
      <c r="BA459" s="2" t="s">
        <v>5883</v>
      </c>
      <c r="BB459" s="2" t="s">
        <v>19</v>
      </c>
      <c r="BD459" s="2" t="s">
        <v>5884</v>
      </c>
      <c r="BE459" s="2" t="s">
        <v>5885</v>
      </c>
      <c r="BF459" s="2" t="s">
        <v>5886</v>
      </c>
    </row>
    <row r="460" spans="1:58" ht="50.25" customHeight="1" x14ac:dyDescent="0.25">
      <c r="A460" s="8" t="s">
        <v>5</v>
      </c>
      <c r="B460" s="1" t="s">
        <v>0</v>
      </c>
      <c r="C460" s="1" t="s">
        <v>1</v>
      </c>
      <c r="D460" s="1" t="s">
        <v>5887</v>
      </c>
      <c r="E460" s="1" t="s">
        <v>5888</v>
      </c>
      <c r="F460" s="1" t="s">
        <v>5889</v>
      </c>
      <c r="H460" s="2" t="s">
        <v>5</v>
      </c>
      <c r="I460" s="2" t="s">
        <v>6</v>
      </c>
      <c r="J460" s="2" t="s">
        <v>5</v>
      </c>
      <c r="K460" s="2" t="s">
        <v>5</v>
      </c>
      <c r="L460" s="2" t="s">
        <v>6</v>
      </c>
      <c r="M460" s="1" t="s">
        <v>5890</v>
      </c>
      <c r="N460" s="1" t="s">
        <v>5891</v>
      </c>
      <c r="O460" s="2" t="s">
        <v>109</v>
      </c>
      <c r="Q460" s="2" t="s">
        <v>10</v>
      </c>
      <c r="R460" s="2" t="s">
        <v>77</v>
      </c>
      <c r="S460" s="1" t="s">
        <v>5892</v>
      </c>
      <c r="T460" s="2" t="s">
        <v>12</v>
      </c>
      <c r="U460" s="3">
        <v>6</v>
      </c>
      <c r="V460" s="3">
        <v>6</v>
      </c>
      <c r="W460" s="4" t="s">
        <v>1190</v>
      </c>
      <c r="X460" s="4" t="s">
        <v>1190</v>
      </c>
      <c r="Y460" s="4" t="s">
        <v>5893</v>
      </c>
      <c r="Z460" s="4" t="s">
        <v>5893</v>
      </c>
      <c r="AA460" s="3">
        <v>174</v>
      </c>
      <c r="AB460" s="3">
        <v>88</v>
      </c>
      <c r="AC460" s="3">
        <v>89</v>
      </c>
      <c r="AD460" s="3">
        <v>2</v>
      </c>
      <c r="AE460" s="3">
        <v>2</v>
      </c>
      <c r="AF460" s="3">
        <v>5</v>
      </c>
      <c r="AG460" s="3">
        <v>5</v>
      </c>
      <c r="AH460" s="3">
        <v>1</v>
      </c>
      <c r="AI460" s="3">
        <v>1</v>
      </c>
      <c r="AJ460" s="3">
        <v>2</v>
      </c>
      <c r="AK460" s="3">
        <v>2</v>
      </c>
      <c r="AL460" s="3">
        <v>2</v>
      </c>
      <c r="AM460" s="3">
        <v>2</v>
      </c>
      <c r="AN460" s="3">
        <v>1</v>
      </c>
      <c r="AO460" s="3">
        <v>1</v>
      </c>
      <c r="AP460" s="3">
        <v>0</v>
      </c>
      <c r="AQ460" s="3">
        <v>0</v>
      </c>
      <c r="AR460" s="2" t="s">
        <v>5</v>
      </c>
      <c r="AS460" s="2" t="s">
        <v>5</v>
      </c>
      <c r="AU460" s="5" t="str">
        <f>HYPERLINK("https://creighton-primo.hosted.exlibrisgroup.com/primo-explore/search?tab=default_tab&amp;search_scope=EVERYTHING&amp;vid=01CRU&amp;lang=en_US&amp;offset=0&amp;query=any,contains,991000360899702656","Catalog Record")</f>
        <v>Catalog Record</v>
      </c>
      <c r="AV460" s="5" t="str">
        <f>HYPERLINK("http://www.worldcat.org/oclc/51108967","WorldCat Record")</f>
        <v>WorldCat Record</v>
      </c>
      <c r="AW460" s="2" t="s">
        <v>5894</v>
      </c>
      <c r="AX460" s="2" t="s">
        <v>5895</v>
      </c>
      <c r="AY460" s="2" t="s">
        <v>5896</v>
      </c>
      <c r="AZ460" s="2" t="s">
        <v>5896</v>
      </c>
      <c r="BA460" s="2" t="s">
        <v>5897</v>
      </c>
      <c r="BB460" s="2" t="s">
        <v>19</v>
      </c>
      <c r="BD460" s="2" t="s">
        <v>5898</v>
      </c>
      <c r="BE460" s="2" t="s">
        <v>5899</v>
      </c>
      <c r="BF460" s="2" t="s">
        <v>5900</v>
      </c>
    </row>
    <row r="461" spans="1:58" ht="50.25" customHeight="1" x14ac:dyDescent="0.25">
      <c r="A461" s="8" t="s">
        <v>5</v>
      </c>
      <c r="B461" s="1" t="s">
        <v>0</v>
      </c>
      <c r="C461" s="1" t="s">
        <v>1</v>
      </c>
      <c r="D461" s="1" t="s">
        <v>5901</v>
      </c>
      <c r="E461" s="1" t="s">
        <v>5902</v>
      </c>
      <c r="F461" s="1" t="s">
        <v>5903</v>
      </c>
      <c r="H461" s="2" t="s">
        <v>5</v>
      </c>
      <c r="I461" s="2" t="s">
        <v>6</v>
      </c>
      <c r="J461" s="2" t="s">
        <v>5</v>
      </c>
      <c r="K461" s="2" t="s">
        <v>5</v>
      </c>
      <c r="L461" s="2" t="s">
        <v>7</v>
      </c>
      <c r="M461" s="1" t="s">
        <v>5904</v>
      </c>
      <c r="N461" s="1" t="s">
        <v>3059</v>
      </c>
      <c r="O461" s="2" t="s">
        <v>489</v>
      </c>
      <c r="P461" s="1" t="s">
        <v>568</v>
      </c>
      <c r="Q461" s="2" t="s">
        <v>10</v>
      </c>
      <c r="R461" s="2" t="s">
        <v>11</v>
      </c>
      <c r="S461" s="1" t="s">
        <v>5905</v>
      </c>
      <c r="T461" s="2" t="s">
        <v>12</v>
      </c>
      <c r="U461" s="3">
        <v>7</v>
      </c>
      <c r="V461" s="3">
        <v>7</v>
      </c>
      <c r="W461" s="4" t="s">
        <v>5906</v>
      </c>
      <c r="X461" s="4" t="s">
        <v>5906</v>
      </c>
      <c r="Y461" s="4" t="s">
        <v>5660</v>
      </c>
      <c r="Z461" s="4" t="s">
        <v>5660</v>
      </c>
      <c r="AA461" s="3">
        <v>290</v>
      </c>
      <c r="AB461" s="3">
        <v>190</v>
      </c>
      <c r="AC461" s="3">
        <v>323</v>
      </c>
      <c r="AD461" s="3">
        <v>1</v>
      </c>
      <c r="AE461" s="3">
        <v>1</v>
      </c>
      <c r="AF461" s="3">
        <v>6</v>
      </c>
      <c r="AG461" s="3">
        <v>11</v>
      </c>
      <c r="AH461" s="3">
        <v>1</v>
      </c>
      <c r="AI461" s="3">
        <v>1</v>
      </c>
      <c r="AJ461" s="3">
        <v>3</v>
      </c>
      <c r="AK461" s="3">
        <v>7</v>
      </c>
      <c r="AL461" s="3">
        <v>4</v>
      </c>
      <c r="AM461" s="3">
        <v>6</v>
      </c>
      <c r="AN461" s="3">
        <v>0</v>
      </c>
      <c r="AO461" s="3">
        <v>0</v>
      </c>
      <c r="AP461" s="3">
        <v>0</v>
      </c>
      <c r="AQ461" s="3">
        <v>0</v>
      </c>
      <c r="AR461" s="2" t="s">
        <v>5</v>
      </c>
      <c r="AS461" s="2" t="s">
        <v>5</v>
      </c>
      <c r="AU461" s="5" t="str">
        <f>HYPERLINK("https://creighton-primo.hosted.exlibrisgroup.com/primo-explore/search?tab=default_tab&amp;search_scope=EVERYTHING&amp;vid=01CRU&amp;lang=en_US&amp;offset=0&amp;query=any,contains,991001442929702656","Catalog Record")</f>
        <v>Catalog Record</v>
      </c>
      <c r="AV461" s="5" t="str">
        <f>HYPERLINK("http://www.worldcat.org/oclc/40830093","WorldCat Record")</f>
        <v>WorldCat Record</v>
      </c>
      <c r="AW461" s="2" t="s">
        <v>5907</v>
      </c>
      <c r="AX461" s="2" t="s">
        <v>5908</v>
      </c>
      <c r="AY461" s="2" t="s">
        <v>5909</v>
      </c>
      <c r="AZ461" s="2" t="s">
        <v>5909</v>
      </c>
      <c r="BA461" s="2" t="s">
        <v>5910</v>
      </c>
      <c r="BB461" s="2" t="s">
        <v>19</v>
      </c>
      <c r="BD461" s="2" t="s">
        <v>5911</v>
      </c>
      <c r="BE461" s="2" t="s">
        <v>5912</v>
      </c>
      <c r="BF461" s="2" t="s">
        <v>5913</v>
      </c>
    </row>
    <row r="462" spans="1:58" ht="50.25" customHeight="1" x14ac:dyDescent="0.25">
      <c r="A462" s="8" t="s">
        <v>5</v>
      </c>
      <c r="B462" s="1" t="s">
        <v>0</v>
      </c>
      <c r="C462" s="1" t="s">
        <v>1</v>
      </c>
      <c r="D462" s="1" t="s">
        <v>5914</v>
      </c>
      <c r="E462" s="1" t="s">
        <v>5915</v>
      </c>
      <c r="F462" s="1" t="s">
        <v>5916</v>
      </c>
      <c r="H462" s="2" t="s">
        <v>5</v>
      </c>
      <c r="I462" s="2" t="s">
        <v>6</v>
      </c>
      <c r="J462" s="2" t="s">
        <v>5</v>
      </c>
      <c r="K462" s="2" t="s">
        <v>5</v>
      </c>
      <c r="L462" s="2" t="s">
        <v>7</v>
      </c>
      <c r="N462" s="1" t="s">
        <v>5917</v>
      </c>
      <c r="O462" s="2" t="s">
        <v>1138</v>
      </c>
      <c r="Q462" s="2" t="s">
        <v>10</v>
      </c>
      <c r="R462" s="2" t="s">
        <v>29</v>
      </c>
      <c r="T462" s="2" t="s">
        <v>12</v>
      </c>
      <c r="U462" s="3">
        <v>2</v>
      </c>
      <c r="V462" s="3">
        <v>2</v>
      </c>
      <c r="W462" s="4" t="s">
        <v>5918</v>
      </c>
      <c r="X462" s="4" t="s">
        <v>5918</v>
      </c>
      <c r="Y462" s="4" t="s">
        <v>1346</v>
      </c>
      <c r="Z462" s="4" t="s">
        <v>1346</v>
      </c>
      <c r="AA462" s="3">
        <v>110</v>
      </c>
      <c r="AB462" s="3">
        <v>64</v>
      </c>
      <c r="AC462" s="3">
        <v>108</v>
      </c>
      <c r="AD462" s="3">
        <v>1</v>
      </c>
      <c r="AE462" s="3">
        <v>1</v>
      </c>
      <c r="AF462" s="3">
        <v>0</v>
      </c>
      <c r="AG462" s="3">
        <v>2</v>
      </c>
      <c r="AH462" s="3">
        <v>0</v>
      </c>
      <c r="AI462" s="3">
        <v>1</v>
      </c>
      <c r="AJ462" s="3">
        <v>0</v>
      </c>
      <c r="AK462" s="3">
        <v>1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2" t="s">
        <v>5</v>
      </c>
      <c r="AS462" s="2" t="s">
        <v>90</v>
      </c>
      <c r="AT462" s="5" t="str">
        <f>HYPERLINK("http://catalog.hathitrust.org/Record/004473636","HathiTrust Record")</f>
        <v>HathiTrust Record</v>
      </c>
      <c r="AU462" s="5" t="str">
        <f>HYPERLINK("https://creighton-primo.hosted.exlibrisgroup.com/primo-explore/search?tab=default_tab&amp;search_scope=EVERYTHING&amp;vid=01CRU&amp;lang=en_US&amp;offset=0&amp;query=any,contains,991000734819702656","Catalog Record")</f>
        <v>Catalog Record</v>
      </c>
      <c r="AV462" s="5" t="str">
        <f>HYPERLINK("http://www.worldcat.org/oclc/8667932","WorldCat Record")</f>
        <v>WorldCat Record</v>
      </c>
      <c r="AW462" s="2" t="s">
        <v>5919</v>
      </c>
      <c r="AX462" s="2" t="s">
        <v>5920</v>
      </c>
      <c r="AY462" s="2" t="s">
        <v>5921</v>
      </c>
      <c r="AZ462" s="2" t="s">
        <v>5921</v>
      </c>
      <c r="BA462" s="2" t="s">
        <v>5922</v>
      </c>
      <c r="BB462" s="2" t="s">
        <v>19</v>
      </c>
      <c r="BD462" s="2" t="s">
        <v>5923</v>
      </c>
      <c r="BE462" s="2" t="s">
        <v>5924</v>
      </c>
      <c r="BF462" s="2" t="s">
        <v>5925</v>
      </c>
    </row>
    <row r="463" spans="1:58" ht="50.25" customHeight="1" x14ac:dyDescent="0.25">
      <c r="A463" s="8" t="s">
        <v>5</v>
      </c>
      <c r="B463" s="1" t="s">
        <v>0</v>
      </c>
      <c r="C463" s="1" t="s">
        <v>1</v>
      </c>
      <c r="D463" s="1" t="s">
        <v>5926</v>
      </c>
      <c r="E463" s="1" t="s">
        <v>5927</v>
      </c>
      <c r="F463" s="1" t="s">
        <v>5928</v>
      </c>
      <c r="H463" s="2" t="s">
        <v>5</v>
      </c>
      <c r="I463" s="2" t="s">
        <v>6</v>
      </c>
      <c r="J463" s="2" t="s">
        <v>5</v>
      </c>
      <c r="K463" s="2" t="s">
        <v>5</v>
      </c>
      <c r="L463" s="2" t="s">
        <v>7</v>
      </c>
      <c r="M463" s="1" t="s">
        <v>5929</v>
      </c>
      <c r="N463" s="1" t="s">
        <v>5930</v>
      </c>
      <c r="O463" s="2" t="s">
        <v>1138</v>
      </c>
      <c r="Q463" s="2" t="s">
        <v>10</v>
      </c>
      <c r="R463" s="2" t="s">
        <v>77</v>
      </c>
      <c r="S463" s="1" t="s">
        <v>5931</v>
      </c>
      <c r="T463" s="2" t="s">
        <v>12</v>
      </c>
      <c r="U463" s="3">
        <v>9</v>
      </c>
      <c r="V463" s="3">
        <v>9</v>
      </c>
      <c r="W463" s="4" t="s">
        <v>4563</v>
      </c>
      <c r="X463" s="4" t="s">
        <v>4563</v>
      </c>
      <c r="Y463" s="4" t="s">
        <v>1346</v>
      </c>
      <c r="Z463" s="4" t="s">
        <v>1346</v>
      </c>
      <c r="AA463" s="3">
        <v>132</v>
      </c>
      <c r="AB463" s="3">
        <v>88</v>
      </c>
      <c r="AC463" s="3">
        <v>91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1</v>
      </c>
      <c r="AK463" s="3">
        <v>1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2" t="s">
        <v>5</v>
      </c>
      <c r="AS463" s="2" t="s">
        <v>5</v>
      </c>
      <c r="AU463" s="5" t="str">
        <f>HYPERLINK("https://creighton-primo.hosted.exlibrisgroup.com/primo-explore/search?tab=default_tab&amp;search_scope=EVERYTHING&amp;vid=01CRU&amp;lang=en_US&amp;offset=0&amp;query=any,contains,991000734879702656","Catalog Record")</f>
        <v>Catalog Record</v>
      </c>
      <c r="AV463" s="5" t="str">
        <f>HYPERLINK("http://www.worldcat.org/oclc/12082416","WorldCat Record")</f>
        <v>WorldCat Record</v>
      </c>
      <c r="AW463" s="2" t="s">
        <v>5932</v>
      </c>
      <c r="AX463" s="2" t="s">
        <v>5933</v>
      </c>
      <c r="AY463" s="2" t="s">
        <v>5934</v>
      </c>
      <c r="AZ463" s="2" t="s">
        <v>5934</v>
      </c>
      <c r="BA463" s="2" t="s">
        <v>5935</v>
      </c>
      <c r="BB463" s="2" t="s">
        <v>19</v>
      </c>
      <c r="BD463" s="2" t="s">
        <v>5936</v>
      </c>
      <c r="BE463" s="2" t="s">
        <v>5937</v>
      </c>
      <c r="BF463" s="2" t="s">
        <v>5938</v>
      </c>
    </row>
    <row r="464" spans="1:58" ht="50.25" customHeight="1" x14ac:dyDescent="0.25">
      <c r="A464" s="8" t="s">
        <v>5</v>
      </c>
      <c r="B464" s="1" t="s">
        <v>0</v>
      </c>
      <c r="C464" s="1" t="s">
        <v>1</v>
      </c>
      <c r="D464" s="1" t="s">
        <v>5939</v>
      </c>
      <c r="E464" s="1" t="s">
        <v>5940</v>
      </c>
      <c r="F464" s="1" t="s">
        <v>5941</v>
      </c>
      <c r="H464" s="2" t="s">
        <v>5</v>
      </c>
      <c r="I464" s="2" t="s">
        <v>6</v>
      </c>
      <c r="J464" s="2" t="s">
        <v>5</v>
      </c>
      <c r="K464" s="2" t="s">
        <v>5</v>
      </c>
      <c r="L464" s="2" t="s">
        <v>7</v>
      </c>
      <c r="M464" s="1" t="s">
        <v>5942</v>
      </c>
      <c r="N464" s="1" t="s">
        <v>5943</v>
      </c>
      <c r="O464" s="2" t="s">
        <v>28</v>
      </c>
      <c r="P464" s="1" t="s">
        <v>568</v>
      </c>
      <c r="Q464" s="2" t="s">
        <v>10</v>
      </c>
      <c r="R464" s="2" t="s">
        <v>61</v>
      </c>
      <c r="T464" s="2" t="s">
        <v>12</v>
      </c>
      <c r="U464" s="3">
        <v>29</v>
      </c>
      <c r="V464" s="3">
        <v>29</v>
      </c>
      <c r="W464" s="4" t="s">
        <v>5944</v>
      </c>
      <c r="X464" s="4" t="s">
        <v>5944</v>
      </c>
      <c r="Y464" s="4" t="s">
        <v>5711</v>
      </c>
      <c r="Z464" s="4" t="s">
        <v>5711</v>
      </c>
      <c r="AA464" s="3">
        <v>244</v>
      </c>
      <c r="AB464" s="3">
        <v>187</v>
      </c>
      <c r="AC464" s="3">
        <v>309</v>
      </c>
      <c r="AD464" s="3">
        <v>1</v>
      </c>
      <c r="AE464" s="3">
        <v>1</v>
      </c>
      <c r="AF464" s="3">
        <v>8</v>
      </c>
      <c r="AG464" s="3">
        <v>12</v>
      </c>
      <c r="AH464" s="3">
        <v>3</v>
      </c>
      <c r="AI464" s="3">
        <v>4</v>
      </c>
      <c r="AJ464" s="3">
        <v>1</v>
      </c>
      <c r="AK464" s="3">
        <v>2</v>
      </c>
      <c r="AL464" s="3">
        <v>3</v>
      </c>
      <c r="AM464" s="3">
        <v>6</v>
      </c>
      <c r="AN464" s="3">
        <v>0</v>
      </c>
      <c r="AO464" s="3">
        <v>0</v>
      </c>
      <c r="AP464" s="3">
        <v>3</v>
      </c>
      <c r="AQ464" s="3">
        <v>3</v>
      </c>
      <c r="AR464" s="2" t="s">
        <v>5</v>
      </c>
      <c r="AS464" s="2" t="s">
        <v>90</v>
      </c>
      <c r="AT464" s="5" t="str">
        <f>HYPERLINK("http://catalog.hathitrust.org/Record/001821624","HathiTrust Record")</f>
        <v>HathiTrust Record</v>
      </c>
      <c r="AU464" s="5" t="str">
        <f>HYPERLINK("https://creighton-primo.hosted.exlibrisgroup.com/primo-explore/search?tab=default_tab&amp;search_scope=EVERYTHING&amp;vid=01CRU&amp;lang=en_US&amp;offset=0&amp;query=any,contains,991001428879702656","Catalog Record")</f>
        <v>Catalog Record</v>
      </c>
      <c r="AV464" s="5" t="str">
        <f>HYPERLINK("http://www.worldcat.org/oclc/19944332","WorldCat Record")</f>
        <v>WorldCat Record</v>
      </c>
      <c r="AW464" s="2" t="s">
        <v>5945</v>
      </c>
      <c r="AX464" s="2" t="s">
        <v>5946</v>
      </c>
      <c r="AY464" s="2" t="s">
        <v>5947</v>
      </c>
      <c r="AZ464" s="2" t="s">
        <v>5947</v>
      </c>
      <c r="BA464" s="2" t="s">
        <v>5948</v>
      </c>
      <c r="BB464" s="2" t="s">
        <v>19</v>
      </c>
      <c r="BD464" s="2" t="s">
        <v>5949</v>
      </c>
      <c r="BE464" s="2" t="s">
        <v>5950</v>
      </c>
      <c r="BF464" s="2" t="s">
        <v>5951</v>
      </c>
    </row>
    <row r="465" spans="1:58" ht="50.25" customHeight="1" x14ac:dyDescent="0.25">
      <c r="A465" s="8" t="s">
        <v>5</v>
      </c>
      <c r="B465" s="1" t="s">
        <v>0</v>
      </c>
      <c r="C465" s="1" t="s">
        <v>1</v>
      </c>
      <c r="D465" s="1" t="s">
        <v>5952</v>
      </c>
      <c r="E465" s="1" t="s">
        <v>5953</v>
      </c>
      <c r="F465" s="1" t="s">
        <v>5954</v>
      </c>
      <c r="H465" s="2" t="s">
        <v>5</v>
      </c>
      <c r="I465" s="2" t="s">
        <v>6</v>
      </c>
      <c r="J465" s="2" t="s">
        <v>5</v>
      </c>
      <c r="K465" s="2" t="s">
        <v>5</v>
      </c>
      <c r="L465" s="2" t="s">
        <v>7</v>
      </c>
      <c r="M465" s="1" t="s">
        <v>5955</v>
      </c>
      <c r="N465" s="1" t="s">
        <v>5956</v>
      </c>
      <c r="O465" s="2" t="s">
        <v>474</v>
      </c>
      <c r="Q465" s="2" t="s">
        <v>10</v>
      </c>
      <c r="R465" s="2" t="s">
        <v>29</v>
      </c>
      <c r="T465" s="2" t="s">
        <v>12</v>
      </c>
      <c r="U465" s="3">
        <v>45</v>
      </c>
      <c r="V465" s="3">
        <v>45</v>
      </c>
      <c r="W465" s="4" t="s">
        <v>5957</v>
      </c>
      <c r="X465" s="4" t="s">
        <v>5957</v>
      </c>
      <c r="Y465" s="4" t="s">
        <v>5958</v>
      </c>
      <c r="Z465" s="4" t="s">
        <v>5958</v>
      </c>
      <c r="AA465" s="3">
        <v>507</v>
      </c>
      <c r="AB465" s="3">
        <v>425</v>
      </c>
      <c r="AC465" s="3">
        <v>432</v>
      </c>
      <c r="AD465" s="3">
        <v>3</v>
      </c>
      <c r="AE465" s="3">
        <v>3</v>
      </c>
      <c r="AF465" s="3">
        <v>11</v>
      </c>
      <c r="AG465" s="3">
        <v>11</v>
      </c>
      <c r="AH465" s="3">
        <v>5</v>
      </c>
      <c r="AI465" s="3">
        <v>5</v>
      </c>
      <c r="AJ465" s="3">
        <v>1</v>
      </c>
      <c r="AK465" s="3">
        <v>1</v>
      </c>
      <c r="AL465" s="3">
        <v>8</v>
      </c>
      <c r="AM465" s="3">
        <v>8</v>
      </c>
      <c r="AN465" s="3">
        <v>1</v>
      </c>
      <c r="AO465" s="3">
        <v>1</v>
      </c>
      <c r="AP465" s="3">
        <v>0</v>
      </c>
      <c r="AQ465" s="3">
        <v>0</v>
      </c>
      <c r="AR465" s="2" t="s">
        <v>5</v>
      </c>
      <c r="AS465" s="2" t="s">
        <v>90</v>
      </c>
      <c r="AT465" s="5" t="str">
        <f>HYPERLINK("http://catalog.hathitrust.org/Record/004494393","HathiTrust Record")</f>
        <v>HathiTrust Record</v>
      </c>
      <c r="AU465" s="5" t="str">
        <f>HYPERLINK("https://creighton-primo.hosted.exlibrisgroup.com/primo-explore/search?tab=default_tab&amp;search_scope=EVERYTHING&amp;vid=01CRU&amp;lang=en_US&amp;offset=0&amp;query=any,contains,991000820379702656","Catalog Record")</f>
        <v>Catalog Record</v>
      </c>
      <c r="AV465" s="5" t="str">
        <f>HYPERLINK("http://www.worldcat.org/oclc/20691847","WorldCat Record")</f>
        <v>WorldCat Record</v>
      </c>
      <c r="AW465" s="2" t="s">
        <v>5959</v>
      </c>
      <c r="AX465" s="2" t="s">
        <v>5960</v>
      </c>
      <c r="AY465" s="2" t="s">
        <v>5961</v>
      </c>
      <c r="AZ465" s="2" t="s">
        <v>5961</v>
      </c>
      <c r="BA465" s="2" t="s">
        <v>5962</v>
      </c>
      <c r="BB465" s="2" t="s">
        <v>19</v>
      </c>
      <c r="BD465" s="2" t="s">
        <v>5963</v>
      </c>
      <c r="BE465" s="2" t="s">
        <v>5964</v>
      </c>
      <c r="BF465" s="2" t="s">
        <v>5965</v>
      </c>
    </row>
    <row r="466" spans="1:58" ht="50.25" customHeight="1" x14ac:dyDescent="0.25">
      <c r="A466" s="8" t="s">
        <v>5</v>
      </c>
      <c r="B466" s="1" t="s">
        <v>0</v>
      </c>
      <c r="C466" s="1" t="s">
        <v>1</v>
      </c>
      <c r="D466" s="1" t="s">
        <v>5966</v>
      </c>
      <c r="E466" s="1" t="s">
        <v>5967</v>
      </c>
      <c r="F466" s="1" t="s">
        <v>5968</v>
      </c>
      <c r="H466" s="2" t="s">
        <v>5</v>
      </c>
      <c r="I466" s="2" t="s">
        <v>6</v>
      </c>
      <c r="J466" s="2" t="s">
        <v>5</v>
      </c>
      <c r="K466" s="2" t="s">
        <v>90</v>
      </c>
      <c r="L466" s="2" t="s">
        <v>6</v>
      </c>
      <c r="M466" s="1" t="s">
        <v>5969</v>
      </c>
      <c r="N466" s="1" t="s">
        <v>4651</v>
      </c>
      <c r="O466" s="2" t="s">
        <v>274</v>
      </c>
      <c r="Q466" s="2" t="s">
        <v>10</v>
      </c>
      <c r="R466" s="2" t="s">
        <v>77</v>
      </c>
      <c r="S466" s="1" t="s">
        <v>3444</v>
      </c>
      <c r="T466" s="2" t="s">
        <v>12</v>
      </c>
      <c r="U466" s="3">
        <v>7</v>
      </c>
      <c r="V466" s="3">
        <v>7</v>
      </c>
      <c r="W466" s="4" t="s">
        <v>5970</v>
      </c>
      <c r="X466" s="4" t="s">
        <v>5970</v>
      </c>
      <c r="Y466" s="4" t="s">
        <v>5971</v>
      </c>
      <c r="Z466" s="4" t="s">
        <v>5971</v>
      </c>
      <c r="AA466" s="3">
        <v>52</v>
      </c>
      <c r="AB466" s="3">
        <v>13</v>
      </c>
      <c r="AC466" s="3">
        <v>1113</v>
      </c>
      <c r="AD466" s="3">
        <v>1</v>
      </c>
      <c r="AE466" s="3">
        <v>15</v>
      </c>
      <c r="AF466" s="3">
        <v>0</v>
      </c>
      <c r="AG466" s="3">
        <v>55</v>
      </c>
      <c r="AH466" s="3">
        <v>0</v>
      </c>
      <c r="AI466" s="3">
        <v>19</v>
      </c>
      <c r="AJ466" s="3">
        <v>0</v>
      </c>
      <c r="AK466" s="3">
        <v>12</v>
      </c>
      <c r="AL466" s="3">
        <v>0</v>
      </c>
      <c r="AM466" s="3">
        <v>17</v>
      </c>
      <c r="AN466" s="3">
        <v>0</v>
      </c>
      <c r="AO466" s="3">
        <v>13</v>
      </c>
      <c r="AP466" s="3">
        <v>0</v>
      </c>
      <c r="AQ466" s="3">
        <v>3</v>
      </c>
      <c r="AR466" s="2" t="s">
        <v>5</v>
      </c>
      <c r="AS466" s="2" t="s">
        <v>5</v>
      </c>
      <c r="AU466" s="5" t="str">
        <f>HYPERLINK("https://creighton-primo.hosted.exlibrisgroup.com/primo-explore/search?tab=default_tab&amp;search_scope=EVERYTHING&amp;vid=01CRU&amp;lang=en_US&amp;offset=0&amp;query=any,contains,991001298539702656","Catalog Record")</f>
        <v>Catalog Record</v>
      </c>
      <c r="AV466" s="5" t="str">
        <f>HYPERLINK("http://www.worldcat.org/oclc/24768716","WorldCat Record")</f>
        <v>WorldCat Record</v>
      </c>
      <c r="AW466" s="2" t="s">
        <v>5972</v>
      </c>
      <c r="AX466" s="2" t="s">
        <v>5973</v>
      </c>
      <c r="AY466" s="2" t="s">
        <v>5974</v>
      </c>
      <c r="AZ466" s="2" t="s">
        <v>5974</v>
      </c>
      <c r="BA466" s="2" t="s">
        <v>5975</v>
      </c>
      <c r="BB466" s="2" t="s">
        <v>19</v>
      </c>
      <c r="BD466" s="2" t="s">
        <v>5976</v>
      </c>
      <c r="BE466" s="2" t="s">
        <v>5977</v>
      </c>
      <c r="BF466" s="2" t="s">
        <v>5978</v>
      </c>
    </row>
    <row r="467" spans="1:58" ht="50.25" customHeight="1" x14ac:dyDescent="0.25">
      <c r="A467" s="8" t="s">
        <v>5</v>
      </c>
      <c r="B467" s="1" t="s">
        <v>0</v>
      </c>
      <c r="C467" s="1" t="s">
        <v>1</v>
      </c>
      <c r="D467" s="1" t="s">
        <v>5979</v>
      </c>
      <c r="E467" s="1" t="s">
        <v>5980</v>
      </c>
      <c r="F467" s="1" t="s">
        <v>5968</v>
      </c>
      <c r="H467" s="2" t="s">
        <v>5</v>
      </c>
      <c r="I467" s="2" t="s">
        <v>6</v>
      </c>
      <c r="J467" s="2" t="s">
        <v>5</v>
      </c>
      <c r="K467" s="2" t="s">
        <v>90</v>
      </c>
      <c r="L467" s="2" t="s">
        <v>6</v>
      </c>
      <c r="M467" s="1" t="s">
        <v>5969</v>
      </c>
      <c r="N467" s="1" t="s">
        <v>665</v>
      </c>
      <c r="O467" s="2" t="s">
        <v>109</v>
      </c>
      <c r="P467" s="1" t="s">
        <v>404</v>
      </c>
      <c r="Q467" s="2" t="s">
        <v>10</v>
      </c>
      <c r="R467" s="2" t="s">
        <v>77</v>
      </c>
      <c r="S467" s="1" t="s">
        <v>3444</v>
      </c>
      <c r="T467" s="2" t="s">
        <v>12</v>
      </c>
      <c r="U467" s="3">
        <v>2</v>
      </c>
      <c r="V467" s="3">
        <v>2</v>
      </c>
      <c r="W467" s="4" t="s">
        <v>5981</v>
      </c>
      <c r="X467" s="4" t="s">
        <v>5981</v>
      </c>
      <c r="Y467" s="4" t="s">
        <v>5982</v>
      </c>
      <c r="Z467" s="4" t="s">
        <v>5982</v>
      </c>
      <c r="AA467" s="3">
        <v>300</v>
      </c>
      <c r="AB467" s="3">
        <v>174</v>
      </c>
      <c r="AC467" s="3">
        <v>1113</v>
      </c>
      <c r="AD467" s="3">
        <v>3</v>
      </c>
      <c r="AE467" s="3">
        <v>15</v>
      </c>
      <c r="AF467" s="3">
        <v>10</v>
      </c>
      <c r="AG467" s="3">
        <v>55</v>
      </c>
      <c r="AH467" s="3">
        <v>0</v>
      </c>
      <c r="AI467" s="3">
        <v>19</v>
      </c>
      <c r="AJ467" s="3">
        <v>5</v>
      </c>
      <c r="AK467" s="3">
        <v>12</v>
      </c>
      <c r="AL467" s="3">
        <v>4</v>
      </c>
      <c r="AM467" s="3">
        <v>17</v>
      </c>
      <c r="AN467" s="3">
        <v>2</v>
      </c>
      <c r="AO467" s="3">
        <v>13</v>
      </c>
      <c r="AP467" s="3">
        <v>0</v>
      </c>
      <c r="AQ467" s="3">
        <v>3</v>
      </c>
      <c r="AR467" s="2" t="s">
        <v>5</v>
      </c>
      <c r="AS467" s="2" t="s">
        <v>5</v>
      </c>
      <c r="AU467" s="5" t="str">
        <f>HYPERLINK("https://creighton-primo.hosted.exlibrisgroup.com/primo-explore/search?tab=default_tab&amp;search_scope=EVERYTHING&amp;vid=01CRU&amp;lang=en_US&amp;offset=0&amp;query=any,contains,991000465959702656","Catalog Record")</f>
        <v>Catalog Record</v>
      </c>
      <c r="AV467" s="5" t="str">
        <f>HYPERLINK("http://www.worldcat.org/oclc/52784698","WorldCat Record")</f>
        <v>WorldCat Record</v>
      </c>
      <c r="AW467" s="2" t="s">
        <v>5972</v>
      </c>
      <c r="AX467" s="2" t="s">
        <v>5983</v>
      </c>
      <c r="AY467" s="2" t="s">
        <v>5984</v>
      </c>
      <c r="AZ467" s="2" t="s">
        <v>5984</v>
      </c>
      <c r="BA467" s="2" t="s">
        <v>5985</v>
      </c>
      <c r="BB467" s="2" t="s">
        <v>19</v>
      </c>
      <c r="BD467" s="2" t="s">
        <v>5986</v>
      </c>
      <c r="BE467" s="2" t="s">
        <v>5987</v>
      </c>
      <c r="BF467" s="2" t="s">
        <v>5988</v>
      </c>
    </row>
    <row r="468" spans="1:58" ht="50.25" customHeight="1" x14ac:dyDescent="0.25">
      <c r="A468" s="8" t="s">
        <v>5</v>
      </c>
      <c r="B468" s="1" t="s">
        <v>0</v>
      </c>
      <c r="C468" s="1" t="s">
        <v>1</v>
      </c>
      <c r="D468" s="1" t="s">
        <v>5989</v>
      </c>
      <c r="E468" s="1" t="s">
        <v>5990</v>
      </c>
      <c r="F468" s="1" t="s">
        <v>5991</v>
      </c>
      <c r="H468" s="2" t="s">
        <v>5</v>
      </c>
      <c r="I468" s="2" t="s">
        <v>6</v>
      </c>
      <c r="J468" s="2" t="s">
        <v>5</v>
      </c>
      <c r="K468" s="2" t="s">
        <v>5</v>
      </c>
      <c r="L468" s="2" t="s">
        <v>7</v>
      </c>
      <c r="M468" s="1" t="s">
        <v>5992</v>
      </c>
      <c r="N468" s="1" t="s">
        <v>5993</v>
      </c>
      <c r="O468" s="2" t="s">
        <v>213</v>
      </c>
      <c r="P468" s="1" t="s">
        <v>568</v>
      </c>
      <c r="Q468" s="2" t="s">
        <v>10</v>
      </c>
      <c r="R468" s="2" t="s">
        <v>29</v>
      </c>
      <c r="T468" s="2" t="s">
        <v>12</v>
      </c>
      <c r="U468" s="3">
        <v>4</v>
      </c>
      <c r="V468" s="3">
        <v>4</v>
      </c>
      <c r="W468" s="4" t="s">
        <v>156</v>
      </c>
      <c r="X468" s="4" t="s">
        <v>156</v>
      </c>
      <c r="Y468" s="4" t="s">
        <v>1494</v>
      </c>
      <c r="Z468" s="4" t="s">
        <v>1494</v>
      </c>
      <c r="AA468" s="3">
        <v>344</v>
      </c>
      <c r="AB468" s="3">
        <v>263</v>
      </c>
      <c r="AC468" s="3">
        <v>403</v>
      </c>
      <c r="AD468" s="3">
        <v>3</v>
      </c>
      <c r="AE468" s="3">
        <v>3</v>
      </c>
      <c r="AF468" s="3">
        <v>12</v>
      </c>
      <c r="AG468" s="3">
        <v>16</v>
      </c>
      <c r="AH468" s="3">
        <v>4</v>
      </c>
      <c r="AI468" s="3">
        <v>7</v>
      </c>
      <c r="AJ468" s="3">
        <v>3</v>
      </c>
      <c r="AK468" s="3">
        <v>3</v>
      </c>
      <c r="AL468" s="3">
        <v>9</v>
      </c>
      <c r="AM468" s="3">
        <v>12</v>
      </c>
      <c r="AN468" s="3">
        <v>1</v>
      </c>
      <c r="AO468" s="3">
        <v>1</v>
      </c>
      <c r="AP468" s="3">
        <v>0</v>
      </c>
      <c r="AQ468" s="3">
        <v>0</v>
      </c>
      <c r="AR468" s="2" t="s">
        <v>5</v>
      </c>
      <c r="AS468" s="2" t="s">
        <v>5</v>
      </c>
      <c r="AU468" s="5" t="str">
        <f>HYPERLINK("https://creighton-primo.hosted.exlibrisgroup.com/primo-explore/search?tab=default_tab&amp;search_scope=EVERYTHING&amp;vid=01CRU&amp;lang=en_US&amp;offset=0&amp;query=any,contains,991001301089702656","Catalog Record")</f>
        <v>Catalog Record</v>
      </c>
      <c r="AV468" s="5" t="str">
        <f>HYPERLINK("http://www.worldcat.org/oclc/24870912","WorldCat Record")</f>
        <v>WorldCat Record</v>
      </c>
      <c r="AW468" s="2" t="s">
        <v>5994</v>
      </c>
      <c r="AX468" s="2" t="s">
        <v>5995</v>
      </c>
      <c r="AY468" s="2" t="s">
        <v>5996</v>
      </c>
      <c r="AZ468" s="2" t="s">
        <v>5996</v>
      </c>
      <c r="BA468" s="2" t="s">
        <v>5997</v>
      </c>
      <c r="BB468" s="2" t="s">
        <v>19</v>
      </c>
      <c r="BD468" s="2" t="s">
        <v>5998</v>
      </c>
      <c r="BE468" s="2" t="s">
        <v>5999</v>
      </c>
      <c r="BF468" s="2" t="s">
        <v>6000</v>
      </c>
    </row>
    <row r="469" spans="1:58" ht="50.25" customHeight="1" x14ac:dyDescent="0.25">
      <c r="A469" s="8" t="s">
        <v>5</v>
      </c>
      <c r="B469" s="1" t="s">
        <v>0</v>
      </c>
      <c r="C469" s="1" t="s">
        <v>1</v>
      </c>
      <c r="D469" s="1" t="s">
        <v>6001</v>
      </c>
      <c r="E469" s="1" t="s">
        <v>6002</v>
      </c>
      <c r="F469" s="1" t="s">
        <v>6003</v>
      </c>
      <c r="H469" s="2" t="s">
        <v>5</v>
      </c>
      <c r="I469" s="2" t="s">
        <v>6</v>
      </c>
      <c r="J469" s="2" t="s">
        <v>5</v>
      </c>
      <c r="K469" s="2" t="s">
        <v>5</v>
      </c>
      <c r="L469" s="2" t="s">
        <v>7</v>
      </c>
      <c r="M469" s="1" t="s">
        <v>5992</v>
      </c>
      <c r="N469" s="1" t="s">
        <v>6004</v>
      </c>
      <c r="O469" s="2" t="s">
        <v>289</v>
      </c>
      <c r="P469" s="1" t="s">
        <v>404</v>
      </c>
      <c r="Q469" s="2" t="s">
        <v>10</v>
      </c>
      <c r="R469" s="2" t="s">
        <v>529</v>
      </c>
      <c r="T469" s="2" t="s">
        <v>12</v>
      </c>
      <c r="U469" s="3">
        <v>13</v>
      </c>
      <c r="V469" s="3">
        <v>13</v>
      </c>
      <c r="W469" s="4" t="s">
        <v>6005</v>
      </c>
      <c r="X469" s="4" t="s">
        <v>6005</v>
      </c>
      <c r="Y469" s="4" t="s">
        <v>6006</v>
      </c>
      <c r="Z469" s="4" t="s">
        <v>6006</v>
      </c>
      <c r="AA469" s="3">
        <v>270</v>
      </c>
      <c r="AB469" s="3">
        <v>194</v>
      </c>
      <c r="AC469" s="3">
        <v>203</v>
      </c>
      <c r="AD469" s="3">
        <v>1</v>
      </c>
      <c r="AE469" s="3">
        <v>1</v>
      </c>
      <c r="AF469" s="3">
        <v>11</v>
      </c>
      <c r="AG469" s="3">
        <v>11</v>
      </c>
      <c r="AH469" s="3">
        <v>4</v>
      </c>
      <c r="AI469" s="3">
        <v>4</v>
      </c>
      <c r="AJ469" s="3">
        <v>3</v>
      </c>
      <c r="AK469" s="3">
        <v>3</v>
      </c>
      <c r="AL469" s="3">
        <v>6</v>
      </c>
      <c r="AM469" s="3">
        <v>6</v>
      </c>
      <c r="AN469" s="3">
        <v>0</v>
      </c>
      <c r="AO469" s="3">
        <v>0</v>
      </c>
      <c r="AP469" s="3">
        <v>0</v>
      </c>
      <c r="AQ469" s="3">
        <v>0</v>
      </c>
      <c r="AR469" s="2" t="s">
        <v>5</v>
      </c>
      <c r="AS469" s="2" t="s">
        <v>90</v>
      </c>
      <c r="AT469" s="5" t="str">
        <f>HYPERLINK("http://catalog.hathitrust.org/Record/005614312","HathiTrust Record")</f>
        <v>HathiTrust Record</v>
      </c>
      <c r="AU469" s="5" t="str">
        <f>HYPERLINK("https://creighton-primo.hosted.exlibrisgroup.com/primo-explore/search?tab=default_tab&amp;search_scope=EVERYTHING&amp;vid=01CRU&amp;lang=en_US&amp;offset=0&amp;query=any,contains,991001800929702656","Catalog Record")</f>
        <v>Catalog Record</v>
      </c>
      <c r="AV469" s="5" t="str">
        <f>HYPERLINK("http://www.worldcat.org/oclc/42976719","WorldCat Record")</f>
        <v>WorldCat Record</v>
      </c>
      <c r="AW469" s="2" t="s">
        <v>6007</v>
      </c>
      <c r="AX469" s="2" t="s">
        <v>6008</v>
      </c>
      <c r="AY469" s="2" t="s">
        <v>6009</v>
      </c>
      <c r="AZ469" s="2" t="s">
        <v>6009</v>
      </c>
      <c r="BA469" s="2" t="s">
        <v>6010</v>
      </c>
      <c r="BB469" s="2" t="s">
        <v>19</v>
      </c>
      <c r="BD469" s="2" t="s">
        <v>6011</v>
      </c>
      <c r="BE469" s="2" t="s">
        <v>6012</v>
      </c>
      <c r="BF469" s="2" t="s">
        <v>6013</v>
      </c>
    </row>
    <row r="470" spans="1:58" ht="50.25" customHeight="1" x14ac:dyDescent="0.25">
      <c r="A470" s="8" t="s">
        <v>5</v>
      </c>
      <c r="B470" s="1" t="s">
        <v>0</v>
      </c>
      <c r="C470" s="1" t="s">
        <v>1</v>
      </c>
      <c r="D470" s="1" t="s">
        <v>6014</v>
      </c>
      <c r="E470" s="1" t="s">
        <v>6015</v>
      </c>
      <c r="F470" s="1" t="s">
        <v>6016</v>
      </c>
      <c r="H470" s="2" t="s">
        <v>5</v>
      </c>
      <c r="I470" s="2" t="s">
        <v>6</v>
      </c>
      <c r="J470" s="2" t="s">
        <v>5</v>
      </c>
      <c r="K470" s="2" t="s">
        <v>5</v>
      </c>
      <c r="L470" s="2" t="s">
        <v>7</v>
      </c>
      <c r="M470" s="1" t="s">
        <v>6017</v>
      </c>
      <c r="N470" s="1" t="s">
        <v>6018</v>
      </c>
      <c r="O470" s="2" t="s">
        <v>198</v>
      </c>
      <c r="P470" s="1" t="s">
        <v>6019</v>
      </c>
      <c r="Q470" s="2" t="s">
        <v>10</v>
      </c>
      <c r="R470" s="2" t="s">
        <v>199</v>
      </c>
      <c r="T470" s="2" t="s">
        <v>12</v>
      </c>
      <c r="U470" s="3">
        <v>11</v>
      </c>
      <c r="V470" s="3">
        <v>11</v>
      </c>
      <c r="W470" s="4" t="s">
        <v>6020</v>
      </c>
      <c r="X470" s="4" t="s">
        <v>6020</v>
      </c>
      <c r="Y470" s="4" t="s">
        <v>6021</v>
      </c>
      <c r="Z470" s="4" t="s">
        <v>6021</v>
      </c>
      <c r="AA470" s="3">
        <v>60</v>
      </c>
      <c r="AB470" s="3">
        <v>45</v>
      </c>
      <c r="AC470" s="3">
        <v>51</v>
      </c>
      <c r="AD470" s="3">
        <v>2</v>
      </c>
      <c r="AE470" s="3">
        <v>2</v>
      </c>
      <c r="AF470" s="3">
        <v>2</v>
      </c>
      <c r="AG470" s="3">
        <v>3</v>
      </c>
      <c r="AH470" s="3">
        <v>0</v>
      </c>
      <c r="AI470" s="3">
        <v>0</v>
      </c>
      <c r="AJ470" s="3">
        <v>1</v>
      </c>
      <c r="AK470" s="3">
        <v>1</v>
      </c>
      <c r="AL470" s="3">
        <v>1</v>
      </c>
      <c r="AM470" s="3">
        <v>2</v>
      </c>
      <c r="AN470" s="3">
        <v>1</v>
      </c>
      <c r="AO470" s="3">
        <v>1</v>
      </c>
      <c r="AP470" s="3">
        <v>0</v>
      </c>
      <c r="AQ470" s="3">
        <v>0</v>
      </c>
      <c r="AR470" s="2" t="s">
        <v>5</v>
      </c>
      <c r="AS470" s="2" t="s">
        <v>90</v>
      </c>
      <c r="AT470" s="5" t="str">
        <f>HYPERLINK("http://catalog.hathitrust.org/Record/000623959","HathiTrust Record")</f>
        <v>HathiTrust Record</v>
      </c>
      <c r="AU470" s="5" t="str">
        <f>HYPERLINK("https://creighton-primo.hosted.exlibrisgroup.com/primo-explore/search?tab=default_tab&amp;search_scope=EVERYTHING&amp;vid=01CRU&amp;lang=en_US&amp;offset=0&amp;query=any,contains,991000947099702656","Catalog Record")</f>
        <v>Catalog Record</v>
      </c>
      <c r="AV470" s="5" t="str">
        <f>HYPERLINK("http://www.worldcat.org/oclc/12135090","WorldCat Record")</f>
        <v>WorldCat Record</v>
      </c>
      <c r="AW470" s="2" t="s">
        <v>6022</v>
      </c>
      <c r="AX470" s="2" t="s">
        <v>6023</v>
      </c>
      <c r="AY470" s="2" t="s">
        <v>6024</v>
      </c>
      <c r="AZ470" s="2" t="s">
        <v>6024</v>
      </c>
      <c r="BA470" s="2" t="s">
        <v>6025</v>
      </c>
      <c r="BB470" s="2" t="s">
        <v>19</v>
      </c>
      <c r="BD470" s="2" t="s">
        <v>6026</v>
      </c>
      <c r="BE470" s="2" t="s">
        <v>6027</v>
      </c>
      <c r="BF470" s="2" t="s">
        <v>6028</v>
      </c>
    </row>
    <row r="471" spans="1:58" ht="50.25" customHeight="1" x14ac:dyDescent="0.25">
      <c r="A471" s="8" t="s">
        <v>5</v>
      </c>
      <c r="B471" s="1" t="s">
        <v>0</v>
      </c>
      <c r="C471" s="1" t="s">
        <v>1</v>
      </c>
      <c r="D471" s="1" t="s">
        <v>6029</v>
      </c>
      <c r="E471" s="1" t="s">
        <v>6030</v>
      </c>
      <c r="F471" s="1" t="s">
        <v>6031</v>
      </c>
      <c r="H471" s="2" t="s">
        <v>5</v>
      </c>
      <c r="I471" s="2" t="s">
        <v>6</v>
      </c>
      <c r="J471" s="2" t="s">
        <v>5</v>
      </c>
      <c r="K471" s="2" t="s">
        <v>5</v>
      </c>
      <c r="L471" s="2" t="s">
        <v>7</v>
      </c>
      <c r="N471" s="1" t="s">
        <v>6032</v>
      </c>
      <c r="O471" s="2" t="s">
        <v>319</v>
      </c>
      <c r="Q471" s="2" t="s">
        <v>10</v>
      </c>
      <c r="R471" s="2" t="s">
        <v>11</v>
      </c>
      <c r="S471" s="1" t="s">
        <v>6033</v>
      </c>
      <c r="T471" s="2" t="s">
        <v>12</v>
      </c>
      <c r="U471" s="3">
        <v>0</v>
      </c>
      <c r="V471" s="3">
        <v>0</v>
      </c>
      <c r="W471" s="4" t="s">
        <v>2149</v>
      </c>
      <c r="X471" s="4" t="s">
        <v>2149</v>
      </c>
      <c r="Y471" s="4" t="s">
        <v>1152</v>
      </c>
      <c r="Z471" s="4" t="s">
        <v>1152</v>
      </c>
      <c r="AA471" s="3">
        <v>75</v>
      </c>
      <c r="AB471" s="3">
        <v>69</v>
      </c>
      <c r="AC471" s="3">
        <v>70</v>
      </c>
      <c r="AD471" s="3">
        <v>2</v>
      </c>
      <c r="AE471" s="3">
        <v>2</v>
      </c>
      <c r="AF471" s="3">
        <v>2</v>
      </c>
      <c r="AG471" s="3">
        <v>2</v>
      </c>
      <c r="AH471" s="3">
        <v>0</v>
      </c>
      <c r="AI471" s="3">
        <v>0</v>
      </c>
      <c r="AJ471" s="3">
        <v>0</v>
      </c>
      <c r="AK471" s="3">
        <v>0</v>
      </c>
      <c r="AL471" s="3">
        <v>2</v>
      </c>
      <c r="AM471" s="3">
        <v>2</v>
      </c>
      <c r="AN471" s="3">
        <v>0</v>
      </c>
      <c r="AO471" s="3">
        <v>0</v>
      </c>
      <c r="AP471" s="3">
        <v>0</v>
      </c>
      <c r="AQ471" s="3">
        <v>0</v>
      </c>
      <c r="AR471" s="2" t="s">
        <v>5</v>
      </c>
      <c r="AS471" s="2" t="s">
        <v>5</v>
      </c>
      <c r="AU471" s="5" t="str">
        <f>HYPERLINK("https://creighton-primo.hosted.exlibrisgroup.com/primo-explore/search?tab=default_tab&amp;search_scope=EVERYTHING&amp;vid=01CRU&amp;lang=en_US&amp;offset=0&amp;query=any,contains,991000246069702656","Catalog Record")</f>
        <v>Catalog Record</v>
      </c>
      <c r="AV471" s="5" t="str">
        <f>HYPERLINK("http://www.worldcat.org/oclc/29649634","WorldCat Record")</f>
        <v>WorldCat Record</v>
      </c>
      <c r="AW471" s="2" t="s">
        <v>6034</v>
      </c>
      <c r="AX471" s="2" t="s">
        <v>6035</v>
      </c>
      <c r="AY471" s="2" t="s">
        <v>6036</v>
      </c>
      <c r="AZ471" s="2" t="s">
        <v>6036</v>
      </c>
      <c r="BA471" s="2" t="s">
        <v>6037</v>
      </c>
      <c r="BB471" s="2" t="s">
        <v>19</v>
      </c>
      <c r="BE471" s="2" t="s">
        <v>6038</v>
      </c>
      <c r="BF471" s="2" t="s">
        <v>6039</v>
      </c>
    </row>
    <row r="472" spans="1:58" ht="50.25" customHeight="1" x14ac:dyDescent="0.25">
      <c r="A472" s="8" t="s">
        <v>5</v>
      </c>
      <c r="B472" s="1" t="s">
        <v>0</v>
      </c>
      <c r="C472" s="1" t="s">
        <v>1</v>
      </c>
      <c r="D472" s="1" t="s">
        <v>6040</v>
      </c>
      <c r="E472" s="1" t="s">
        <v>6041</v>
      </c>
      <c r="F472" s="1" t="s">
        <v>6042</v>
      </c>
      <c r="H472" s="2" t="s">
        <v>5</v>
      </c>
      <c r="I472" s="2" t="s">
        <v>6</v>
      </c>
      <c r="J472" s="2" t="s">
        <v>5</v>
      </c>
      <c r="K472" s="2" t="s">
        <v>5</v>
      </c>
      <c r="L472" s="2" t="s">
        <v>7</v>
      </c>
      <c r="N472" s="1" t="s">
        <v>6043</v>
      </c>
      <c r="O472" s="2" t="s">
        <v>125</v>
      </c>
      <c r="Q472" s="2" t="s">
        <v>10</v>
      </c>
      <c r="R472" s="2" t="s">
        <v>11</v>
      </c>
      <c r="S472" s="1" t="s">
        <v>6044</v>
      </c>
      <c r="T472" s="2" t="s">
        <v>12</v>
      </c>
      <c r="U472" s="3">
        <v>0</v>
      </c>
      <c r="V472" s="3">
        <v>0</v>
      </c>
      <c r="W472" s="4" t="s">
        <v>2149</v>
      </c>
      <c r="X472" s="4" t="s">
        <v>2149</v>
      </c>
      <c r="Y472" s="4" t="s">
        <v>1152</v>
      </c>
      <c r="Z472" s="4" t="s">
        <v>1152</v>
      </c>
      <c r="AA472" s="3">
        <v>24</v>
      </c>
      <c r="AB472" s="3">
        <v>22</v>
      </c>
      <c r="AC472" s="3">
        <v>22</v>
      </c>
      <c r="AD472" s="3">
        <v>1</v>
      </c>
      <c r="AE472" s="3">
        <v>1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2" t="s">
        <v>5</v>
      </c>
      <c r="AS472" s="2" t="s">
        <v>5</v>
      </c>
      <c r="AU472" s="5" t="str">
        <f>HYPERLINK("https://creighton-primo.hosted.exlibrisgroup.com/primo-explore/search?tab=default_tab&amp;search_scope=EVERYTHING&amp;vid=01CRU&amp;lang=en_US&amp;offset=0&amp;query=any,contains,991000264989702656","Catalog Record")</f>
        <v>Catalog Record</v>
      </c>
      <c r="AV472" s="5" t="str">
        <f>HYPERLINK("http://www.worldcat.org/oclc/36259310","WorldCat Record")</f>
        <v>WorldCat Record</v>
      </c>
      <c r="AW472" s="2" t="s">
        <v>6045</v>
      </c>
      <c r="AX472" s="2" t="s">
        <v>6046</v>
      </c>
      <c r="AY472" s="2" t="s">
        <v>6047</v>
      </c>
      <c r="AZ472" s="2" t="s">
        <v>6047</v>
      </c>
      <c r="BA472" s="2" t="s">
        <v>6048</v>
      </c>
      <c r="BB472" s="2" t="s">
        <v>19</v>
      </c>
      <c r="BE472" s="2" t="s">
        <v>6049</v>
      </c>
      <c r="BF472" s="2" t="s">
        <v>6050</v>
      </c>
    </row>
    <row r="473" spans="1:58" ht="50.25" customHeight="1" x14ac:dyDescent="0.25">
      <c r="A473" s="8" t="s">
        <v>5</v>
      </c>
      <c r="B473" s="1" t="s">
        <v>0</v>
      </c>
      <c r="C473" s="1" t="s">
        <v>1</v>
      </c>
      <c r="D473" s="1" t="s">
        <v>6051</v>
      </c>
      <c r="E473" s="1" t="s">
        <v>6052</v>
      </c>
      <c r="F473" s="1" t="s">
        <v>6053</v>
      </c>
      <c r="H473" s="2" t="s">
        <v>5</v>
      </c>
      <c r="I473" s="2" t="s">
        <v>6</v>
      </c>
      <c r="J473" s="2" t="s">
        <v>5</v>
      </c>
      <c r="K473" s="2" t="s">
        <v>5</v>
      </c>
      <c r="L473" s="2" t="s">
        <v>7</v>
      </c>
      <c r="N473" s="1" t="s">
        <v>6054</v>
      </c>
      <c r="O473" s="2" t="s">
        <v>1095</v>
      </c>
      <c r="Q473" s="2" t="s">
        <v>10</v>
      </c>
      <c r="R473" s="2" t="s">
        <v>11</v>
      </c>
      <c r="S473" s="1" t="s">
        <v>6055</v>
      </c>
      <c r="T473" s="2" t="s">
        <v>12</v>
      </c>
      <c r="U473" s="3">
        <v>1</v>
      </c>
      <c r="V473" s="3">
        <v>1</v>
      </c>
      <c r="W473" s="4" t="s">
        <v>2149</v>
      </c>
      <c r="X473" s="4" t="s">
        <v>2149</v>
      </c>
      <c r="Y473" s="4" t="s">
        <v>1152</v>
      </c>
      <c r="Z473" s="4" t="s">
        <v>1152</v>
      </c>
      <c r="AA473" s="3">
        <v>52</v>
      </c>
      <c r="AB473" s="3">
        <v>47</v>
      </c>
      <c r="AC473" s="3">
        <v>47</v>
      </c>
      <c r="AD473" s="3">
        <v>2</v>
      </c>
      <c r="AE473" s="3">
        <v>2</v>
      </c>
      <c r="AF473" s="3">
        <v>1</v>
      </c>
      <c r="AG473" s="3">
        <v>1</v>
      </c>
      <c r="AH473" s="3">
        <v>0</v>
      </c>
      <c r="AI473" s="3">
        <v>0</v>
      </c>
      <c r="AJ473" s="3">
        <v>0</v>
      </c>
      <c r="AK473" s="3">
        <v>0</v>
      </c>
      <c r="AL473" s="3">
        <v>1</v>
      </c>
      <c r="AM473" s="3">
        <v>1</v>
      </c>
      <c r="AN473" s="3">
        <v>0</v>
      </c>
      <c r="AO473" s="3">
        <v>0</v>
      </c>
      <c r="AP473" s="3">
        <v>0</v>
      </c>
      <c r="AQ473" s="3">
        <v>0</v>
      </c>
      <c r="AR473" s="2" t="s">
        <v>5</v>
      </c>
      <c r="AS473" s="2" t="s">
        <v>5</v>
      </c>
      <c r="AU473" s="5" t="str">
        <f>HYPERLINK("https://creighton-primo.hosted.exlibrisgroup.com/primo-explore/search?tab=default_tab&amp;search_scope=EVERYTHING&amp;vid=01CRU&amp;lang=en_US&amp;offset=0&amp;query=any,contains,991000254369702656","Catalog Record")</f>
        <v>Catalog Record</v>
      </c>
      <c r="AV473" s="5" t="str">
        <f>HYPERLINK("http://www.worldcat.org/oclc/32463084","WorldCat Record")</f>
        <v>WorldCat Record</v>
      </c>
      <c r="AW473" s="2" t="s">
        <v>6056</v>
      </c>
      <c r="AX473" s="2" t="s">
        <v>6057</v>
      </c>
      <c r="AY473" s="2" t="s">
        <v>6058</v>
      </c>
      <c r="AZ473" s="2" t="s">
        <v>6058</v>
      </c>
      <c r="BA473" s="2" t="s">
        <v>6059</v>
      </c>
      <c r="BB473" s="2" t="s">
        <v>19</v>
      </c>
      <c r="BD473" s="2" t="s">
        <v>6060</v>
      </c>
      <c r="BE473" s="2" t="s">
        <v>6061</v>
      </c>
      <c r="BF473" s="2" t="s">
        <v>6062</v>
      </c>
    </row>
  </sheetData>
  <protectedRanges>
    <protectedRange sqref="A1:A473" name="Range1"/>
  </protectedRanges>
  <dataValidations count="1">
    <dataValidation type="list" allowBlank="1" showInputMessage="1" showErrorMessage="1" sqref="A2:A473" xr:uid="{DA58CF50-D17F-46F7-BB99-6D7BB7099E0E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17AFAA4-4DF6-473A-B3C7-00C789D87BF3}"/>
</file>

<file path=customXml/itemProps2.xml><?xml version="1.0" encoding="utf-8"?>
<ds:datastoreItem xmlns:ds="http://schemas.openxmlformats.org/officeDocument/2006/customXml" ds:itemID="{47144D39-3B3F-48AF-A1BD-A663371DE5D3}"/>
</file>

<file path=customXml/itemProps3.xml><?xml version="1.0" encoding="utf-8"?>
<ds:datastoreItem xmlns:ds="http://schemas.openxmlformats.org/officeDocument/2006/customXml" ds:itemID="{0E3F67BB-3EBA-49AA-B5DF-D358FC4E1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2022-03-03T17:55:30Z</dcterms:created>
  <dcterms:modified xsi:type="dcterms:W3CDTF">2022-03-03T17:57:49Z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291800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