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3730ACF5-0097-4F35-AF6A-A7BB932DF8A0}" xr6:coauthVersionLast="47" xr6:coauthVersionMax="47" xr10:uidLastSave="{00000000-0000-0000-0000-000000000000}"/>
  <bookViews>
    <workbookView xWindow="-28920" yWindow="-120" windowWidth="29040" windowHeight="15840" xr2:uid="{C327FE5F-4A09-415D-8BD7-6488242C1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053" i="1" l="1"/>
  <c r="AU1053" i="1"/>
  <c r="AV1052" i="1"/>
  <c r="AU1052" i="1"/>
  <c r="AV1051" i="1"/>
  <c r="AU1051" i="1"/>
  <c r="AV1050" i="1"/>
  <c r="AU1050" i="1"/>
  <c r="AV1049" i="1"/>
  <c r="AU1049" i="1"/>
  <c r="AT1049" i="1"/>
  <c r="AV1048" i="1"/>
  <c r="AU1048" i="1"/>
  <c r="AT1048" i="1"/>
  <c r="AV1047" i="1"/>
  <c r="AU1047" i="1"/>
  <c r="AT1047" i="1"/>
  <c r="AV1046" i="1"/>
  <c r="AU1046" i="1"/>
  <c r="AT1046" i="1"/>
  <c r="AV1045" i="1"/>
  <c r="AU1045" i="1"/>
  <c r="AT1045" i="1"/>
  <c r="AV1044" i="1"/>
  <c r="AU1044" i="1"/>
  <c r="AT1044" i="1"/>
  <c r="AV1043" i="1"/>
  <c r="AU1043" i="1"/>
  <c r="AT1043" i="1"/>
  <c r="AV1042" i="1"/>
  <c r="AU1042" i="1"/>
  <c r="AV1041" i="1"/>
  <c r="AU1041" i="1"/>
  <c r="AT1041" i="1"/>
  <c r="AV1040" i="1"/>
  <c r="AU1040" i="1"/>
  <c r="AT1040" i="1"/>
  <c r="AV1039" i="1"/>
  <c r="AU1039" i="1"/>
  <c r="AV1038" i="1"/>
  <c r="AU1038" i="1"/>
  <c r="AT1038" i="1"/>
  <c r="AV1037" i="1"/>
  <c r="AU1037" i="1"/>
  <c r="AT1037" i="1"/>
  <c r="AV1036" i="1"/>
  <c r="AU1036" i="1"/>
  <c r="AT1036" i="1"/>
  <c r="AV1035" i="1"/>
  <c r="AU1035" i="1"/>
  <c r="AV1034" i="1"/>
  <c r="AU1034" i="1"/>
  <c r="AV1033" i="1"/>
  <c r="AU1033" i="1"/>
  <c r="AV1032" i="1"/>
  <c r="AU1032" i="1"/>
  <c r="AT1032" i="1"/>
  <c r="AV1031" i="1"/>
  <c r="AU1031" i="1"/>
  <c r="AT1031" i="1"/>
  <c r="AV1030" i="1"/>
  <c r="AU1030" i="1"/>
  <c r="AT1030" i="1"/>
  <c r="AV1029" i="1"/>
  <c r="AU1029" i="1"/>
  <c r="AT1029" i="1"/>
  <c r="AV1028" i="1"/>
  <c r="AU1028" i="1"/>
  <c r="AV1027" i="1"/>
  <c r="AU1027" i="1"/>
  <c r="AV1026" i="1"/>
  <c r="AU1026" i="1"/>
  <c r="AT1026" i="1"/>
  <c r="AV1025" i="1"/>
  <c r="AU1025" i="1"/>
  <c r="AT1025" i="1"/>
  <c r="AV1024" i="1"/>
  <c r="AU1024" i="1"/>
  <c r="AT1024" i="1"/>
  <c r="AV1023" i="1"/>
  <c r="AU1023" i="1"/>
  <c r="AV1022" i="1"/>
  <c r="AU1022" i="1"/>
  <c r="AT1022" i="1"/>
  <c r="AV1021" i="1"/>
  <c r="AU1021" i="1"/>
  <c r="AT1021" i="1"/>
  <c r="AV1020" i="1"/>
  <c r="AU1020" i="1"/>
  <c r="AT1020" i="1"/>
  <c r="AV1019" i="1"/>
  <c r="AU1019" i="1"/>
  <c r="AT1019" i="1"/>
  <c r="AV1018" i="1"/>
  <c r="AU1018" i="1"/>
  <c r="AV1017" i="1"/>
  <c r="AU1017" i="1"/>
  <c r="AV1016" i="1"/>
  <c r="AU1016" i="1"/>
  <c r="AT1016" i="1"/>
  <c r="AV1015" i="1"/>
  <c r="AU1015" i="1"/>
  <c r="AT1015" i="1"/>
  <c r="AV1014" i="1"/>
  <c r="AU1014" i="1"/>
  <c r="AT1014" i="1"/>
  <c r="AV1013" i="1"/>
  <c r="AU1013" i="1"/>
  <c r="AT1013" i="1"/>
  <c r="AV1012" i="1"/>
  <c r="AU1012" i="1"/>
  <c r="AT1012" i="1"/>
  <c r="AV1011" i="1"/>
  <c r="AU1011" i="1"/>
  <c r="AT1011" i="1"/>
  <c r="AV1010" i="1"/>
  <c r="AU1010" i="1"/>
  <c r="AT1010" i="1"/>
  <c r="AV1009" i="1"/>
  <c r="AU1009" i="1"/>
  <c r="AT1009" i="1"/>
  <c r="AV1008" i="1"/>
  <c r="AU1008" i="1"/>
  <c r="AT1008" i="1"/>
  <c r="AV1007" i="1"/>
  <c r="AU1007" i="1"/>
  <c r="AT1007" i="1"/>
  <c r="AV1006" i="1"/>
  <c r="AU1006" i="1"/>
  <c r="AV1005" i="1"/>
  <c r="AU1005" i="1"/>
  <c r="AV1004" i="1"/>
  <c r="AU1004" i="1"/>
  <c r="AT1004" i="1"/>
  <c r="AV1003" i="1"/>
  <c r="AU1003" i="1"/>
  <c r="AT1003" i="1"/>
  <c r="AV1002" i="1"/>
  <c r="AU1002" i="1"/>
  <c r="AT1002" i="1"/>
  <c r="AV1001" i="1"/>
  <c r="AU1001" i="1"/>
  <c r="AT1001" i="1"/>
  <c r="AV1000" i="1"/>
  <c r="AU1000" i="1"/>
  <c r="AT1000" i="1"/>
  <c r="AV999" i="1"/>
  <c r="AU999" i="1"/>
  <c r="AV998" i="1"/>
  <c r="AU998" i="1"/>
  <c r="AT998" i="1"/>
  <c r="AV997" i="1"/>
  <c r="AU997" i="1"/>
  <c r="AT997" i="1"/>
  <c r="AV996" i="1"/>
  <c r="AU996" i="1"/>
  <c r="AV995" i="1"/>
  <c r="AU995" i="1"/>
  <c r="AV994" i="1"/>
  <c r="AU994" i="1"/>
  <c r="AV993" i="1"/>
  <c r="AU993" i="1"/>
  <c r="AV992" i="1"/>
  <c r="AU992" i="1"/>
  <c r="AT992" i="1"/>
  <c r="AV991" i="1"/>
  <c r="AU991" i="1"/>
  <c r="AV990" i="1"/>
  <c r="AU990" i="1"/>
  <c r="AT990" i="1"/>
  <c r="AV989" i="1"/>
  <c r="AU989" i="1"/>
  <c r="AT989" i="1"/>
  <c r="AV988" i="1"/>
  <c r="AU988" i="1"/>
  <c r="AV987" i="1"/>
  <c r="AU987" i="1"/>
  <c r="AT987" i="1"/>
  <c r="AV986" i="1"/>
  <c r="AU986" i="1"/>
  <c r="AV985" i="1"/>
  <c r="AU985" i="1"/>
  <c r="AT985" i="1"/>
  <c r="AV984" i="1"/>
  <c r="AU984" i="1"/>
  <c r="AT984" i="1"/>
  <c r="AV983" i="1"/>
  <c r="AU983" i="1"/>
  <c r="AV982" i="1"/>
  <c r="AU982" i="1"/>
  <c r="AV981" i="1"/>
  <c r="AU981" i="1"/>
  <c r="AV980" i="1"/>
  <c r="AU980" i="1"/>
  <c r="AT980" i="1"/>
  <c r="AV979" i="1"/>
  <c r="AU979" i="1"/>
  <c r="AV978" i="1"/>
  <c r="AU978" i="1"/>
  <c r="AV977" i="1"/>
  <c r="AU977" i="1"/>
  <c r="AT977" i="1"/>
  <c r="AV976" i="1"/>
  <c r="AU976" i="1"/>
  <c r="AV975" i="1"/>
  <c r="AU975" i="1"/>
  <c r="AT975" i="1"/>
  <c r="AV974" i="1"/>
  <c r="AU974" i="1"/>
  <c r="AT974" i="1"/>
  <c r="AV973" i="1"/>
  <c r="AU973" i="1"/>
  <c r="AT973" i="1"/>
  <c r="AV972" i="1"/>
  <c r="AU972" i="1"/>
  <c r="AV971" i="1"/>
  <c r="AU971" i="1"/>
  <c r="AT971" i="1"/>
  <c r="AV970" i="1"/>
  <c r="AU970" i="1"/>
  <c r="AT970" i="1"/>
  <c r="AV969" i="1"/>
  <c r="AU969" i="1"/>
  <c r="AT969" i="1"/>
  <c r="AV968" i="1"/>
  <c r="AU968" i="1"/>
  <c r="AV967" i="1"/>
  <c r="AU967" i="1"/>
  <c r="AT967" i="1"/>
  <c r="AV966" i="1"/>
  <c r="AU966" i="1"/>
  <c r="AT966" i="1"/>
  <c r="AV965" i="1"/>
  <c r="AU965" i="1"/>
  <c r="AV964" i="1"/>
  <c r="AU964" i="1"/>
  <c r="AV963" i="1"/>
  <c r="AU963" i="1"/>
  <c r="AV962" i="1"/>
  <c r="AU962" i="1"/>
  <c r="AT962" i="1"/>
  <c r="AV961" i="1"/>
  <c r="AU961" i="1"/>
  <c r="AT961" i="1"/>
  <c r="AV960" i="1"/>
  <c r="AU960" i="1"/>
  <c r="AV959" i="1"/>
  <c r="AU959" i="1"/>
  <c r="AT959" i="1"/>
  <c r="AV958" i="1"/>
  <c r="AU958" i="1"/>
  <c r="AV957" i="1"/>
  <c r="AU957" i="1"/>
  <c r="AT957" i="1"/>
  <c r="AV956" i="1"/>
  <c r="AU956" i="1"/>
  <c r="AV955" i="1"/>
  <c r="AU955" i="1"/>
  <c r="AV954" i="1"/>
  <c r="AU954" i="1"/>
  <c r="AV953" i="1"/>
  <c r="AU953" i="1"/>
  <c r="AV952" i="1"/>
  <c r="AU952" i="1"/>
  <c r="AV951" i="1"/>
  <c r="AU951" i="1"/>
  <c r="AT951" i="1"/>
  <c r="AV950" i="1"/>
  <c r="AU950" i="1"/>
  <c r="AT950" i="1"/>
  <c r="AV949" i="1"/>
  <c r="AU949" i="1"/>
  <c r="AV948" i="1"/>
  <c r="AU948" i="1"/>
  <c r="AV947" i="1"/>
  <c r="AU947" i="1"/>
  <c r="AV946" i="1"/>
  <c r="AU946" i="1"/>
  <c r="AV945" i="1"/>
  <c r="AU945" i="1"/>
  <c r="AV944" i="1"/>
  <c r="AU944" i="1"/>
  <c r="AT944" i="1"/>
  <c r="AV943" i="1"/>
  <c r="AU943" i="1"/>
  <c r="AT943" i="1"/>
  <c r="AV942" i="1"/>
  <c r="AU942" i="1"/>
  <c r="AV941" i="1"/>
  <c r="AU941" i="1"/>
  <c r="AV940" i="1"/>
  <c r="AU940" i="1"/>
  <c r="AT940" i="1"/>
  <c r="AV939" i="1"/>
  <c r="AU939" i="1"/>
  <c r="AT939" i="1"/>
  <c r="AV938" i="1"/>
  <c r="AU938" i="1"/>
  <c r="AT938" i="1"/>
  <c r="AV937" i="1"/>
  <c r="AU937" i="1"/>
  <c r="AT937" i="1"/>
  <c r="AV936" i="1"/>
  <c r="AU936" i="1"/>
  <c r="AT936" i="1"/>
  <c r="AV935" i="1"/>
  <c r="AU935" i="1"/>
  <c r="AT935" i="1"/>
  <c r="AV934" i="1"/>
  <c r="AU934" i="1"/>
  <c r="AT934" i="1"/>
  <c r="AV933" i="1"/>
  <c r="AU933" i="1"/>
  <c r="AV932" i="1"/>
  <c r="AU932" i="1"/>
  <c r="AT932" i="1"/>
  <c r="AV931" i="1"/>
  <c r="AU931" i="1"/>
  <c r="AT931" i="1"/>
  <c r="AV930" i="1"/>
  <c r="AU930" i="1"/>
  <c r="AT930" i="1"/>
  <c r="AV929" i="1"/>
  <c r="AU929" i="1"/>
  <c r="AV928" i="1"/>
  <c r="AU928" i="1"/>
  <c r="AT928" i="1"/>
  <c r="AV927" i="1"/>
  <c r="AU927" i="1"/>
  <c r="AV926" i="1"/>
  <c r="AU926" i="1"/>
  <c r="AV925" i="1"/>
  <c r="AU925" i="1"/>
  <c r="AV924" i="1"/>
  <c r="AU924" i="1"/>
  <c r="AT924" i="1"/>
  <c r="AV923" i="1"/>
  <c r="AU923" i="1"/>
  <c r="AT923" i="1"/>
  <c r="AV922" i="1"/>
  <c r="AU922" i="1"/>
  <c r="AT922" i="1"/>
  <c r="AV921" i="1"/>
  <c r="AU921" i="1"/>
  <c r="AV920" i="1"/>
  <c r="AU920" i="1"/>
  <c r="AV919" i="1"/>
  <c r="AU919" i="1"/>
  <c r="AV918" i="1"/>
  <c r="AU918" i="1"/>
  <c r="AT918" i="1"/>
  <c r="AV917" i="1"/>
  <c r="AU917" i="1"/>
  <c r="AV916" i="1"/>
  <c r="AU916" i="1"/>
  <c r="AV915" i="1"/>
  <c r="AU915" i="1"/>
  <c r="AV914" i="1"/>
  <c r="AU914" i="1"/>
  <c r="AV913" i="1"/>
  <c r="AU913" i="1"/>
  <c r="AV912" i="1"/>
  <c r="AU912" i="1"/>
  <c r="AT912" i="1"/>
  <c r="AV911" i="1"/>
  <c r="AU911" i="1"/>
  <c r="AT911" i="1"/>
  <c r="AV910" i="1"/>
  <c r="AU910" i="1"/>
  <c r="AT910" i="1"/>
  <c r="AV909" i="1"/>
  <c r="AU909" i="1"/>
  <c r="AT909" i="1"/>
  <c r="AV908" i="1"/>
  <c r="AU908" i="1"/>
  <c r="AT908" i="1"/>
  <c r="AV907" i="1"/>
  <c r="AU907" i="1"/>
  <c r="AT907" i="1"/>
  <c r="AV906" i="1"/>
  <c r="AU906" i="1"/>
  <c r="AV905" i="1"/>
  <c r="AU905" i="1"/>
  <c r="AV904" i="1"/>
  <c r="AU904" i="1"/>
  <c r="AT904" i="1"/>
  <c r="AV903" i="1"/>
  <c r="AU903" i="1"/>
  <c r="AT903" i="1"/>
  <c r="AV902" i="1"/>
  <c r="AU902" i="1"/>
  <c r="AT902" i="1"/>
  <c r="AV901" i="1"/>
  <c r="AU901" i="1"/>
  <c r="AT901" i="1"/>
  <c r="AV900" i="1"/>
  <c r="AU900" i="1"/>
  <c r="AT900" i="1"/>
  <c r="AV899" i="1"/>
  <c r="AU899" i="1"/>
  <c r="AV898" i="1"/>
  <c r="AU898" i="1"/>
  <c r="AT898" i="1"/>
  <c r="AV897" i="1"/>
  <c r="AU897" i="1"/>
  <c r="AV896" i="1"/>
  <c r="AU896" i="1"/>
  <c r="AV895" i="1"/>
  <c r="AU895" i="1"/>
  <c r="AT895" i="1"/>
  <c r="AV894" i="1"/>
  <c r="AU894" i="1"/>
  <c r="AT894" i="1"/>
  <c r="AV893" i="1"/>
  <c r="AU893" i="1"/>
  <c r="AT893" i="1"/>
  <c r="AV892" i="1"/>
  <c r="AU892" i="1"/>
  <c r="AV891" i="1"/>
  <c r="AU891" i="1"/>
  <c r="AT891" i="1"/>
  <c r="AV890" i="1"/>
  <c r="AU890" i="1"/>
  <c r="AV889" i="1"/>
  <c r="AU889" i="1"/>
  <c r="AV888" i="1"/>
  <c r="AU888" i="1"/>
  <c r="AV887" i="1"/>
  <c r="AU887" i="1"/>
  <c r="AT887" i="1"/>
  <c r="AV886" i="1"/>
  <c r="AU886" i="1"/>
  <c r="AV885" i="1"/>
  <c r="AU885" i="1"/>
  <c r="AT885" i="1"/>
  <c r="AV884" i="1"/>
  <c r="AU884" i="1"/>
  <c r="AT884" i="1"/>
  <c r="AV883" i="1"/>
  <c r="AU883" i="1"/>
  <c r="AT883" i="1"/>
  <c r="AV882" i="1"/>
  <c r="AU882" i="1"/>
  <c r="AV881" i="1"/>
  <c r="AU881" i="1"/>
  <c r="AV880" i="1"/>
  <c r="AU880" i="1"/>
  <c r="AT880" i="1"/>
  <c r="AV879" i="1"/>
  <c r="AU879" i="1"/>
  <c r="AV878" i="1"/>
  <c r="AU878" i="1"/>
  <c r="AT878" i="1"/>
  <c r="AV877" i="1"/>
  <c r="AU877" i="1"/>
  <c r="AT877" i="1"/>
  <c r="AV876" i="1"/>
  <c r="AU876" i="1"/>
  <c r="AT876" i="1"/>
  <c r="AV875" i="1"/>
  <c r="AU875" i="1"/>
  <c r="AT875" i="1"/>
  <c r="AV874" i="1"/>
  <c r="AU874" i="1"/>
  <c r="AV873" i="1"/>
  <c r="AU873" i="1"/>
  <c r="AT873" i="1"/>
  <c r="AV872" i="1"/>
  <c r="AU872" i="1"/>
  <c r="AV871" i="1"/>
  <c r="AU871" i="1"/>
  <c r="AT871" i="1"/>
  <c r="AV870" i="1"/>
  <c r="AU870" i="1"/>
  <c r="AT870" i="1"/>
  <c r="AV869" i="1"/>
  <c r="AU869" i="1"/>
  <c r="AV868" i="1"/>
  <c r="AU868" i="1"/>
  <c r="AT868" i="1"/>
  <c r="AV867" i="1"/>
  <c r="AU867" i="1"/>
  <c r="AT867" i="1"/>
  <c r="AV866" i="1"/>
  <c r="AU866" i="1"/>
  <c r="AT866" i="1"/>
  <c r="AV865" i="1"/>
  <c r="AU865" i="1"/>
  <c r="AV864" i="1"/>
  <c r="AU864" i="1"/>
  <c r="AV863" i="1"/>
  <c r="AU863" i="1"/>
  <c r="AT863" i="1"/>
  <c r="AV862" i="1"/>
  <c r="AU862" i="1"/>
  <c r="AV861" i="1"/>
  <c r="AU861" i="1"/>
  <c r="AT861" i="1"/>
  <c r="AV860" i="1"/>
  <c r="AU860" i="1"/>
  <c r="AV859" i="1"/>
  <c r="AU859" i="1"/>
  <c r="AV858" i="1"/>
  <c r="AU858" i="1"/>
  <c r="AT858" i="1"/>
  <c r="AV857" i="1"/>
  <c r="AU857" i="1"/>
  <c r="AV856" i="1"/>
  <c r="AU856" i="1"/>
  <c r="AT856" i="1"/>
  <c r="AV855" i="1"/>
  <c r="AU855" i="1"/>
  <c r="AT855" i="1"/>
  <c r="AV854" i="1"/>
  <c r="AU854" i="1"/>
  <c r="AV853" i="1"/>
  <c r="AU853" i="1"/>
  <c r="AT853" i="1"/>
  <c r="AV852" i="1"/>
  <c r="AU852" i="1"/>
  <c r="AT852" i="1"/>
  <c r="AV851" i="1"/>
  <c r="AU851" i="1"/>
  <c r="AV850" i="1"/>
  <c r="AU850" i="1"/>
  <c r="AT850" i="1"/>
  <c r="AV849" i="1"/>
  <c r="AU849" i="1"/>
  <c r="AV848" i="1"/>
  <c r="AU848" i="1"/>
  <c r="AT848" i="1"/>
  <c r="AV847" i="1"/>
  <c r="AU847" i="1"/>
  <c r="AV846" i="1"/>
  <c r="AU846" i="1"/>
  <c r="AT846" i="1"/>
  <c r="AV845" i="1"/>
  <c r="AU845" i="1"/>
  <c r="AV844" i="1"/>
  <c r="AU844" i="1"/>
  <c r="AT844" i="1"/>
  <c r="AV843" i="1"/>
  <c r="AU843" i="1"/>
  <c r="AT843" i="1"/>
  <c r="AV842" i="1"/>
  <c r="AU842" i="1"/>
  <c r="AT842" i="1"/>
  <c r="AV841" i="1"/>
  <c r="AU841" i="1"/>
  <c r="AV840" i="1"/>
  <c r="AU840" i="1"/>
  <c r="AV839" i="1"/>
  <c r="AU839" i="1"/>
  <c r="AT839" i="1"/>
  <c r="AV838" i="1"/>
  <c r="AU838" i="1"/>
  <c r="AV837" i="1"/>
  <c r="AU837" i="1"/>
  <c r="AV836" i="1"/>
  <c r="AU836" i="1"/>
  <c r="AT836" i="1"/>
  <c r="AV835" i="1"/>
  <c r="AU835" i="1"/>
  <c r="AV834" i="1"/>
  <c r="AU834" i="1"/>
  <c r="AT834" i="1"/>
  <c r="AV833" i="1"/>
  <c r="AU833" i="1"/>
  <c r="AV832" i="1"/>
  <c r="AU832" i="1"/>
  <c r="AV831" i="1"/>
  <c r="AU831" i="1"/>
  <c r="AT831" i="1"/>
  <c r="AV830" i="1"/>
  <c r="AU830" i="1"/>
  <c r="AT830" i="1"/>
  <c r="AV829" i="1"/>
  <c r="AU829" i="1"/>
  <c r="AV828" i="1"/>
  <c r="AU828" i="1"/>
  <c r="AV827" i="1"/>
  <c r="AU827" i="1"/>
  <c r="AT827" i="1"/>
  <c r="AV826" i="1"/>
  <c r="AU826" i="1"/>
  <c r="AV825" i="1"/>
  <c r="AU825" i="1"/>
  <c r="AV824" i="1"/>
  <c r="AU824" i="1"/>
  <c r="AT824" i="1"/>
  <c r="AV823" i="1"/>
  <c r="AU823" i="1"/>
  <c r="AT823" i="1"/>
  <c r="AV822" i="1"/>
  <c r="AU822" i="1"/>
  <c r="AT822" i="1"/>
  <c r="AV821" i="1"/>
  <c r="AU821" i="1"/>
  <c r="AT821" i="1"/>
  <c r="AV820" i="1"/>
  <c r="AU820" i="1"/>
  <c r="AV819" i="1"/>
  <c r="AU819" i="1"/>
  <c r="AV818" i="1"/>
  <c r="AU818" i="1"/>
  <c r="AT818" i="1"/>
  <c r="AV817" i="1"/>
  <c r="AU817" i="1"/>
  <c r="AT817" i="1"/>
  <c r="AV816" i="1"/>
  <c r="AU816" i="1"/>
  <c r="AV815" i="1"/>
  <c r="AU815" i="1"/>
  <c r="AT815" i="1"/>
  <c r="AV814" i="1"/>
  <c r="AU814" i="1"/>
  <c r="AV813" i="1"/>
  <c r="AU813" i="1"/>
  <c r="AV812" i="1"/>
  <c r="AU812" i="1"/>
  <c r="AT812" i="1"/>
  <c r="AV811" i="1"/>
  <c r="AU811" i="1"/>
  <c r="AT811" i="1"/>
  <c r="AV810" i="1"/>
  <c r="AU810" i="1"/>
  <c r="AV809" i="1"/>
  <c r="AU809" i="1"/>
  <c r="AT809" i="1"/>
  <c r="AV808" i="1"/>
  <c r="AU808" i="1"/>
  <c r="AV807" i="1"/>
  <c r="AU807" i="1"/>
  <c r="AV806" i="1"/>
  <c r="AU806" i="1"/>
  <c r="AV805" i="1"/>
  <c r="AU805" i="1"/>
  <c r="AT805" i="1"/>
  <c r="AV804" i="1"/>
  <c r="AU804" i="1"/>
  <c r="AV803" i="1"/>
  <c r="AU803" i="1"/>
  <c r="AV802" i="1"/>
  <c r="AU802" i="1"/>
  <c r="AV801" i="1"/>
  <c r="AU801" i="1"/>
  <c r="AV800" i="1"/>
  <c r="AU800" i="1"/>
  <c r="AV799" i="1"/>
  <c r="AU799" i="1"/>
  <c r="AT799" i="1"/>
  <c r="AV798" i="1"/>
  <c r="AU798" i="1"/>
  <c r="AV797" i="1"/>
  <c r="AU797" i="1"/>
  <c r="AT797" i="1"/>
  <c r="AV796" i="1"/>
  <c r="AU796" i="1"/>
  <c r="AT796" i="1"/>
  <c r="AV795" i="1"/>
  <c r="AU795" i="1"/>
  <c r="AT795" i="1"/>
  <c r="AV794" i="1"/>
  <c r="AU794" i="1"/>
  <c r="AV793" i="1"/>
  <c r="AU793" i="1"/>
  <c r="AT793" i="1"/>
  <c r="AV792" i="1"/>
  <c r="AU792" i="1"/>
  <c r="AT792" i="1"/>
  <c r="AV791" i="1"/>
  <c r="AU791" i="1"/>
  <c r="AT791" i="1"/>
  <c r="AV790" i="1"/>
  <c r="AU790" i="1"/>
  <c r="AV789" i="1"/>
  <c r="AU789" i="1"/>
  <c r="AV788" i="1"/>
  <c r="AU788" i="1"/>
  <c r="AV787" i="1"/>
  <c r="AU787" i="1"/>
  <c r="AT787" i="1"/>
  <c r="AV786" i="1"/>
  <c r="AU786" i="1"/>
  <c r="AV785" i="1"/>
  <c r="AU785" i="1"/>
  <c r="AT785" i="1"/>
  <c r="AV784" i="1"/>
  <c r="AU784" i="1"/>
  <c r="AT784" i="1"/>
  <c r="AV783" i="1"/>
  <c r="AU783" i="1"/>
  <c r="AT783" i="1"/>
  <c r="AV782" i="1"/>
  <c r="AU782" i="1"/>
  <c r="AT782" i="1"/>
  <c r="AV781" i="1"/>
  <c r="AU781" i="1"/>
  <c r="AT781" i="1"/>
  <c r="AV780" i="1"/>
  <c r="AU780" i="1"/>
  <c r="AT780" i="1"/>
  <c r="AV779" i="1"/>
  <c r="AU779" i="1"/>
  <c r="AT779" i="1"/>
  <c r="AV778" i="1"/>
  <c r="AU778" i="1"/>
  <c r="AV777" i="1"/>
  <c r="AU777" i="1"/>
  <c r="AT777" i="1"/>
  <c r="AV776" i="1"/>
  <c r="AU776" i="1"/>
  <c r="AT776" i="1"/>
  <c r="AV775" i="1"/>
  <c r="AU775" i="1"/>
  <c r="AV774" i="1"/>
  <c r="AU774" i="1"/>
  <c r="AT774" i="1"/>
  <c r="AV773" i="1"/>
  <c r="AU773" i="1"/>
  <c r="AV772" i="1"/>
  <c r="AU772" i="1"/>
  <c r="AT772" i="1"/>
  <c r="AV771" i="1"/>
  <c r="AU771" i="1"/>
  <c r="AT771" i="1"/>
  <c r="AV770" i="1"/>
  <c r="AU770" i="1"/>
  <c r="AV769" i="1"/>
  <c r="AU769" i="1"/>
  <c r="AT769" i="1"/>
  <c r="AV768" i="1"/>
  <c r="AU768" i="1"/>
  <c r="AT768" i="1"/>
  <c r="AV767" i="1"/>
  <c r="AU767" i="1"/>
  <c r="AT767" i="1"/>
  <c r="AV766" i="1"/>
  <c r="AU766" i="1"/>
  <c r="AV765" i="1"/>
  <c r="AU765" i="1"/>
  <c r="AT765" i="1"/>
  <c r="AV764" i="1"/>
  <c r="AU764" i="1"/>
  <c r="AV763" i="1"/>
  <c r="AU763" i="1"/>
  <c r="AV762" i="1"/>
  <c r="AU762" i="1"/>
  <c r="AV761" i="1"/>
  <c r="AU761" i="1"/>
  <c r="AT761" i="1"/>
  <c r="AV760" i="1"/>
  <c r="AU760" i="1"/>
  <c r="AT760" i="1"/>
  <c r="AV759" i="1"/>
  <c r="AU759" i="1"/>
  <c r="AT759" i="1"/>
  <c r="AV758" i="1"/>
  <c r="AU758" i="1"/>
  <c r="AV757" i="1"/>
  <c r="AU757" i="1"/>
  <c r="AT757" i="1"/>
  <c r="AV756" i="1"/>
  <c r="AU756" i="1"/>
  <c r="AT756" i="1"/>
  <c r="AV755" i="1"/>
  <c r="AU755" i="1"/>
  <c r="AV754" i="1"/>
  <c r="AU754" i="1"/>
  <c r="AT754" i="1"/>
  <c r="AV753" i="1"/>
  <c r="AU753" i="1"/>
  <c r="AV752" i="1"/>
  <c r="AU752" i="1"/>
  <c r="AV751" i="1"/>
  <c r="AU751" i="1"/>
  <c r="AT751" i="1"/>
  <c r="AV750" i="1"/>
  <c r="AU750" i="1"/>
  <c r="AV749" i="1"/>
  <c r="AU749" i="1"/>
  <c r="AV748" i="1"/>
  <c r="AU748" i="1"/>
  <c r="AV747" i="1"/>
  <c r="AU747" i="1"/>
  <c r="AV746" i="1"/>
  <c r="AU746" i="1"/>
  <c r="AT746" i="1"/>
  <c r="AV745" i="1"/>
  <c r="AU745" i="1"/>
  <c r="AT745" i="1"/>
  <c r="AV744" i="1"/>
  <c r="AU744" i="1"/>
  <c r="AT744" i="1"/>
  <c r="AV743" i="1"/>
  <c r="AU743" i="1"/>
  <c r="AV742" i="1"/>
  <c r="AU742" i="1"/>
  <c r="AT742" i="1"/>
  <c r="AV741" i="1"/>
  <c r="AU741" i="1"/>
  <c r="AV740" i="1"/>
  <c r="AU740" i="1"/>
  <c r="AT740" i="1"/>
  <c r="AV739" i="1"/>
  <c r="AU739" i="1"/>
  <c r="AT739" i="1"/>
  <c r="AV738" i="1"/>
  <c r="AU738" i="1"/>
  <c r="AV737" i="1"/>
  <c r="AU737" i="1"/>
  <c r="AV736" i="1"/>
  <c r="AU736" i="1"/>
  <c r="AV735" i="1"/>
  <c r="AU735" i="1"/>
  <c r="AT735" i="1"/>
  <c r="AV734" i="1"/>
  <c r="AU734" i="1"/>
  <c r="AV733" i="1"/>
  <c r="AU733" i="1"/>
  <c r="AV732" i="1"/>
  <c r="AU732" i="1"/>
  <c r="AV731" i="1"/>
  <c r="AU731" i="1"/>
  <c r="AT731" i="1"/>
  <c r="AV730" i="1"/>
  <c r="AU730" i="1"/>
  <c r="AV729" i="1"/>
  <c r="AU729" i="1"/>
  <c r="AV728" i="1"/>
  <c r="AU728" i="1"/>
  <c r="AV727" i="1"/>
  <c r="AU727" i="1"/>
  <c r="AT727" i="1"/>
  <c r="AV726" i="1"/>
  <c r="AU726" i="1"/>
  <c r="AV725" i="1"/>
  <c r="AU725" i="1"/>
  <c r="AV724" i="1"/>
  <c r="AU724" i="1"/>
  <c r="AT724" i="1"/>
  <c r="AV723" i="1"/>
  <c r="AU723" i="1"/>
  <c r="AV722" i="1"/>
  <c r="AU722" i="1"/>
  <c r="AT722" i="1"/>
  <c r="AV721" i="1"/>
  <c r="AU721" i="1"/>
  <c r="AV720" i="1"/>
  <c r="AU720" i="1"/>
  <c r="AV719" i="1"/>
  <c r="AU719" i="1"/>
  <c r="AV718" i="1"/>
  <c r="AU718" i="1"/>
  <c r="AV717" i="1"/>
  <c r="AU717" i="1"/>
  <c r="AT717" i="1"/>
  <c r="AV716" i="1"/>
  <c r="AU716" i="1"/>
  <c r="AV715" i="1"/>
  <c r="AU715" i="1"/>
  <c r="AV714" i="1"/>
  <c r="AU714" i="1"/>
  <c r="AV713" i="1"/>
  <c r="AU713" i="1"/>
  <c r="AV712" i="1"/>
  <c r="AU712" i="1"/>
  <c r="AT712" i="1"/>
  <c r="AV711" i="1"/>
  <c r="AU711" i="1"/>
  <c r="AV710" i="1"/>
  <c r="AU710" i="1"/>
  <c r="AV709" i="1"/>
  <c r="AU709" i="1"/>
  <c r="AV708" i="1"/>
  <c r="AU708" i="1"/>
  <c r="AV707" i="1"/>
  <c r="AU707" i="1"/>
  <c r="AV706" i="1"/>
  <c r="AU706" i="1"/>
  <c r="AT706" i="1"/>
  <c r="AV705" i="1"/>
  <c r="AU705" i="1"/>
  <c r="AT705" i="1"/>
  <c r="AV704" i="1"/>
  <c r="AU704" i="1"/>
  <c r="AT704" i="1"/>
  <c r="AV703" i="1"/>
  <c r="AU703" i="1"/>
  <c r="AT703" i="1"/>
  <c r="AV702" i="1"/>
  <c r="AU702" i="1"/>
  <c r="AV701" i="1"/>
  <c r="AU701" i="1"/>
  <c r="AV700" i="1"/>
  <c r="AU700" i="1"/>
  <c r="AV699" i="1"/>
  <c r="AU699" i="1"/>
  <c r="AV698" i="1"/>
  <c r="AU698" i="1"/>
  <c r="AV697" i="1"/>
  <c r="AU697" i="1"/>
  <c r="AV696" i="1"/>
  <c r="AU696" i="1"/>
  <c r="AV695" i="1"/>
  <c r="AU695" i="1"/>
  <c r="AV694" i="1"/>
  <c r="AU694" i="1"/>
  <c r="AV693" i="1"/>
  <c r="AU693" i="1"/>
  <c r="AV692" i="1"/>
  <c r="AU692" i="1"/>
  <c r="AV691" i="1"/>
  <c r="AU691" i="1"/>
  <c r="AV690" i="1"/>
  <c r="AU690" i="1"/>
  <c r="AT690" i="1"/>
  <c r="AV689" i="1"/>
  <c r="AU689" i="1"/>
  <c r="AT689" i="1"/>
  <c r="AV688" i="1"/>
  <c r="AU688" i="1"/>
  <c r="AT688" i="1"/>
  <c r="AV687" i="1"/>
  <c r="AU687" i="1"/>
  <c r="AV686" i="1"/>
  <c r="AU686" i="1"/>
  <c r="AV685" i="1"/>
  <c r="AU685" i="1"/>
  <c r="AT685" i="1"/>
  <c r="AV684" i="1"/>
  <c r="AU684" i="1"/>
  <c r="AV683" i="1"/>
  <c r="AU683" i="1"/>
  <c r="AT683" i="1"/>
  <c r="AV682" i="1"/>
  <c r="AU682" i="1"/>
  <c r="AV681" i="1"/>
  <c r="AU681" i="1"/>
  <c r="AV680" i="1"/>
  <c r="AU680" i="1"/>
  <c r="AV679" i="1"/>
  <c r="AU679" i="1"/>
  <c r="AT679" i="1"/>
  <c r="AV678" i="1"/>
  <c r="AU678" i="1"/>
  <c r="AT678" i="1"/>
  <c r="AV677" i="1"/>
  <c r="AU677" i="1"/>
  <c r="AV676" i="1"/>
  <c r="AU676" i="1"/>
  <c r="AV675" i="1"/>
  <c r="AU675" i="1"/>
  <c r="AV674" i="1"/>
  <c r="AU674" i="1"/>
  <c r="AV673" i="1"/>
  <c r="AU673" i="1"/>
  <c r="AT673" i="1"/>
  <c r="AV672" i="1"/>
  <c r="AU672" i="1"/>
  <c r="AT672" i="1"/>
  <c r="AV671" i="1"/>
  <c r="AU671" i="1"/>
  <c r="AV670" i="1"/>
  <c r="AU670" i="1"/>
  <c r="AT670" i="1"/>
  <c r="AV669" i="1"/>
  <c r="AU669" i="1"/>
  <c r="AT669" i="1"/>
  <c r="AV668" i="1"/>
  <c r="AU668" i="1"/>
  <c r="AV667" i="1"/>
  <c r="AU667" i="1"/>
  <c r="AT667" i="1"/>
  <c r="AV666" i="1"/>
  <c r="AU666" i="1"/>
  <c r="AV665" i="1"/>
  <c r="AU665" i="1"/>
  <c r="AT665" i="1"/>
  <c r="AV664" i="1"/>
  <c r="AU664" i="1"/>
  <c r="AT664" i="1"/>
  <c r="AV663" i="1"/>
  <c r="AU663" i="1"/>
  <c r="AT663" i="1"/>
  <c r="AV662" i="1"/>
  <c r="AU662" i="1"/>
  <c r="AV661" i="1"/>
  <c r="AU661" i="1"/>
  <c r="AV660" i="1"/>
  <c r="AU660" i="1"/>
  <c r="AV659" i="1"/>
  <c r="AU659" i="1"/>
  <c r="AT659" i="1"/>
  <c r="AV658" i="1"/>
  <c r="AU658" i="1"/>
  <c r="AT658" i="1"/>
  <c r="AV657" i="1"/>
  <c r="AU657" i="1"/>
  <c r="AV656" i="1"/>
  <c r="AU656" i="1"/>
  <c r="AT656" i="1"/>
  <c r="AV655" i="1"/>
  <c r="AU655" i="1"/>
  <c r="AT655" i="1"/>
  <c r="AV654" i="1"/>
  <c r="AU654" i="1"/>
  <c r="AT654" i="1"/>
  <c r="AV653" i="1"/>
  <c r="AU653" i="1"/>
  <c r="AV652" i="1"/>
  <c r="AU652" i="1"/>
  <c r="AT652" i="1"/>
  <c r="AV651" i="1"/>
  <c r="AU651" i="1"/>
  <c r="AV650" i="1"/>
  <c r="AU650" i="1"/>
  <c r="AT650" i="1"/>
  <c r="AV649" i="1"/>
  <c r="AU649" i="1"/>
  <c r="AT649" i="1"/>
  <c r="AV648" i="1"/>
  <c r="AU648" i="1"/>
  <c r="AV647" i="1"/>
  <c r="AU647" i="1"/>
  <c r="AT647" i="1"/>
  <c r="AV646" i="1"/>
  <c r="AU646" i="1"/>
  <c r="AT646" i="1"/>
  <c r="AV645" i="1"/>
  <c r="AU645" i="1"/>
  <c r="AV644" i="1"/>
  <c r="AU644" i="1"/>
  <c r="AT644" i="1"/>
  <c r="AV643" i="1"/>
  <c r="AU643" i="1"/>
  <c r="AT643" i="1"/>
  <c r="AV642" i="1"/>
  <c r="AU642" i="1"/>
  <c r="AT642" i="1"/>
  <c r="AV641" i="1"/>
  <c r="AU641" i="1"/>
  <c r="AV640" i="1"/>
  <c r="AU640" i="1"/>
  <c r="AV639" i="1"/>
  <c r="AU639" i="1"/>
  <c r="AV638" i="1"/>
  <c r="AU638" i="1"/>
  <c r="AT638" i="1"/>
  <c r="AV637" i="1"/>
  <c r="AU637" i="1"/>
  <c r="AT637" i="1"/>
  <c r="AV636" i="1"/>
  <c r="AU636" i="1"/>
  <c r="AT636" i="1"/>
  <c r="AV635" i="1"/>
  <c r="AU635" i="1"/>
  <c r="AT635" i="1"/>
  <c r="AV634" i="1"/>
  <c r="AU634" i="1"/>
  <c r="AV633" i="1"/>
  <c r="AU633" i="1"/>
  <c r="AT633" i="1"/>
  <c r="AV632" i="1"/>
  <c r="AU632" i="1"/>
  <c r="AV631" i="1"/>
  <c r="AU631" i="1"/>
  <c r="AT631" i="1"/>
  <c r="AV630" i="1"/>
  <c r="AU630" i="1"/>
  <c r="AV629" i="1"/>
  <c r="AU629" i="1"/>
  <c r="AT629" i="1"/>
  <c r="AV628" i="1"/>
  <c r="AU628" i="1"/>
  <c r="AV627" i="1"/>
  <c r="AU627" i="1"/>
  <c r="AV626" i="1"/>
  <c r="AU626" i="1"/>
  <c r="AT626" i="1"/>
  <c r="AV625" i="1"/>
  <c r="AU625" i="1"/>
  <c r="AT625" i="1"/>
  <c r="AV624" i="1"/>
  <c r="AU624" i="1"/>
  <c r="AV623" i="1"/>
  <c r="AU623" i="1"/>
  <c r="AT623" i="1"/>
  <c r="AV622" i="1"/>
  <c r="AU622" i="1"/>
  <c r="AT622" i="1"/>
  <c r="AV621" i="1"/>
  <c r="AU621" i="1"/>
  <c r="AT621" i="1"/>
  <c r="AV620" i="1"/>
  <c r="AU620" i="1"/>
  <c r="AV619" i="1"/>
  <c r="AU619" i="1"/>
  <c r="AV618" i="1"/>
  <c r="AU618" i="1"/>
  <c r="AT618" i="1"/>
  <c r="AV617" i="1"/>
  <c r="AU617" i="1"/>
  <c r="AV616" i="1"/>
  <c r="AU616" i="1"/>
  <c r="AT616" i="1"/>
  <c r="AV615" i="1"/>
  <c r="AU615" i="1"/>
  <c r="AT615" i="1"/>
  <c r="AV614" i="1"/>
  <c r="AU614" i="1"/>
  <c r="AT614" i="1"/>
  <c r="AV613" i="1"/>
  <c r="AU613" i="1"/>
  <c r="AV612" i="1"/>
  <c r="AU612" i="1"/>
  <c r="AT612" i="1"/>
  <c r="AV611" i="1"/>
  <c r="AU611" i="1"/>
  <c r="AT611" i="1"/>
  <c r="AV610" i="1"/>
  <c r="AU610" i="1"/>
  <c r="AT610" i="1"/>
  <c r="AV609" i="1"/>
  <c r="AU609" i="1"/>
  <c r="AV608" i="1"/>
  <c r="AU608" i="1"/>
  <c r="AV607" i="1"/>
  <c r="AU607" i="1"/>
  <c r="AV606" i="1"/>
  <c r="AU606" i="1"/>
  <c r="AT606" i="1"/>
  <c r="AV605" i="1"/>
  <c r="AU605" i="1"/>
  <c r="AT605" i="1"/>
  <c r="AV604" i="1"/>
  <c r="AU604" i="1"/>
  <c r="AT604" i="1"/>
  <c r="AV603" i="1"/>
  <c r="AU603" i="1"/>
  <c r="AT603" i="1"/>
  <c r="AV602" i="1"/>
  <c r="AU602" i="1"/>
  <c r="AV601" i="1"/>
  <c r="AU601" i="1"/>
  <c r="AV600" i="1"/>
  <c r="AU600" i="1"/>
  <c r="AV599" i="1"/>
  <c r="AU599" i="1"/>
  <c r="AV598" i="1"/>
  <c r="AU598" i="1"/>
  <c r="AT598" i="1"/>
  <c r="AV597" i="1"/>
  <c r="AU597" i="1"/>
  <c r="AV596" i="1"/>
  <c r="AU596" i="1"/>
  <c r="AV595" i="1"/>
  <c r="AU595" i="1"/>
  <c r="AV594" i="1"/>
  <c r="AU594" i="1"/>
  <c r="AV593" i="1"/>
  <c r="AU593" i="1"/>
  <c r="AV592" i="1"/>
  <c r="AU592" i="1"/>
  <c r="AV591" i="1"/>
  <c r="AU591" i="1"/>
  <c r="AV590" i="1"/>
  <c r="AU590" i="1"/>
  <c r="AV589" i="1"/>
  <c r="AU589" i="1"/>
  <c r="AV588" i="1"/>
  <c r="AU588" i="1"/>
  <c r="AT588" i="1"/>
  <c r="AV587" i="1"/>
  <c r="AU587" i="1"/>
  <c r="AT587" i="1"/>
  <c r="AV586" i="1"/>
  <c r="AU586" i="1"/>
  <c r="AV585" i="1"/>
  <c r="AU585" i="1"/>
  <c r="AV584" i="1"/>
  <c r="AU584" i="1"/>
  <c r="AV583" i="1"/>
  <c r="AU583" i="1"/>
  <c r="AT583" i="1"/>
  <c r="AV582" i="1"/>
  <c r="AU582" i="1"/>
  <c r="AT582" i="1"/>
  <c r="AV581" i="1"/>
  <c r="AU581" i="1"/>
  <c r="AV580" i="1"/>
  <c r="AU580" i="1"/>
  <c r="AT580" i="1"/>
  <c r="AV579" i="1"/>
  <c r="AU579" i="1"/>
  <c r="AT579" i="1"/>
  <c r="AV578" i="1"/>
  <c r="AU578" i="1"/>
  <c r="AT578" i="1"/>
  <c r="AV577" i="1"/>
  <c r="AU577" i="1"/>
  <c r="AT577" i="1"/>
  <c r="AV576" i="1"/>
  <c r="AU576" i="1"/>
  <c r="AV575" i="1"/>
  <c r="AU575" i="1"/>
  <c r="AT575" i="1"/>
  <c r="AV574" i="1"/>
  <c r="AU574" i="1"/>
  <c r="AV573" i="1"/>
  <c r="AU573" i="1"/>
  <c r="AT573" i="1"/>
  <c r="AV572" i="1"/>
  <c r="AU572" i="1"/>
  <c r="AT572" i="1"/>
  <c r="AV571" i="1"/>
  <c r="AU571" i="1"/>
  <c r="AT571" i="1"/>
  <c r="AV570" i="1"/>
  <c r="AU570" i="1"/>
  <c r="AT570" i="1"/>
  <c r="AV569" i="1"/>
  <c r="AU569" i="1"/>
  <c r="AV568" i="1"/>
  <c r="AU568" i="1"/>
  <c r="AT568" i="1"/>
  <c r="AV567" i="1"/>
  <c r="AU567" i="1"/>
  <c r="AV566" i="1"/>
  <c r="AU566" i="1"/>
  <c r="AT566" i="1"/>
  <c r="AV565" i="1"/>
  <c r="AU565" i="1"/>
  <c r="AV564" i="1"/>
  <c r="AU564" i="1"/>
  <c r="AT564" i="1"/>
  <c r="AV563" i="1"/>
  <c r="AU563" i="1"/>
  <c r="AV562" i="1"/>
  <c r="AU562" i="1"/>
  <c r="AT562" i="1"/>
  <c r="AV561" i="1"/>
  <c r="AU561" i="1"/>
  <c r="AV560" i="1"/>
  <c r="AU560" i="1"/>
  <c r="AV559" i="1"/>
  <c r="AU559" i="1"/>
  <c r="AT559" i="1"/>
  <c r="AV558" i="1"/>
  <c r="AU558" i="1"/>
  <c r="AT558" i="1"/>
  <c r="AV557" i="1"/>
  <c r="AU557" i="1"/>
  <c r="AV556" i="1"/>
  <c r="AU556" i="1"/>
  <c r="AV555" i="1"/>
  <c r="AU555" i="1"/>
  <c r="AV554" i="1"/>
  <c r="AU554" i="1"/>
  <c r="AV553" i="1"/>
  <c r="AU553" i="1"/>
  <c r="AV552" i="1"/>
  <c r="AU552" i="1"/>
  <c r="AV551" i="1"/>
  <c r="AU551" i="1"/>
  <c r="AT551" i="1"/>
  <c r="AV550" i="1"/>
  <c r="AU550" i="1"/>
  <c r="AV549" i="1"/>
  <c r="AU549" i="1"/>
  <c r="AV548" i="1"/>
  <c r="AU548" i="1"/>
  <c r="AV547" i="1"/>
  <c r="AU547" i="1"/>
  <c r="AT547" i="1"/>
  <c r="AV546" i="1"/>
  <c r="AU546" i="1"/>
  <c r="AV545" i="1"/>
  <c r="AU545" i="1"/>
  <c r="AT545" i="1"/>
  <c r="AV544" i="1"/>
  <c r="AU544" i="1"/>
  <c r="AV543" i="1"/>
  <c r="AU543" i="1"/>
  <c r="AT543" i="1"/>
  <c r="AV542" i="1"/>
  <c r="AU542" i="1"/>
  <c r="AT542" i="1"/>
  <c r="AV541" i="1"/>
  <c r="AU541" i="1"/>
  <c r="AT541" i="1"/>
  <c r="AV540" i="1"/>
  <c r="AU540" i="1"/>
  <c r="AT540" i="1"/>
  <c r="AV539" i="1"/>
  <c r="AU539" i="1"/>
  <c r="AV538" i="1"/>
  <c r="AU538" i="1"/>
  <c r="AT538" i="1"/>
  <c r="AV537" i="1"/>
  <c r="AU537" i="1"/>
  <c r="AV536" i="1"/>
  <c r="AU536" i="1"/>
  <c r="AT536" i="1"/>
  <c r="AV535" i="1"/>
  <c r="AU535" i="1"/>
  <c r="AT535" i="1"/>
  <c r="AV534" i="1"/>
  <c r="AU534" i="1"/>
  <c r="AT534" i="1"/>
  <c r="AV533" i="1"/>
  <c r="AU533" i="1"/>
  <c r="AV532" i="1"/>
  <c r="AU532" i="1"/>
  <c r="AT532" i="1"/>
  <c r="AV531" i="1"/>
  <c r="AU531" i="1"/>
  <c r="AV530" i="1"/>
  <c r="AU530" i="1"/>
  <c r="AT530" i="1"/>
  <c r="AV529" i="1"/>
  <c r="AU529" i="1"/>
  <c r="AT529" i="1"/>
  <c r="AV528" i="1"/>
  <c r="AU528" i="1"/>
  <c r="AV527" i="1"/>
  <c r="AU527" i="1"/>
  <c r="AT527" i="1"/>
  <c r="AV526" i="1"/>
  <c r="AU526" i="1"/>
  <c r="AV525" i="1"/>
  <c r="AU525" i="1"/>
  <c r="AV524" i="1"/>
  <c r="AU524" i="1"/>
  <c r="AV523" i="1"/>
  <c r="AU523" i="1"/>
  <c r="AT523" i="1"/>
  <c r="AV522" i="1"/>
  <c r="AU522" i="1"/>
  <c r="AT522" i="1"/>
  <c r="AV521" i="1"/>
  <c r="AU521" i="1"/>
  <c r="AT521" i="1"/>
  <c r="AV520" i="1"/>
  <c r="AU520" i="1"/>
  <c r="AT520" i="1"/>
  <c r="AV519" i="1"/>
  <c r="AU519" i="1"/>
  <c r="AT519" i="1"/>
  <c r="AV518" i="1"/>
  <c r="AU518" i="1"/>
  <c r="AT518" i="1"/>
  <c r="AV517" i="1"/>
  <c r="AU517" i="1"/>
  <c r="AT517" i="1"/>
  <c r="AV516" i="1"/>
  <c r="AU516" i="1"/>
  <c r="AV515" i="1"/>
  <c r="AU515" i="1"/>
  <c r="AV514" i="1"/>
  <c r="AU514" i="1"/>
  <c r="AV513" i="1"/>
  <c r="AU513" i="1"/>
  <c r="AV512" i="1"/>
  <c r="AU512" i="1"/>
  <c r="AV511" i="1"/>
  <c r="AU511" i="1"/>
  <c r="AT511" i="1"/>
  <c r="AV510" i="1"/>
  <c r="AU510" i="1"/>
  <c r="AV509" i="1"/>
  <c r="AU509" i="1"/>
  <c r="AT509" i="1"/>
  <c r="AV508" i="1"/>
  <c r="AU508" i="1"/>
  <c r="AT508" i="1"/>
  <c r="AV507" i="1"/>
  <c r="AU507" i="1"/>
  <c r="AV506" i="1"/>
  <c r="AU506" i="1"/>
  <c r="AT506" i="1"/>
  <c r="AV505" i="1"/>
  <c r="AU505" i="1"/>
  <c r="AV504" i="1"/>
  <c r="AU504" i="1"/>
  <c r="AT504" i="1"/>
  <c r="AV503" i="1"/>
  <c r="AU503" i="1"/>
  <c r="AV502" i="1"/>
  <c r="AU502" i="1"/>
  <c r="AT502" i="1"/>
  <c r="AV501" i="1"/>
  <c r="AU501" i="1"/>
  <c r="AT501" i="1"/>
  <c r="AV500" i="1"/>
  <c r="AU500" i="1"/>
  <c r="AT500" i="1"/>
  <c r="AV499" i="1"/>
  <c r="AU499" i="1"/>
  <c r="AV498" i="1"/>
  <c r="AU498" i="1"/>
  <c r="AT498" i="1"/>
  <c r="AV497" i="1"/>
  <c r="AU497" i="1"/>
  <c r="AV496" i="1"/>
  <c r="AU496" i="1"/>
  <c r="AT496" i="1"/>
  <c r="AV495" i="1"/>
  <c r="AU495" i="1"/>
  <c r="AT495" i="1"/>
  <c r="AV494" i="1"/>
  <c r="AU494" i="1"/>
  <c r="AV493" i="1"/>
  <c r="AU493" i="1"/>
  <c r="AV492" i="1"/>
  <c r="AU492" i="1"/>
  <c r="AV491" i="1"/>
  <c r="AU491" i="1"/>
  <c r="AT491" i="1"/>
  <c r="AV490" i="1"/>
  <c r="AU490" i="1"/>
  <c r="AT490" i="1"/>
  <c r="AV489" i="1"/>
  <c r="AU489" i="1"/>
  <c r="AV488" i="1"/>
  <c r="AU488" i="1"/>
  <c r="AT488" i="1"/>
  <c r="AV487" i="1"/>
  <c r="AU487" i="1"/>
  <c r="AT487" i="1"/>
  <c r="AV486" i="1"/>
  <c r="AU486" i="1"/>
  <c r="AT486" i="1"/>
  <c r="AV485" i="1"/>
  <c r="AU485" i="1"/>
  <c r="AT485" i="1"/>
  <c r="AV484" i="1"/>
  <c r="AU484" i="1"/>
  <c r="AT484" i="1"/>
  <c r="AV483" i="1"/>
  <c r="AU483" i="1"/>
  <c r="AT483" i="1"/>
  <c r="AV482" i="1"/>
  <c r="AU482" i="1"/>
  <c r="AT482" i="1"/>
  <c r="AV481" i="1"/>
  <c r="AU481" i="1"/>
  <c r="AV480" i="1"/>
  <c r="AU480" i="1"/>
  <c r="AV479" i="1"/>
  <c r="AU479" i="1"/>
  <c r="AV478" i="1"/>
  <c r="AU478" i="1"/>
  <c r="AV477" i="1"/>
  <c r="AU477" i="1"/>
  <c r="AT477" i="1"/>
  <c r="AV476" i="1"/>
  <c r="AU476" i="1"/>
  <c r="AT476" i="1"/>
  <c r="AV475" i="1"/>
  <c r="AU475" i="1"/>
  <c r="AV474" i="1"/>
  <c r="AU474" i="1"/>
  <c r="AV473" i="1"/>
  <c r="AU473" i="1"/>
  <c r="AT473" i="1"/>
  <c r="AV472" i="1"/>
  <c r="AU472" i="1"/>
  <c r="AT472" i="1"/>
  <c r="AV471" i="1"/>
  <c r="AU471" i="1"/>
  <c r="AT471" i="1"/>
  <c r="AV470" i="1"/>
  <c r="AU470" i="1"/>
  <c r="AV469" i="1"/>
  <c r="AU469" i="1"/>
  <c r="AV468" i="1"/>
  <c r="AU468" i="1"/>
  <c r="AT468" i="1"/>
  <c r="AV467" i="1"/>
  <c r="AU467" i="1"/>
  <c r="AT467" i="1"/>
  <c r="AV466" i="1"/>
  <c r="AU466" i="1"/>
  <c r="AT466" i="1"/>
  <c r="AV465" i="1"/>
  <c r="AU465" i="1"/>
  <c r="AV464" i="1"/>
  <c r="AU464" i="1"/>
  <c r="AT464" i="1"/>
  <c r="AV463" i="1"/>
  <c r="AU463" i="1"/>
  <c r="AT463" i="1"/>
  <c r="AV462" i="1"/>
  <c r="AU462" i="1"/>
  <c r="AT462" i="1"/>
  <c r="AV461" i="1"/>
  <c r="AU461" i="1"/>
  <c r="AT461" i="1"/>
  <c r="AV460" i="1"/>
  <c r="AU460" i="1"/>
  <c r="AT460" i="1"/>
  <c r="AV459" i="1"/>
  <c r="AU459" i="1"/>
  <c r="AV458" i="1"/>
  <c r="AU458" i="1"/>
  <c r="AV457" i="1"/>
  <c r="AU457" i="1"/>
  <c r="AT457" i="1"/>
  <c r="AV456" i="1"/>
  <c r="AU456" i="1"/>
  <c r="AT456" i="1"/>
  <c r="AV455" i="1"/>
  <c r="AU455" i="1"/>
  <c r="AV454" i="1"/>
  <c r="AU454" i="1"/>
  <c r="AT454" i="1"/>
  <c r="AV453" i="1"/>
  <c r="AU453" i="1"/>
  <c r="AT453" i="1"/>
  <c r="AV452" i="1"/>
  <c r="AU452" i="1"/>
  <c r="AV451" i="1"/>
  <c r="AU451" i="1"/>
  <c r="AT451" i="1"/>
  <c r="AV450" i="1"/>
  <c r="AU450" i="1"/>
  <c r="AV449" i="1"/>
  <c r="AU449" i="1"/>
  <c r="AV448" i="1"/>
  <c r="AU448" i="1"/>
  <c r="AT448" i="1"/>
  <c r="AV447" i="1"/>
  <c r="AU447" i="1"/>
  <c r="AT447" i="1"/>
  <c r="AV446" i="1"/>
  <c r="AU446" i="1"/>
  <c r="AV445" i="1"/>
  <c r="AU445" i="1"/>
  <c r="AT445" i="1"/>
  <c r="AV444" i="1"/>
  <c r="AU444" i="1"/>
  <c r="AV443" i="1"/>
  <c r="AU443" i="1"/>
  <c r="AT443" i="1"/>
  <c r="AV442" i="1"/>
  <c r="AU442" i="1"/>
  <c r="AT442" i="1"/>
  <c r="AV441" i="1"/>
  <c r="AU441" i="1"/>
  <c r="AT441" i="1"/>
  <c r="AV440" i="1"/>
  <c r="AU440" i="1"/>
  <c r="AV439" i="1"/>
  <c r="AU439" i="1"/>
  <c r="AT439" i="1"/>
  <c r="AV438" i="1"/>
  <c r="AU438" i="1"/>
  <c r="AV437" i="1"/>
  <c r="AU437" i="1"/>
  <c r="AV436" i="1"/>
  <c r="AU436" i="1"/>
  <c r="AT436" i="1"/>
  <c r="AV435" i="1"/>
  <c r="AU435" i="1"/>
  <c r="AV434" i="1"/>
  <c r="AU434" i="1"/>
  <c r="AV433" i="1"/>
  <c r="AU433" i="1"/>
  <c r="AT433" i="1"/>
  <c r="AV432" i="1"/>
  <c r="AU432" i="1"/>
  <c r="AT432" i="1"/>
  <c r="AV431" i="1"/>
  <c r="AU431" i="1"/>
  <c r="AT431" i="1"/>
  <c r="AV430" i="1"/>
  <c r="AU430" i="1"/>
  <c r="AV429" i="1"/>
  <c r="AU429" i="1"/>
  <c r="AT429" i="1"/>
  <c r="AV428" i="1"/>
  <c r="AU428" i="1"/>
  <c r="AT428" i="1"/>
  <c r="AV427" i="1"/>
  <c r="AU427" i="1"/>
  <c r="AT427" i="1"/>
  <c r="AV426" i="1"/>
  <c r="AU426" i="1"/>
  <c r="AT426" i="1"/>
  <c r="AV425" i="1"/>
  <c r="AU425" i="1"/>
  <c r="AT425" i="1"/>
  <c r="AV424" i="1"/>
  <c r="AU424" i="1"/>
  <c r="AV423" i="1"/>
  <c r="AU423" i="1"/>
  <c r="AV422" i="1"/>
  <c r="AU422" i="1"/>
  <c r="AT422" i="1"/>
  <c r="AV421" i="1"/>
  <c r="AU421" i="1"/>
  <c r="AV420" i="1"/>
  <c r="AU420" i="1"/>
  <c r="AV419" i="1"/>
  <c r="AU419" i="1"/>
  <c r="AV418" i="1"/>
  <c r="AU418" i="1"/>
  <c r="AT418" i="1"/>
  <c r="AV417" i="1"/>
  <c r="AU417" i="1"/>
  <c r="AT417" i="1"/>
  <c r="AV416" i="1"/>
  <c r="AU416" i="1"/>
  <c r="AV415" i="1"/>
  <c r="AU415" i="1"/>
  <c r="AV414" i="1"/>
  <c r="AU414" i="1"/>
  <c r="AT414" i="1"/>
  <c r="AV413" i="1"/>
  <c r="AU413" i="1"/>
  <c r="AT413" i="1"/>
  <c r="AV412" i="1"/>
  <c r="AU412" i="1"/>
  <c r="AT412" i="1"/>
  <c r="AV411" i="1"/>
  <c r="AU411" i="1"/>
  <c r="AT411" i="1"/>
  <c r="AV410" i="1"/>
  <c r="AU410" i="1"/>
  <c r="AV409" i="1"/>
  <c r="AU409" i="1"/>
  <c r="AT409" i="1"/>
  <c r="AV408" i="1"/>
  <c r="AU408" i="1"/>
  <c r="AV407" i="1"/>
  <c r="AU407" i="1"/>
  <c r="AV406" i="1"/>
  <c r="AU406" i="1"/>
  <c r="AT406" i="1"/>
  <c r="AV405" i="1"/>
  <c r="AU405" i="1"/>
  <c r="AT405" i="1"/>
  <c r="AV404" i="1"/>
  <c r="AU404" i="1"/>
  <c r="AT404" i="1"/>
  <c r="AV403" i="1"/>
  <c r="AU403" i="1"/>
  <c r="AT403" i="1"/>
  <c r="AV402" i="1"/>
  <c r="AU402" i="1"/>
  <c r="AV401" i="1"/>
  <c r="AU401" i="1"/>
  <c r="AV400" i="1"/>
  <c r="AU400" i="1"/>
  <c r="AT400" i="1"/>
  <c r="AV399" i="1"/>
  <c r="AU399" i="1"/>
  <c r="AT399" i="1"/>
  <c r="AV398" i="1"/>
  <c r="AU398" i="1"/>
  <c r="AT398" i="1"/>
  <c r="AV397" i="1"/>
  <c r="AU397" i="1"/>
  <c r="AT397" i="1"/>
  <c r="AV396" i="1"/>
  <c r="AU396" i="1"/>
  <c r="AT396" i="1"/>
  <c r="AV395" i="1"/>
  <c r="AU395" i="1"/>
  <c r="AT395" i="1"/>
  <c r="AV394" i="1"/>
  <c r="AU394" i="1"/>
  <c r="AT394" i="1"/>
  <c r="AV393" i="1"/>
  <c r="AU393" i="1"/>
  <c r="AT393" i="1"/>
  <c r="AV392" i="1"/>
  <c r="AU392" i="1"/>
  <c r="AT392" i="1"/>
  <c r="AV391" i="1"/>
  <c r="AU391" i="1"/>
  <c r="AV390" i="1"/>
  <c r="AU390" i="1"/>
  <c r="AV389" i="1"/>
  <c r="AU389" i="1"/>
  <c r="AV388" i="1"/>
  <c r="AU388" i="1"/>
  <c r="AT388" i="1"/>
  <c r="AV387" i="1"/>
  <c r="AU387" i="1"/>
  <c r="AT387" i="1"/>
  <c r="AV386" i="1"/>
  <c r="AU386" i="1"/>
  <c r="AV385" i="1"/>
  <c r="AU385" i="1"/>
  <c r="AV384" i="1"/>
  <c r="AU384" i="1"/>
  <c r="AT384" i="1"/>
  <c r="AV383" i="1"/>
  <c r="AU383" i="1"/>
  <c r="AT383" i="1"/>
  <c r="AV382" i="1"/>
  <c r="AU382" i="1"/>
  <c r="AT382" i="1"/>
  <c r="AV381" i="1"/>
  <c r="AU381" i="1"/>
  <c r="AT381" i="1"/>
  <c r="AV380" i="1"/>
  <c r="AU380" i="1"/>
  <c r="AT380" i="1"/>
  <c r="AV379" i="1"/>
  <c r="AU379" i="1"/>
  <c r="AT379" i="1"/>
  <c r="AV378" i="1"/>
  <c r="AU378" i="1"/>
  <c r="AV377" i="1"/>
  <c r="AU377" i="1"/>
  <c r="AT377" i="1"/>
  <c r="AV376" i="1"/>
  <c r="AU376" i="1"/>
  <c r="AT376" i="1"/>
  <c r="AV375" i="1"/>
  <c r="AU375" i="1"/>
  <c r="AV374" i="1"/>
  <c r="AU374" i="1"/>
  <c r="AT374" i="1"/>
  <c r="AV373" i="1"/>
  <c r="AU373" i="1"/>
  <c r="AT373" i="1"/>
  <c r="AV372" i="1"/>
  <c r="AU372" i="1"/>
  <c r="AT372" i="1"/>
  <c r="AV371" i="1"/>
  <c r="AU371" i="1"/>
  <c r="AT371" i="1"/>
  <c r="AV370" i="1"/>
  <c r="AU370" i="1"/>
  <c r="AV369" i="1"/>
  <c r="AU369" i="1"/>
  <c r="AV368" i="1"/>
  <c r="AU368" i="1"/>
  <c r="AV367" i="1"/>
  <c r="AU367" i="1"/>
  <c r="AT367" i="1"/>
  <c r="AV366" i="1"/>
  <c r="AU366" i="1"/>
  <c r="AV365" i="1"/>
  <c r="AU365" i="1"/>
  <c r="AT365" i="1"/>
  <c r="AV364" i="1"/>
  <c r="AU364" i="1"/>
  <c r="AT364" i="1"/>
  <c r="AV363" i="1"/>
  <c r="AU363" i="1"/>
  <c r="AV362" i="1"/>
  <c r="AU362" i="1"/>
  <c r="AV361" i="1"/>
  <c r="AU361" i="1"/>
  <c r="AT361" i="1"/>
  <c r="AV360" i="1"/>
  <c r="AU360" i="1"/>
  <c r="AT360" i="1"/>
  <c r="AV359" i="1"/>
  <c r="AU359" i="1"/>
  <c r="AV358" i="1"/>
  <c r="AU358" i="1"/>
  <c r="AT358" i="1"/>
  <c r="AV357" i="1"/>
  <c r="AU357" i="1"/>
  <c r="AT357" i="1"/>
  <c r="AV356" i="1"/>
  <c r="AU356" i="1"/>
  <c r="AT356" i="1"/>
  <c r="AV355" i="1"/>
  <c r="AU355" i="1"/>
  <c r="AV354" i="1"/>
  <c r="AU354" i="1"/>
  <c r="AV353" i="1"/>
  <c r="AU353" i="1"/>
  <c r="AT353" i="1"/>
  <c r="AV352" i="1"/>
  <c r="AU352" i="1"/>
  <c r="AV351" i="1"/>
  <c r="AU351" i="1"/>
  <c r="AV350" i="1"/>
  <c r="AU350" i="1"/>
  <c r="AV349" i="1"/>
  <c r="AU349" i="1"/>
  <c r="AV348" i="1"/>
  <c r="AU348" i="1"/>
  <c r="AT348" i="1"/>
  <c r="AV347" i="1"/>
  <c r="AU347" i="1"/>
  <c r="AT347" i="1"/>
  <c r="AV346" i="1"/>
  <c r="AU346" i="1"/>
  <c r="AV345" i="1"/>
  <c r="AU345" i="1"/>
  <c r="AV344" i="1"/>
  <c r="AU344" i="1"/>
  <c r="AV343" i="1"/>
  <c r="AU343" i="1"/>
  <c r="AT343" i="1"/>
  <c r="AV342" i="1"/>
  <c r="AU342" i="1"/>
  <c r="AT342" i="1"/>
  <c r="AV341" i="1"/>
  <c r="AU341" i="1"/>
  <c r="AT341" i="1"/>
  <c r="AV340" i="1"/>
  <c r="AU340" i="1"/>
  <c r="AT340" i="1"/>
  <c r="AV339" i="1"/>
  <c r="AU339" i="1"/>
  <c r="AV338" i="1"/>
  <c r="AU338" i="1"/>
  <c r="AV337" i="1"/>
  <c r="AU337" i="1"/>
  <c r="AV336" i="1"/>
  <c r="AU336" i="1"/>
  <c r="AV335" i="1"/>
  <c r="AU335" i="1"/>
  <c r="AV334" i="1"/>
  <c r="AU334" i="1"/>
  <c r="AT334" i="1"/>
  <c r="AV333" i="1"/>
  <c r="AU333" i="1"/>
  <c r="AT333" i="1"/>
  <c r="AV332" i="1"/>
  <c r="AU332" i="1"/>
  <c r="AV331" i="1"/>
  <c r="AU331" i="1"/>
  <c r="AV330" i="1"/>
  <c r="AU330" i="1"/>
  <c r="AT330" i="1"/>
  <c r="AV329" i="1"/>
  <c r="AU329" i="1"/>
  <c r="AV328" i="1"/>
  <c r="AU328" i="1"/>
  <c r="AV327" i="1"/>
  <c r="AU327" i="1"/>
  <c r="AV326" i="1"/>
  <c r="AU326" i="1"/>
  <c r="AT326" i="1"/>
  <c r="AV325" i="1"/>
  <c r="AU325" i="1"/>
  <c r="AV324" i="1"/>
  <c r="AU324" i="1"/>
  <c r="AT324" i="1"/>
  <c r="AV323" i="1"/>
  <c r="AU323" i="1"/>
  <c r="AT323" i="1"/>
  <c r="AV322" i="1"/>
  <c r="AU322" i="1"/>
  <c r="AV321" i="1"/>
  <c r="AU321" i="1"/>
  <c r="AT321" i="1"/>
  <c r="AV320" i="1"/>
  <c r="AU320" i="1"/>
  <c r="AV319" i="1"/>
  <c r="AU319" i="1"/>
  <c r="AT319" i="1"/>
  <c r="AV318" i="1"/>
  <c r="AU318" i="1"/>
  <c r="AT318" i="1"/>
  <c r="AV317" i="1"/>
  <c r="AU317" i="1"/>
  <c r="AT317" i="1"/>
  <c r="AV316" i="1"/>
  <c r="AU316" i="1"/>
  <c r="AV315" i="1"/>
  <c r="AU315" i="1"/>
  <c r="AT315" i="1"/>
  <c r="AV314" i="1"/>
  <c r="AU314" i="1"/>
  <c r="AT314" i="1"/>
  <c r="AV313" i="1"/>
  <c r="AU313" i="1"/>
  <c r="AV312" i="1"/>
  <c r="AU312" i="1"/>
  <c r="AT312" i="1"/>
  <c r="AV311" i="1"/>
  <c r="AU311" i="1"/>
  <c r="AV310" i="1"/>
  <c r="AU310" i="1"/>
  <c r="AT310" i="1"/>
  <c r="AV309" i="1"/>
  <c r="AU309" i="1"/>
  <c r="AV308" i="1"/>
  <c r="AU308" i="1"/>
  <c r="AT308" i="1"/>
  <c r="AV307" i="1"/>
  <c r="AU307" i="1"/>
  <c r="AT307" i="1"/>
  <c r="AV306" i="1"/>
  <c r="AU306" i="1"/>
  <c r="AV305" i="1"/>
  <c r="AU305" i="1"/>
  <c r="AT305" i="1"/>
  <c r="AV304" i="1"/>
  <c r="AU304" i="1"/>
  <c r="AT304" i="1"/>
  <c r="AV303" i="1"/>
  <c r="AU303" i="1"/>
  <c r="AT303" i="1"/>
  <c r="AV302" i="1"/>
  <c r="AU302" i="1"/>
  <c r="AT302" i="1"/>
  <c r="AV301" i="1"/>
  <c r="AU301" i="1"/>
  <c r="AV300" i="1"/>
  <c r="AU300" i="1"/>
  <c r="AV299" i="1"/>
  <c r="AU299" i="1"/>
  <c r="AT299" i="1"/>
  <c r="AV298" i="1"/>
  <c r="AU298" i="1"/>
  <c r="AV297" i="1"/>
  <c r="AU297" i="1"/>
  <c r="AT297" i="1"/>
  <c r="AV296" i="1"/>
  <c r="AU296" i="1"/>
  <c r="AV295" i="1"/>
  <c r="AU295" i="1"/>
  <c r="AT295" i="1"/>
  <c r="AV294" i="1"/>
  <c r="AU294" i="1"/>
  <c r="AV293" i="1"/>
  <c r="AU293" i="1"/>
  <c r="AV292" i="1"/>
  <c r="AU292" i="1"/>
  <c r="AT292" i="1"/>
  <c r="AV291" i="1"/>
  <c r="AU291" i="1"/>
  <c r="AV290" i="1"/>
  <c r="AU290" i="1"/>
  <c r="AV289" i="1"/>
  <c r="AU289" i="1"/>
  <c r="AV288" i="1"/>
  <c r="AU288" i="1"/>
  <c r="AT288" i="1"/>
  <c r="AV287" i="1"/>
  <c r="AU287" i="1"/>
  <c r="AT287" i="1"/>
  <c r="AV286" i="1"/>
  <c r="AU286" i="1"/>
  <c r="AT286" i="1"/>
  <c r="AV285" i="1"/>
  <c r="AU285" i="1"/>
  <c r="AT285" i="1"/>
  <c r="AV284" i="1"/>
  <c r="AU284" i="1"/>
  <c r="AV283" i="1"/>
  <c r="AU283" i="1"/>
  <c r="AV282" i="1"/>
  <c r="AU282" i="1"/>
  <c r="AT282" i="1"/>
  <c r="AV281" i="1"/>
  <c r="AU281" i="1"/>
  <c r="AT281" i="1"/>
  <c r="AV280" i="1"/>
  <c r="AU280" i="1"/>
  <c r="AV279" i="1"/>
  <c r="AU279" i="1"/>
  <c r="AT279" i="1"/>
  <c r="AV278" i="1"/>
  <c r="AU278" i="1"/>
  <c r="AV277" i="1"/>
  <c r="AU277" i="1"/>
  <c r="AV276" i="1"/>
  <c r="AU276" i="1"/>
  <c r="AV275" i="1"/>
  <c r="AU275" i="1"/>
  <c r="AV274" i="1"/>
  <c r="AU274" i="1"/>
  <c r="AV273" i="1"/>
  <c r="AU273" i="1"/>
  <c r="AT273" i="1"/>
  <c r="AV272" i="1"/>
  <c r="AU272" i="1"/>
  <c r="AV271" i="1"/>
  <c r="AU271" i="1"/>
  <c r="AV270" i="1"/>
  <c r="AU270" i="1"/>
  <c r="AT270" i="1"/>
  <c r="AV269" i="1"/>
  <c r="AU269" i="1"/>
  <c r="AT269" i="1"/>
  <c r="AV268" i="1"/>
  <c r="AU268" i="1"/>
  <c r="AT268" i="1"/>
  <c r="AV267" i="1"/>
  <c r="AU267" i="1"/>
  <c r="AT267" i="1"/>
  <c r="AV266" i="1"/>
  <c r="AU266" i="1"/>
  <c r="AV265" i="1"/>
  <c r="AU265" i="1"/>
  <c r="AV264" i="1"/>
  <c r="AU264" i="1"/>
  <c r="AV263" i="1"/>
  <c r="AU263" i="1"/>
  <c r="AV262" i="1"/>
  <c r="AU262" i="1"/>
  <c r="AV261" i="1"/>
  <c r="AU261" i="1"/>
  <c r="AV260" i="1"/>
  <c r="AU260" i="1"/>
  <c r="AT260" i="1"/>
  <c r="AV259" i="1"/>
  <c r="AU259" i="1"/>
  <c r="AV258" i="1"/>
  <c r="AU258" i="1"/>
  <c r="AV257" i="1"/>
  <c r="AU257" i="1"/>
  <c r="AV256" i="1"/>
  <c r="AU256" i="1"/>
  <c r="AV255" i="1"/>
  <c r="AU255" i="1"/>
  <c r="AV254" i="1"/>
  <c r="AU254" i="1"/>
  <c r="AT254" i="1"/>
  <c r="AV253" i="1"/>
  <c r="AU253" i="1"/>
  <c r="AT253" i="1"/>
  <c r="AV252" i="1"/>
  <c r="AU252" i="1"/>
  <c r="AV251" i="1"/>
  <c r="AU251" i="1"/>
  <c r="AT251" i="1"/>
  <c r="AV250" i="1"/>
  <c r="AU250" i="1"/>
  <c r="AT250" i="1"/>
  <c r="AV249" i="1"/>
  <c r="AU249" i="1"/>
  <c r="AV248" i="1"/>
  <c r="AU248" i="1"/>
  <c r="AV247" i="1"/>
  <c r="AU247" i="1"/>
  <c r="AT247" i="1"/>
  <c r="AV246" i="1"/>
  <c r="AU246" i="1"/>
  <c r="AT246" i="1"/>
  <c r="AV245" i="1"/>
  <c r="AU245" i="1"/>
  <c r="AT245" i="1"/>
  <c r="AV244" i="1"/>
  <c r="AU244" i="1"/>
  <c r="AT244" i="1"/>
  <c r="AV243" i="1"/>
  <c r="AU243" i="1"/>
  <c r="AT243" i="1"/>
  <c r="AV242" i="1"/>
  <c r="AU242" i="1"/>
  <c r="AV241" i="1"/>
  <c r="AU241" i="1"/>
  <c r="AV240" i="1"/>
  <c r="AU240" i="1"/>
  <c r="AT240" i="1"/>
  <c r="AV239" i="1"/>
  <c r="AU239" i="1"/>
  <c r="AT239" i="1"/>
  <c r="AV238" i="1"/>
  <c r="AU238" i="1"/>
  <c r="AV237" i="1"/>
  <c r="AU237" i="1"/>
  <c r="AV236" i="1"/>
  <c r="AU236" i="1"/>
  <c r="AT236" i="1"/>
  <c r="AV235" i="1"/>
  <c r="AU235" i="1"/>
  <c r="AT235" i="1"/>
  <c r="AV234" i="1"/>
  <c r="AU234" i="1"/>
  <c r="AV233" i="1"/>
  <c r="AU233" i="1"/>
  <c r="AT233" i="1"/>
  <c r="AV232" i="1"/>
  <c r="AU232" i="1"/>
  <c r="AT232" i="1"/>
  <c r="AV231" i="1"/>
  <c r="AU231" i="1"/>
  <c r="AT231" i="1"/>
  <c r="AV230" i="1"/>
  <c r="AU230" i="1"/>
  <c r="AT230" i="1"/>
  <c r="AV229" i="1"/>
  <c r="AU229" i="1"/>
  <c r="AT229" i="1"/>
  <c r="AV228" i="1"/>
  <c r="AU228" i="1"/>
  <c r="AT228" i="1"/>
  <c r="AV227" i="1"/>
  <c r="AU227" i="1"/>
  <c r="AV226" i="1"/>
  <c r="AU226" i="1"/>
  <c r="AV225" i="1"/>
  <c r="AU225" i="1"/>
  <c r="AT225" i="1"/>
  <c r="AV224" i="1"/>
  <c r="AU224" i="1"/>
  <c r="AV223" i="1"/>
  <c r="AU223" i="1"/>
  <c r="AT223" i="1"/>
  <c r="AV222" i="1"/>
  <c r="AU222" i="1"/>
  <c r="AV221" i="1"/>
  <c r="AU221" i="1"/>
  <c r="AT221" i="1"/>
  <c r="AV220" i="1"/>
  <c r="AU220" i="1"/>
  <c r="AT220" i="1"/>
  <c r="AV219" i="1"/>
  <c r="AU219" i="1"/>
  <c r="AV218" i="1"/>
  <c r="AU218" i="1"/>
  <c r="AT218" i="1"/>
  <c r="AV217" i="1"/>
  <c r="AU217" i="1"/>
  <c r="AT217" i="1"/>
  <c r="AV216" i="1"/>
  <c r="AU216" i="1"/>
  <c r="AV215" i="1"/>
  <c r="AU215" i="1"/>
  <c r="AT215" i="1"/>
  <c r="AV214" i="1"/>
  <c r="AU214" i="1"/>
  <c r="AV213" i="1"/>
  <c r="AU213" i="1"/>
  <c r="AT213" i="1"/>
  <c r="AV212" i="1"/>
  <c r="AU212" i="1"/>
  <c r="AT212" i="1"/>
  <c r="AV211" i="1"/>
  <c r="AU211" i="1"/>
  <c r="AT211" i="1"/>
  <c r="AV210" i="1"/>
  <c r="AU210" i="1"/>
  <c r="AT210" i="1"/>
  <c r="AV209" i="1"/>
  <c r="AU209" i="1"/>
  <c r="AV208" i="1"/>
  <c r="AU208" i="1"/>
  <c r="AV207" i="1"/>
  <c r="AU207" i="1"/>
  <c r="AT207" i="1"/>
  <c r="AV206" i="1"/>
  <c r="AU206" i="1"/>
  <c r="AT206" i="1"/>
  <c r="AV205" i="1"/>
  <c r="AU205" i="1"/>
  <c r="AV204" i="1"/>
  <c r="AU204" i="1"/>
  <c r="AV203" i="1"/>
  <c r="AU203" i="1"/>
  <c r="AT203" i="1"/>
  <c r="AV202" i="1"/>
  <c r="AU202" i="1"/>
  <c r="AT202" i="1"/>
  <c r="AV201" i="1"/>
  <c r="AU201" i="1"/>
  <c r="AT201" i="1"/>
  <c r="AV200" i="1"/>
  <c r="AU200" i="1"/>
  <c r="AT200" i="1"/>
  <c r="AV199" i="1"/>
  <c r="AU199" i="1"/>
  <c r="AT199" i="1"/>
  <c r="AV198" i="1"/>
  <c r="AU198" i="1"/>
  <c r="AT198" i="1"/>
  <c r="AV197" i="1"/>
  <c r="AU197" i="1"/>
  <c r="AT197" i="1"/>
  <c r="AV196" i="1"/>
  <c r="AU196" i="1"/>
  <c r="AV195" i="1"/>
  <c r="AU195" i="1"/>
  <c r="AT195" i="1"/>
  <c r="AV194" i="1"/>
  <c r="AU194" i="1"/>
  <c r="AV193" i="1"/>
  <c r="AU193" i="1"/>
  <c r="AT193" i="1"/>
  <c r="AV192" i="1"/>
  <c r="AU192" i="1"/>
  <c r="AV191" i="1"/>
  <c r="AU191" i="1"/>
  <c r="AT191" i="1"/>
  <c r="AV190" i="1"/>
  <c r="AU190" i="1"/>
  <c r="AT190" i="1"/>
  <c r="AV189" i="1"/>
  <c r="AU189" i="1"/>
  <c r="AV188" i="1"/>
  <c r="AU188" i="1"/>
  <c r="AT188" i="1"/>
  <c r="AV187" i="1"/>
  <c r="AU187" i="1"/>
  <c r="AT187" i="1"/>
  <c r="AV186" i="1"/>
  <c r="AU186" i="1"/>
  <c r="AT186" i="1"/>
  <c r="AV185" i="1"/>
  <c r="AU185" i="1"/>
  <c r="AT185" i="1"/>
  <c r="AV184" i="1"/>
  <c r="AU184" i="1"/>
  <c r="AV183" i="1"/>
  <c r="AU183" i="1"/>
  <c r="AT183" i="1"/>
  <c r="AV182" i="1"/>
  <c r="AU182" i="1"/>
  <c r="AT182" i="1"/>
  <c r="AV181" i="1"/>
  <c r="AU181" i="1"/>
  <c r="AV180" i="1"/>
  <c r="AU180" i="1"/>
  <c r="AT180" i="1"/>
  <c r="AV179" i="1"/>
  <c r="AU179" i="1"/>
  <c r="AT179" i="1"/>
  <c r="AV178" i="1"/>
  <c r="AU178" i="1"/>
  <c r="AT178" i="1"/>
  <c r="AV177" i="1"/>
  <c r="AU177" i="1"/>
  <c r="AT177" i="1"/>
  <c r="AV176" i="1"/>
  <c r="AU176" i="1"/>
  <c r="AV175" i="1"/>
  <c r="AU175" i="1"/>
  <c r="AV174" i="1"/>
  <c r="AU174" i="1"/>
  <c r="AV173" i="1"/>
  <c r="AU173" i="1"/>
  <c r="AT173" i="1"/>
  <c r="AV172" i="1"/>
  <c r="AU172" i="1"/>
  <c r="AV171" i="1"/>
  <c r="AU171" i="1"/>
  <c r="AV170" i="1"/>
  <c r="AU170" i="1"/>
  <c r="AV169" i="1"/>
  <c r="AU169" i="1"/>
  <c r="AT169" i="1"/>
  <c r="AV168" i="1"/>
  <c r="AU168" i="1"/>
  <c r="AV167" i="1"/>
  <c r="AU167" i="1"/>
  <c r="AT167" i="1"/>
  <c r="AV166" i="1"/>
  <c r="AU166" i="1"/>
  <c r="AT166" i="1"/>
  <c r="AV165" i="1"/>
  <c r="AU165" i="1"/>
  <c r="AT165" i="1"/>
  <c r="AV164" i="1"/>
  <c r="AU164" i="1"/>
  <c r="AT164" i="1"/>
  <c r="AV163" i="1"/>
  <c r="AU163" i="1"/>
  <c r="AV162" i="1"/>
  <c r="AU162" i="1"/>
  <c r="AV161" i="1"/>
  <c r="AU161" i="1"/>
  <c r="AV160" i="1"/>
  <c r="AU160" i="1"/>
  <c r="AV159" i="1"/>
  <c r="AU159" i="1"/>
  <c r="AV158" i="1"/>
  <c r="AU158" i="1"/>
  <c r="AV157" i="1"/>
  <c r="AU157" i="1"/>
  <c r="AT157" i="1"/>
  <c r="AV156" i="1"/>
  <c r="AU156" i="1"/>
  <c r="AT156" i="1"/>
  <c r="AV155" i="1"/>
  <c r="AU155" i="1"/>
  <c r="AT155" i="1"/>
  <c r="AV154" i="1"/>
  <c r="AU154" i="1"/>
  <c r="AV153" i="1"/>
  <c r="AU153" i="1"/>
  <c r="AV152" i="1"/>
  <c r="AU152" i="1"/>
  <c r="AT152" i="1"/>
  <c r="AV151" i="1"/>
  <c r="AU151" i="1"/>
  <c r="AT151" i="1"/>
  <c r="AV150" i="1"/>
  <c r="AU150" i="1"/>
  <c r="AT150" i="1"/>
  <c r="AV149" i="1"/>
  <c r="AU149" i="1"/>
  <c r="AV148" i="1"/>
  <c r="AU148" i="1"/>
  <c r="AV147" i="1"/>
  <c r="AU147" i="1"/>
  <c r="AT147" i="1"/>
  <c r="AV146" i="1"/>
  <c r="AU146" i="1"/>
  <c r="AT146" i="1"/>
  <c r="AV145" i="1"/>
  <c r="AU145" i="1"/>
  <c r="AV144" i="1"/>
  <c r="AU144" i="1"/>
  <c r="AT144" i="1"/>
  <c r="AV143" i="1"/>
  <c r="AU143" i="1"/>
  <c r="AT143" i="1"/>
  <c r="AV142" i="1"/>
  <c r="AU142" i="1"/>
  <c r="AV141" i="1"/>
  <c r="AU141" i="1"/>
  <c r="AV140" i="1"/>
  <c r="AU140" i="1"/>
  <c r="AV139" i="1"/>
  <c r="AU139" i="1"/>
  <c r="AT139" i="1"/>
  <c r="AV138" i="1"/>
  <c r="AU138" i="1"/>
  <c r="AT138" i="1"/>
  <c r="AV137" i="1"/>
  <c r="AU137" i="1"/>
  <c r="AV136" i="1"/>
  <c r="AU136" i="1"/>
  <c r="AV135" i="1"/>
  <c r="AU135" i="1"/>
  <c r="AT135" i="1"/>
  <c r="AV134" i="1"/>
  <c r="AU134" i="1"/>
  <c r="AV133" i="1"/>
  <c r="AU133" i="1"/>
  <c r="AT133" i="1"/>
  <c r="AV132" i="1"/>
  <c r="AU132" i="1"/>
  <c r="AV131" i="1"/>
  <c r="AU131" i="1"/>
  <c r="AV130" i="1"/>
  <c r="AU130" i="1"/>
  <c r="AT130" i="1"/>
  <c r="AV129" i="1"/>
  <c r="AU129" i="1"/>
  <c r="AT129" i="1"/>
  <c r="AV128" i="1"/>
  <c r="AU128" i="1"/>
  <c r="AT128" i="1"/>
  <c r="AV127" i="1"/>
  <c r="AU127" i="1"/>
  <c r="AT127" i="1"/>
  <c r="AV126" i="1"/>
  <c r="AU126" i="1"/>
  <c r="AT126" i="1"/>
  <c r="AV125" i="1"/>
  <c r="AU125" i="1"/>
  <c r="AT125" i="1"/>
  <c r="AV124" i="1"/>
  <c r="AU124" i="1"/>
  <c r="AT124" i="1"/>
  <c r="AV123" i="1"/>
  <c r="AU123" i="1"/>
  <c r="AT123" i="1"/>
  <c r="AV122" i="1"/>
  <c r="AU122" i="1"/>
  <c r="AT122" i="1"/>
  <c r="AV121" i="1"/>
  <c r="AU121" i="1"/>
  <c r="AV120" i="1"/>
  <c r="AU120" i="1"/>
  <c r="AT120" i="1"/>
  <c r="AV119" i="1"/>
  <c r="AU119" i="1"/>
  <c r="AT119" i="1"/>
  <c r="AV118" i="1"/>
  <c r="AU118" i="1"/>
  <c r="AT118" i="1"/>
  <c r="AV117" i="1"/>
  <c r="AU117" i="1"/>
  <c r="AV116" i="1"/>
  <c r="AU116" i="1"/>
  <c r="AV115" i="1"/>
  <c r="AU115" i="1"/>
  <c r="AV114" i="1"/>
  <c r="AU114" i="1"/>
  <c r="AT114" i="1"/>
  <c r="AV113" i="1"/>
  <c r="AU113" i="1"/>
  <c r="AT113" i="1"/>
  <c r="AV112" i="1"/>
  <c r="AU112" i="1"/>
  <c r="AV111" i="1"/>
  <c r="AU111" i="1"/>
  <c r="AV110" i="1"/>
  <c r="AU110" i="1"/>
  <c r="AT110" i="1"/>
  <c r="AV109" i="1"/>
  <c r="AU109" i="1"/>
  <c r="AT109" i="1"/>
  <c r="AV108" i="1"/>
  <c r="AU108" i="1"/>
  <c r="AT108" i="1"/>
  <c r="AV107" i="1"/>
  <c r="AU107" i="1"/>
  <c r="AT107" i="1"/>
  <c r="AV106" i="1"/>
  <c r="AU106" i="1"/>
  <c r="AV105" i="1"/>
  <c r="AU105" i="1"/>
  <c r="AT105" i="1"/>
  <c r="AV104" i="1"/>
  <c r="AU104" i="1"/>
  <c r="AV103" i="1"/>
  <c r="AU103" i="1"/>
  <c r="AT103" i="1"/>
  <c r="AV102" i="1"/>
  <c r="AU102" i="1"/>
  <c r="AT102" i="1"/>
  <c r="AV101" i="1"/>
  <c r="AU101" i="1"/>
  <c r="AV100" i="1"/>
  <c r="AU100" i="1"/>
  <c r="AT100" i="1"/>
  <c r="AV99" i="1"/>
  <c r="AU99" i="1"/>
  <c r="AV98" i="1"/>
  <c r="AU98" i="1"/>
  <c r="AT98" i="1"/>
  <c r="AV97" i="1"/>
  <c r="AU97" i="1"/>
  <c r="AT97" i="1"/>
  <c r="AV96" i="1"/>
  <c r="AU96" i="1"/>
  <c r="AT96" i="1"/>
  <c r="AV95" i="1"/>
  <c r="AU95" i="1"/>
  <c r="AV94" i="1"/>
  <c r="AU94" i="1"/>
  <c r="AT94" i="1"/>
  <c r="AV93" i="1"/>
  <c r="AU93" i="1"/>
  <c r="AT93" i="1"/>
  <c r="AV92" i="1"/>
  <c r="AU92" i="1"/>
  <c r="AV91" i="1"/>
  <c r="AU91" i="1"/>
  <c r="AV90" i="1"/>
  <c r="AU90" i="1"/>
  <c r="AT90" i="1"/>
  <c r="AV89" i="1"/>
  <c r="AU89" i="1"/>
  <c r="AV88" i="1"/>
  <c r="AU88" i="1"/>
  <c r="AV87" i="1"/>
  <c r="AU87" i="1"/>
  <c r="AV86" i="1"/>
  <c r="AU86" i="1"/>
  <c r="AV85" i="1"/>
  <c r="AU85" i="1"/>
  <c r="AV84" i="1"/>
  <c r="AU84" i="1"/>
  <c r="AV83" i="1"/>
  <c r="AU83" i="1"/>
  <c r="AV82" i="1"/>
  <c r="AU82" i="1"/>
  <c r="AT82" i="1"/>
  <c r="AV81" i="1"/>
  <c r="AU81" i="1"/>
  <c r="AV80" i="1"/>
  <c r="AU80" i="1"/>
  <c r="AV79" i="1"/>
  <c r="AU79" i="1"/>
  <c r="AT79" i="1"/>
  <c r="AV78" i="1"/>
  <c r="AU78" i="1"/>
  <c r="AT78" i="1"/>
  <c r="AV77" i="1"/>
  <c r="AU77" i="1"/>
  <c r="AT77" i="1"/>
  <c r="AV76" i="1"/>
  <c r="AU76" i="1"/>
  <c r="AT76" i="1"/>
  <c r="AV75" i="1"/>
  <c r="AU75" i="1"/>
  <c r="AT75" i="1"/>
  <c r="AV74" i="1"/>
  <c r="AU74" i="1"/>
  <c r="AT74" i="1"/>
  <c r="AV73" i="1"/>
  <c r="AU73" i="1"/>
  <c r="AV72" i="1"/>
  <c r="AU72" i="1"/>
  <c r="AV71" i="1"/>
  <c r="AU71" i="1"/>
  <c r="AT71" i="1"/>
  <c r="AV70" i="1"/>
  <c r="AU70" i="1"/>
  <c r="AT70" i="1"/>
  <c r="AV69" i="1"/>
  <c r="AU69" i="1"/>
  <c r="AV68" i="1"/>
  <c r="AU68" i="1"/>
  <c r="AT68" i="1"/>
  <c r="AV67" i="1"/>
  <c r="AU67" i="1"/>
  <c r="AT67" i="1"/>
  <c r="AV66" i="1"/>
  <c r="AU66" i="1"/>
  <c r="AV65" i="1"/>
  <c r="AU65" i="1"/>
  <c r="AT65" i="1"/>
  <c r="AV64" i="1"/>
  <c r="AU64" i="1"/>
  <c r="AT64" i="1"/>
  <c r="AV63" i="1"/>
  <c r="AU63" i="1"/>
  <c r="AT63" i="1"/>
  <c r="AV62" i="1"/>
  <c r="AU62" i="1"/>
  <c r="AV61" i="1"/>
  <c r="AU61" i="1"/>
  <c r="AT61" i="1"/>
  <c r="AV60" i="1"/>
  <c r="AU60" i="1"/>
  <c r="AV59" i="1"/>
  <c r="AU59" i="1"/>
  <c r="AT59" i="1"/>
  <c r="AV58" i="1"/>
  <c r="AU58" i="1"/>
  <c r="AV57" i="1"/>
  <c r="AU57" i="1"/>
  <c r="AT57" i="1"/>
  <c r="AV56" i="1"/>
  <c r="AU56" i="1"/>
  <c r="AV55" i="1"/>
  <c r="AU55" i="1"/>
  <c r="AT55" i="1"/>
  <c r="AV54" i="1"/>
  <c r="AU54" i="1"/>
  <c r="AT54" i="1"/>
  <c r="AV53" i="1"/>
  <c r="AU53" i="1"/>
  <c r="AT53" i="1"/>
  <c r="AV52" i="1"/>
  <c r="AU52" i="1"/>
  <c r="AT52" i="1"/>
  <c r="AV51" i="1"/>
  <c r="AU51" i="1"/>
  <c r="AV50" i="1"/>
  <c r="AU50" i="1"/>
  <c r="AV49" i="1"/>
  <c r="AU49" i="1"/>
  <c r="AV48" i="1"/>
  <c r="AU48" i="1"/>
  <c r="AT48" i="1"/>
  <c r="AV47" i="1"/>
  <c r="AU47" i="1"/>
  <c r="AT47" i="1"/>
  <c r="AV46" i="1"/>
  <c r="AU46" i="1"/>
  <c r="AT46" i="1"/>
  <c r="AV45" i="1"/>
  <c r="AU45" i="1"/>
  <c r="AV44" i="1"/>
  <c r="AU44" i="1"/>
  <c r="AV43" i="1"/>
  <c r="AU43" i="1"/>
  <c r="AV42" i="1"/>
  <c r="AU42" i="1"/>
  <c r="AT42" i="1"/>
  <c r="AV41" i="1"/>
  <c r="AU41" i="1"/>
  <c r="AT41" i="1"/>
  <c r="AV40" i="1"/>
  <c r="AU40" i="1"/>
  <c r="AT40" i="1"/>
  <c r="AV39" i="1"/>
  <c r="AU39" i="1"/>
  <c r="AV38" i="1"/>
  <c r="AU38" i="1"/>
  <c r="AV37" i="1"/>
  <c r="AU37" i="1"/>
  <c r="AV36" i="1"/>
  <c r="AU36" i="1"/>
  <c r="AV35" i="1"/>
  <c r="AU35" i="1"/>
  <c r="AV34" i="1"/>
  <c r="AU34" i="1"/>
  <c r="AV33" i="1"/>
  <c r="AU33" i="1"/>
  <c r="AV32" i="1"/>
  <c r="AU32" i="1"/>
  <c r="AT32" i="1"/>
  <c r="AV31" i="1"/>
  <c r="AU31" i="1"/>
  <c r="AT31" i="1"/>
  <c r="AV30" i="1"/>
  <c r="AU30" i="1"/>
  <c r="AV29" i="1"/>
  <c r="AU29" i="1"/>
  <c r="AT29" i="1"/>
  <c r="AV28" i="1"/>
  <c r="AU28" i="1"/>
  <c r="AT28" i="1"/>
  <c r="AV27" i="1"/>
  <c r="AU27" i="1"/>
  <c r="AT27" i="1"/>
  <c r="AV26" i="1"/>
  <c r="AU26" i="1"/>
  <c r="AT26" i="1"/>
  <c r="AV25" i="1"/>
  <c r="AU25" i="1"/>
  <c r="AT25" i="1"/>
  <c r="AV24" i="1"/>
  <c r="AU24" i="1"/>
  <c r="AT24" i="1"/>
  <c r="AV23" i="1"/>
  <c r="AU23" i="1"/>
  <c r="AT23" i="1"/>
  <c r="AV22" i="1"/>
  <c r="AU22" i="1"/>
  <c r="AT22" i="1"/>
  <c r="AV21" i="1"/>
  <c r="AU21" i="1"/>
  <c r="AT21" i="1"/>
  <c r="AV20" i="1"/>
  <c r="AU20" i="1"/>
  <c r="AT20" i="1"/>
  <c r="AV19" i="1"/>
  <c r="AU19" i="1"/>
  <c r="AT19" i="1"/>
  <c r="AV18" i="1"/>
  <c r="AU18" i="1"/>
  <c r="AT18" i="1"/>
  <c r="AV17" i="1"/>
  <c r="AU17" i="1"/>
  <c r="AT17" i="1"/>
  <c r="AV16" i="1"/>
  <c r="AU16" i="1"/>
  <c r="AV15" i="1"/>
  <c r="AU15" i="1"/>
  <c r="AT15" i="1"/>
  <c r="AV14" i="1"/>
  <c r="AU14" i="1"/>
  <c r="AT14" i="1"/>
  <c r="AV13" i="1"/>
  <c r="AU13" i="1"/>
  <c r="AT13" i="1"/>
  <c r="AV12" i="1"/>
  <c r="AU12" i="1"/>
  <c r="AT12" i="1"/>
  <c r="AV11" i="1"/>
  <c r="AU11" i="1"/>
  <c r="AV10" i="1"/>
  <c r="AU10" i="1"/>
  <c r="AV9" i="1"/>
  <c r="AU9" i="1"/>
  <c r="AT9" i="1"/>
  <c r="AV8" i="1"/>
  <c r="AU8" i="1"/>
  <c r="AT8" i="1"/>
  <c r="AV7" i="1"/>
  <c r="AU7" i="1"/>
  <c r="AT7" i="1"/>
  <c r="AV6" i="1"/>
  <c r="AU6" i="1"/>
  <c r="AV5" i="1"/>
  <c r="AU5" i="1"/>
  <c r="AV4" i="1"/>
  <c r="AU4" i="1"/>
  <c r="AV3" i="1"/>
  <c r="AU3" i="1"/>
  <c r="AT3" i="1"/>
  <c r="AV2" i="1"/>
  <c r="AU2" i="1"/>
  <c r="AT2" i="1"/>
</calcChain>
</file>

<file path=xl/sharedStrings.xml><?xml version="1.0" encoding="utf-8"?>
<sst xmlns="http://schemas.openxmlformats.org/spreadsheetml/2006/main" count="33640" uniqueCount="13211">
  <si>
    <t>CUHSL</t>
  </si>
  <si>
    <t>SHELVES</t>
  </si>
  <si>
    <t>W 1 AD787 1975</t>
  </si>
  <si>
    <t>0                      W  0001000AD 787         1975</t>
  </si>
  <si>
    <t>Advances in prostaglandin and thromboxane research / Edited by Bengt Samuelsson, Rodolfo Paoletti.</t>
  </si>
  <si>
    <t>V. 2</t>
  </si>
  <si>
    <t>Yes</t>
  </si>
  <si>
    <t>1</t>
  </si>
  <si>
    <t>No</t>
  </si>
  <si>
    <t>0</t>
  </si>
  <si>
    <t>New York : Raven Press c1976.</t>
  </si>
  <si>
    <t>1976</t>
  </si>
  <si>
    <t>eng</t>
  </si>
  <si>
    <t>nyu</t>
  </si>
  <si>
    <t xml:space="preserve">W  </t>
  </si>
  <si>
    <t>1990-10-10</t>
  </si>
  <si>
    <t>1987-12-22</t>
  </si>
  <si>
    <t>1151047580:eng</t>
  </si>
  <si>
    <t>2093202</t>
  </si>
  <si>
    <t>991000957339702656</t>
  </si>
  <si>
    <t>2259637210002656</t>
  </si>
  <si>
    <t>BOOK</t>
  </si>
  <si>
    <t>9780890040508</t>
  </si>
  <si>
    <t>30001000194771</t>
  </si>
  <si>
    <t>893551972</t>
  </si>
  <si>
    <t>V. 1</t>
  </si>
  <si>
    <t>30001000194789</t>
  </si>
  <si>
    <t>893546241</t>
  </si>
  <si>
    <t>W 1 AD787 1981 v.9</t>
  </si>
  <si>
    <t>0                      W  0001000AD 787         1981                                        v.9</t>
  </si>
  <si>
    <t>Leukotrienes and other lipoxygenase products / editors, Bengt Samuelsson, Rodolfo Paoletti.</t>
  </si>
  <si>
    <t>V. 9</t>
  </si>
  <si>
    <t>New York : Raven Press, c1982.</t>
  </si>
  <si>
    <t>1982</t>
  </si>
  <si>
    <t>xxu</t>
  </si>
  <si>
    <t>Advances in prostaglandin, thromboxane, and leukotriene research ; v. 9</t>
  </si>
  <si>
    <t>1996-02-05</t>
  </si>
  <si>
    <t>1989-02-23</t>
  </si>
  <si>
    <t>355693965:eng</t>
  </si>
  <si>
    <t>8764920</t>
  </si>
  <si>
    <t>991000957239702656</t>
  </si>
  <si>
    <t>2268122770002656</t>
  </si>
  <si>
    <t>9780890047415</t>
  </si>
  <si>
    <t>30001000194748</t>
  </si>
  <si>
    <t>893540858</t>
  </si>
  <si>
    <t>W 1 AD787 1988 v.19</t>
  </si>
  <si>
    <t>0                      W  0001000AD 787         1988                                        v.19</t>
  </si>
  <si>
    <t>Taipei Conference on Prostaglandin and Leukotriene Research / editors, Bengt Samuelsson, Patrick Y.-K. Wong, Frank F. Sun.</t>
  </si>
  <si>
    <t>V.19</t>
  </si>
  <si>
    <t>Taipei Conference on Prostaglandin and Leukotriene Research (1988)</t>
  </si>
  <si>
    <t>New York : Raven, c1989.</t>
  </si>
  <si>
    <t>1988</t>
  </si>
  <si>
    <t>Advances in prostaglandin, thromboxane, and leukotriene research ; v. 19</t>
  </si>
  <si>
    <t>1996-02-22</t>
  </si>
  <si>
    <t>1989-09-07</t>
  </si>
  <si>
    <t>356132198:eng</t>
  </si>
  <si>
    <t>20897916</t>
  </si>
  <si>
    <t>991001316369702656</t>
  </si>
  <si>
    <t>2260644870002656</t>
  </si>
  <si>
    <t>9780881674965</t>
  </si>
  <si>
    <t>30001001753013</t>
  </si>
  <si>
    <t>893832096</t>
  </si>
  <si>
    <t>W 1 AD788 1984 v.13</t>
  </si>
  <si>
    <t>0                      W  0001000AD 788         1984                                        v.13</t>
  </si>
  <si>
    <t>Platelets, prostaglandins, and the cardiovascular system / editors, Gian G. Neri Serneri ... [et al.].</t>
  </si>
  <si>
    <t>V.13</t>
  </si>
  <si>
    <t>New York : Raven Press, c1985.</t>
  </si>
  <si>
    <t>1985</t>
  </si>
  <si>
    <t>Advances in prostaglandin, thromboxane, and leukotriene research ; v. 13</t>
  </si>
  <si>
    <t>1991-02-11</t>
  </si>
  <si>
    <t>509930921:eng</t>
  </si>
  <si>
    <t>11622028</t>
  </si>
  <si>
    <t>991000957109702656</t>
  </si>
  <si>
    <t>2259954370002656</t>
  </si>
  <si>
    <t>9780881670622</t>
  </si>
  <si>
    <t>30001000194714</t>
  </si>
  <si>
    <t>893467740</t>
  </si>
  <si>
    <t>W 1 CO133C v.10B 1980</t>
  </si>
  <si>
    <t>0                      W  0001000CO 133C                                                    v.10B 1980</t>
  </si>
  <si>
    <t>Molecular biology of tumor viruses / edited by John Tooze.</t>
  </si>
  <si>
    <t>V.10B 1980 | V. 10B</t>
  </si>
  <si>
    <t>Cold Spring Harbor, N.Y. : Cold Spring Harbor Laboratory, 1980.</t>
  </si>
  <si>
    <t>1900</t>
  </si>
  <si>
    <t>2nd ed.</t>
  </si>
  <si>
    <t>Cold Spring Harbor monographs ; 10B</t>
  </si>
  <si>
    <t>2003-03-15</t>
  </si>
  <si>
    <t>1987-12-28</t>
  </si>
  <si>
    <t>365444339:eng</t>
  </si>
  <si>
    <t>5333697</t>
  </si>
  <si>
    <t>991000984099702656</t>
  </si>
  <si>
    <t>2265632920002656</t>
  </si>
  <si>
    <t>9780879691264</t>
  </si>
  <si>
    <t>30001000215048</t>
  </si>
  <si>
    <t>893546272</t>
  </si>
  <si>
    <t>W 1 DI163</t>
  </si>
  <si>
    <t>0                      W  0001000DI 163</t>
  </si>
  <si>
    <t>Diabetes mellitus : diagnosis and treatment.</t>
  </si>
  <si>
    <t>American Diabetes Association. Committee on Professional Education.</t>
  </si>
  <si>
    <t>1964</t>
  </si>
  <si>
    <t>1989-02-27</t>
  </si>
  <si>
    <t>1998-10-30</t>
  </si>
  <si>
    <t>1987-12-29</t>
  </si>
  <si>
    <t>3857783724:eng</t>
  </si>
  <si>
    <t>8193658</t>
  </si>
  <si>
    <t>991000984229702656</t>
  </si>
  <si>
    <t>2262266660002656</t>
  </si>
  <si>
    <t>30001000215451</t>
  </si>
  <si>
    <t>893287147</t>
  </si>
  <si>
    <t>30001000215444</t>
  </si>
  <si>
    <t>893284248</t>
  </si>
  <si>
    <t>W 1 FR946B 1973</t>
  </si>
  <si>
    <t>0                      W  0001000FR 946B        1973</t>
  </si>
  <si>
    <t>Frontiers in neuroendocrinology, 1973 / edited by William F. Ganong and Luciano Martini.</t>
  </si>
  <si>
    <t>New York ; London : Oxford U.P., c1973.</t>
  </si>
  <si>
    <t>1973</t>
  </si>
  <si>
    <t>1993-08-20</t>
  </si>
  <si>
    <t>1989-06-14</t>
  </si>
  <si>
    <t>4159953510:eng</t>
  </si>
  <si>
    <t>14046989</t>
  </si>
  <si>
    <t>991000984319702656</t>
  </si>
  <si>
    <t>2259638960002656</t>
  </si>
  <si>
    <t>30001000215543</t>
  </si>
  <si>
    <t>893455336</t>
  </si>
  <si>
    <t>W 1 FR946B 1978 v.5</t>
  </si>
  <si>
    <t>0                      W  0001000FR 946B        1978                                        v.5</t>
  </si>
  <si>
    <t>Frontiers in neuroendocrinology, 1978 : Volume 5 / edited by William F. Ganong, Luciano Martini.</t>
  </si>
  <si>
    <t>V. 5</t>
  </si>
  <si>
    <t>New York : Raven Press, c1978.</t>
  </si>
  <si>
    <t>1978</t>
  </si>
  <si>
    <t>2004-11-10</t>
  </si>
  <si>
    <t>1989-06-13</t>
  </si>
  <si>
    <t>10252258481:eng</t>
  </si>
  <si>
    <t>10773376</t>
  </si>
  <si>
    <t>991000984409702656</t>
  </si>
  <si>
    <t>2267168610002656</t>
  </si>
  <si>
    <t>9780890041352</t>
  </si>
  <si>
    <t>30001000215576</t>
  </si>
  <si>
    <t>893540882</t>
  </si>
  <si>
    <t>W 1 FR946d 1970 v.18</t>
  </si>
  <si>
    <t>0                      W  0001000FR 946d        1970                                        v.18</t>
  </si>
  <si>
    <t>The transmission of passive immunity from mother to young / by F.W. Rogers Brambell.</t>
  </si>
  <si>
    <t>V. 18</t>
  </si>
  <si>
    <t>Brambell, F. W. Rogers (Francis William Rogers)</t>
  </si>
  <si>
    <t>Amsterdam : North-Holland Pub. Co.; New York : American Elsevier, 1970.</t>
  </si>
  <si>
    <t>1970</t>
  </si>
  <si>
    <t xml:space="preserve">ne </t>
  </si>
  <si>
    <t>Frontiers of biology (Amsterdam), v. 18.</t>
  </si>
  <si>
    <t>1997-10-06</t>
  </si>
  <si>
    <t>1987-12-30</t>
  </si>
  <si>
    <t>1303791:eng</t>
  </si>
  <si>
    <t>91883</t>
  </si>
  <si>
    <t>991000984579702656</t>
  </si>
  <si>
    <t>2264709200002656</t>
  </si>
  <si>
    <t>30001000215618</t>
  </si>
  <si>
    <t>893134158</t>
  </si>
  <si>
    <t>W 1 FR946d 1971 v.20</t>
  </si>
  <si>
    <t>0                      W  0001000FR 946d        1971                                        v.20</t>
  </si>
  <si>
    <t>Foetal and neonatal immunology / By J. B. Solomon. Foreword by R.G. White.</t>
  </si>
  <si>
    <t>V. 20</t>
  </si>
  <si>
    <t>Solomon, J. B.</t>
  </si>
  <si>
    <t>Amsterdam : North-Holland Pub. Co., 1971.</t>
  </si>
  <si>
    <t>1971</t>
  </si>
  <si>
    <t>Frontiers of biology ; v. 20</t>
  </si>
  <si>
    <t>1990-07-11</t>
  </si>
  <si>
    <t>1988-01-04</t>
  </si>
  <si>
    <t>1327544:eng</t>
  </si>
  <si>
    <t>146784</t>
  </si>
  <si>
    <t>991000984619702656</t>
  </si>
  <si>
    <t>2258717390002656</t>
  </si>
  <si>
    <t>9780444100696</t>
  </si>
  <si>
    <t>30001000215626</t>
  </si>
  <si>
    <t>893632629</t>
  </si>
  <si>
    <t>W 1 FR946d 1973 v.28</t>
  </si>
  <si>
    <t>0                      W  0001000FR 946d        1973                                        v.28</t>
  </si>
  <si>
    <t>Immediate hypersensitivity : the molecular basis of the allergic response / D. R. Stanworth.</t>
  </si>
  <si>
    <t>V. 28</t>
  </si>
  <si>
    <t>Stanworth, D. R.</t>
  </si>
  <si>
    <t>Amsterdam : North-Holland Pub. Co.; New York : American Elsevier Pub. Co., 1973.</t>
  </si>
  <si>
    <t>Frontiers of biology ; v. 28</t>
  </si>
  <si>
    <t>1997-10-11</t>
  </si>
  <si>
    <t>1988-08-24</t>
  </si>
  <si>
    <t>796145426:eng</t>
  </si>
  <si>
    <t>790123</t>
  </si>
  <si>
    <t>991000984679702656</t>
  </si>
  <si>
    <t>2255207780002656</t>
  </si>
  <si>
    <t>9780444104441</t>
  </si>
  <si>
    <t>30001000215659</t>
  </si>
  <si>
    <t>893278574</t>
  </si>
  <si>
    <t>W 1 ME64 1967 v.8</t>
  </si>
  <si>
    <t>0                      W  0001000ME 64          1967                                        v.8</t>
  </si>
  <si>
    <t>Prostaglandins / U.S. von Euler and Rune Eliasson.</t>
  </si>
  <si>
    <t>V. 8</t>
  </si>
  <si>
    <t>Euler, Ulf S. von (Ulf Svante), 1905-1983.</t>
  </si>
  <si>
    <t>New York : Academic Press, c1967.</t>
  </si>
  <si>
    <t>1967</t>
  </si>
  <si>
    <t>Medicinal chemistry ; v. 8</t>
  </si>
  <si>
    <t>2002-06-17</t>
  </si>
  <si>
    <t>1668053:eng</t>
  </si>
  <si>
    <t>570036</t>
  </si>
  <si>
    <t>991000984819702656</t>
  </si>
  <si>
    <t>2269606780002656</t>
  </si>
  <si>
    <t>30001000215949</t>
  </si>
  <si>
    <t>893467754</t>
  </si>
  <si>
    <t>W 1 PR668E v.14 1977</t>
  </si>
  <si>
    <t>0                      W  0001000PR 668E                                                    v.14 1977</t>
  </si>
  <si>
    <t>Zinc metabolism : current aspects in health and disease : proceedings of a symposium / sponsored by Meyer Laboratories Institute of Research, Fort Lauderdale, Florida, November 11-12, 1976 ; editors, George J. Brewer, Ananda S. Prasad.</t>
  </si>
  <si>
    <t>V.14 1977</t>
  </si>
  <si>
    <t>New York : Liss, 1977.</t>
  </si>
  <si>
    <t>1977</t>
  </si>
  <si>
    <t>Progress in clinical and biological research ; 14</t>
  </si>
  <si>
    <t>1998-04-29</t>
  </si>
  <si>
    <t>807498757:eng</t>
  </si>
  <si>
    <t>2837122</t>
  </si>
  <si>
    <t>991000985039702656</t>
  </si>
  <si>
    <t>2262182810002656</t>
  </si>
  <si>
    <t>9780845100141</t>
  </si>
  <si>
    <t>30001000216723</t>
  </si>
  <si>
    <t>893369000</t>
  </si>
  <si>
    <t>W 1 PR668E v.38 1980</t>
  </si>
  <si>
    <t>0                      W  0001000PR 668E                                                    v.38 1980</t>
  </si>
  <si>
    <t>Ethics, humanism, and medicine : proceedings of three conferences sponsored by the Committee on Ethics, Humanism, and Medicine at the University of Michigan, 1978-1979 / Marc D. Basson, editor.</t>
  </si>
  <si>
    <t>V.38 1980</t>
  </si>
  <si>
    <t>Conference on Ethics, Humanism, and Medicine.</t>
  </si>
  <si>
    <t>New York : Liss, c1980.</t>
  </si>
  <si>
    <t>1980</t>
  </si>
  <si>
    <t>Progress in clinical and biological research ; v. 38</t>
  </si>
  <si>
    <t>2001-09-15</t>
  </si>
  <si>
    <t>9349919953:eng</t>
  </si>
  <si>
    <t>5726518</t>
  </si>
  <si>
    <t>991000985119702656</t>
  </si>
  <si>
    <t>2267577340002656</t>
  </si>
  <si>
    <t>9780845100387</t>
  </si>
  <si>
    <t>30001000216749</t>
  </si>
  <si>
    <t>893815981</t>
  </si>
  <si>
    <t>W 1 PR668E v.43 1980</t>
  </si>
  <si>
    <t>0                      W  0001000PR 668E                                                    v.43 1980</t>
  </si>
  <si>
    <t>Immunobiology of the erythrocyte / editors, S. Gerald Sandler, Jacob Nusbacher, Moses S. Schanfield.</t>
  </si>
  <si>
    <t>V.43 1980</t>
  </si>
  <si>
    <t>Progress in clinical and biological research ; v. 43</t>
  </si>
  <si>
    <t>2000-09-18</t>
  </si>
  <si>
    <t>355991861:eng</t>
  </si>
  <si>
    <t>6487928</t>
  </si>
  <si>
    <t>991000985199702656</t>
  </si>
  <si>
    <t>2267548720002656</t>
  </si>
  <si>
    <t>9780845100431</t>
  </si>
  <si>
    <t>30001000216764</t>
  </si>
  <si>
    <t>893637914</t>
  </si>
  <si>
    <t>W 1 PR668E 1981 v.56</t>
  </si>
  <si>
    <t>0                      W  0001000PR 668E        1981                                        v.56</t>
  </si>
  <si>
    <t>Erythrocyte membranes II : recent clinical and experimental advances : proceedings of a workshop held in Ann Arbor, Michigan, September 28, 1980 / editors, Walter C. Kruckeberg, John W. Eaton, George J. Brewer.</t>
  </si>
  <si>
    <t>V.56 1981</t>
  </si>
  <si>
    <t>New York : Liss, c1981.</t>
  </si>
  <si>
    <t>1981</t>
  </si>
  <si>
    <t>Progress in clinical and biological research ; v. 56</t>
  </si>
  <si>
    <t>42825238:eng</t>
  </si>
  <si>
    <t>7328213</t>
  </si>
  <si>
    <t>991000985299702656</t>
  </si>
  <si>
    <t>2256462600002656</t>
  </si>
  <si>
    <t>9780845100561</t>
  </si>
  <si>
    <t>30001000216780</t>
  </si>
  <si>
    <t>893826315</t>
  </si>
  <si>
    <t>W 1 PR668E 1982 v.128</t>
  </si>
  <si>
    <t>0                      W  0001000PR 668E        1982                                        v.128</t>
  </si>
  <si>
    <t>Research ethics / editors, Kåre Berg, Knut Erik Tranøy.</t>
  </si>
  <si>
    <t>V. 128</t>
  </si>
  <si>
    <t>New York : Liss, c1983.</t>
  </si>
  <si>
    <t>1983</t>
  </si>
  <si>
    <t xml:space="preserve">xx </t>
  </si>
  <si>
    <t>Progress in clinical and biological research ; 128</t>
  </si>
  <si>
    <t>1991-11-15</t>
  </si>
  <si>
    <t>1988-12-21</t>
  </si>
  <si>
    <t>890402196:eng</t>
  </si>
  <si>
    <t>9556403</t>
  </si>
  <si>
    <t>991000985429702656</t>
  </si>
  <si>
    <t>2269102450002656</t>
  </si>
  <si>
    <t>9780845101285</t>
  </si>
  <si>
    <t>30001000216822</t>
  </si>
  <si>
    <t>893374165</t>
  </si>
  <si>
    <t>W 1 PR668E 1985 v.199</t>
  </si>
  <si>
    <t>0                      W  0001000PR 668E        1985                                        v.199</t>
  </si>
  <si>
    <t>Leukotrienes in cardiovascular and pulmonary function / 26th Annual A.N. Richards Symposium, Bala Cynwyd, Pennsylvania, May 6-7, 1985 ; editors, Allan M. Lefer and Marlys H. Gee.</t>
  </si>
  <si>
    <t>V.199</t>
  </si>
  <si>
    <t>A.N. Richards Symposium (26th : 1985 : Bala-Cynwyd, Pa.)</t>
  </si>
  <si>
    <t>New York : Liss, c1985.</t>
  </si>
  <si>
    <t>Progress in clinical and biological research ; vol. 199</t>
  </si>
  <si>
    <t>2009-04-28</t>
  </si>
  <si>
    <t>1103248864:eng</t>
  </si>
  <si>
    <t>12418619</t>
  </si>
  <si>
    <t>991000985659702656</t>
  </si>
  <si>
    <t>2269168990002656</t>
  </si>
  <si>
    <t>9780845150498</t>
  </si>
  <si>
    <t>30001000216863</t>
  </si>
  <si>
    <t>893363633</t>
  </si>
  <si>
    <t>W 1 PR668E 1986 v.237</t>
  </si>
  <si>
    <t>0                      W  0001000PR 668E        1986                                        v.237</t>
  </si>
  <si>
    <t>The Use of transrectal ultrasound in the diagnosis and management of prostate cancer : proceedings of an international symposium held in Detroit, Michigan, September 11-12, 1986 / editor, Fred Lee, Richard D. Mc Leary.</t>
  </si>
  <si>
    <t>V.237</t>
  </si>
  <si>
    <t>New York : Liss, c1987.</t>
  </si>
  <si>
    <t>1987</t>
  </si>
  <si>
    <t>Progress in clinical and biological research ; v. 237</t>
  </si>
  <si>
    <t>2001-04-29</t>
  </si>
  <si>
    <t>1988-01-06</t>
  </si>
  <si>
    <t>795425471:eng</t>
  </si>
  <si>
    <t>15222407</t>
  </si>
  <si>
    <t>991001535489702656</t>
  </si>
  <si>
    <t>2266459770002656</t>
  </si>
  <si>
    <t>9780845150870</t>
  </si>
  <si>
    <t>30001000622755</t>
  </si>
  <si>
    <t>893743898</t>
  </si>
  <si>
    <t>W 1 PR668E 1986 v.242</t>
  </si>
  <si>
    <t>0                      W  0001000PR 668E        1986                                        v.242</t>
  </si>
  <si>
    <t>Prostaglandins in clinical research : proceedings of the 3rd International Symposium on Prostaglandins, held in Bad Ischl, Austria, September 16-20, 1986 / editors, Helmut Sinzinger, Karsten Schrör.</t>
  </si>
  <si>
    <t>V.242</t>
  </si>
  <si>
    <t>International Symposium on Prostaglandins (3rd : 1986 : Bad Ischl, Austria)</t>
  </si>
  <si>
    <t>Progress in clinical and biological research ; v. 242</t>
  </si>
  <si>
    <t>1992-10-08</t>
  </si>
  <si>
    <t>1987-10-27</t>
  </si>
  <si>
    <t>21828723:eng</t>
  </si>
  <si>
    <t>15486446</t>
  </si>
  <si>
    <t>991001529809702656</t>
  </si>
  <si>
    <t>2271989970002656</t>
  </si>
  <si>
    <t>9780845150924</t>
  </si>
  <si>
    <t>30001000621153</t>
  </si>
  <si>
    <t>893826839</t>
  </si>
  <si>
    <t>W 1 PR668E 1986 v.243A-B</t>
  </si>
  <si>
    <t>0                      W  0001000PR 668E        1986                                        v.243A-B</t>
  </si>
  <si>
    <t>Prostate cancer : proceedings of the Second International Symposium on Prostate Cancer, held in Paris, France, June 16-18, 1986 / editors, Gerald P. Murphy ... [et al.].</t>
  </si>
  <si>
    <t>V.243 A</t>
  </si>
  <si>
    <t>International Symposium on Prostate Cancer (2nd : 1986 : Paris, France)</t>
  </si>
  <si>
    <t>Progress in clinical and biological research ; v. 243</t>
  </si>
  <si>
    <t>1988-11-06</t>
  </si>
  <si>
    <t>1990-01-29</t>
  </si>
  <si>
    <t>1987-11-17</t>
  </si>
  <si>
    <t>2829736190:eng</t>
  </si>
  <si>
    <t>15518547</t>
  </si>
  <si>
    <t>991001531179702656</t>
  </si>
  <si>
    <t>2269348220002656</t>
  </si>
  <si>
    <t>9780845101988</t>
  </si>
  <si>
    <t>30001000621526</t>
  </si>
  <si>
    <t>893727736</t>
  </si>
  <si>
    <t>V.243 B</t>
  </si>
  <si>
    <t>30001000621534</t>
  </si>
  <si>
    <t>893741226</t>
  </si>
  <si>
    <t>W 1 PR668E 1988 v.258</t>
  </si>
  <si>
    <t>0                      W  0001000PR 668E        1988                                        v.258</t>
  </si>
  <si>
    <t>Membrane biophysics III : biological transport : proceedings of the 25th Annual Meeting of the Biological Transport Group, in a joint meeting with the Midwest Salt and Water Club held at Cumberland Lake, Kentucky, June 21-24, 1987 / editors, Mumtaz A. Dinno, William McD. Armstrong.</t>
  </si>
  <si>
    <t>V.258</t>
  </si>
  <si>
    <t>Biological Transport Group. Meeting (25th : 1987 : Cumberland, Lake, Ky.)</t>
  </si>
  <si>
    <t>New York : Liss, c1988.</t>
  </si>
  <si>
    <t>Progress in clinical and biological research ; v. 258</t>
  </si>
  <si>
    <t>1989-05-08</t>
  </si>
  <si>
    <t>1989-04-28</t>
  </si>
  <si>
    <t>15954272:eng</t>
  </si>
  <si>
    <t>17484164</t>
  </si>
  <si>
    <t>991001244779702656</t>
  </si>
  <si>
    <t>2269055570002656</t>
  </si>
  <si>
    <t>9780845151082</t>
  </si>
  <si>
    <t>30001001676727</t>
  </si>
  <si>
    <t>893287313</t>
  </si>
  <si>
    <t>W 1 PR668E 1988 v.260</t>
  </si>
  <si>
    <t>0                      W  0001000PR 668E        1988                                        v.260</t>
  </si>
  <si>
    <t>Management of advanced cancer of prostate and bladder : proceedings of a symposium of the tenth anniversary of the European Organization for Research on the Treatment of Cancer (EORTC), held in Leeds, England, October 3rd, 1986, and the Fifth Course in Urological Oncology, held in Erice, Sicily, November 28-December 4th, 1986 / editors, Philip H. Smith, Michele Pavone-Macaluso.</t>
  </si>
  <si>
    <t>V.260</t>
  </si>
  <si>
    <t>Progress in clinical and biological research ; v. 260</t>
  </si>
  <si>
    <t>1990-05-31</t>
  </si>
  <si>
    <t>1988-08-10</t>
  </si>
  <si>
    <t>795466324:eng</t>
  </si>
  <si>
    <t>17265672</t>
  </si>
  <si>
    <t>991001421299702656</t>
  </si>
  <si>
    <t>2258794720002656</t>
  </si>
  <si>
    <t>9780845151105</t>
  </si>
  <si>
    <t>30001001182361</t>
  </si>
  <si>
    <t>893161977</t>
  </si>
  <si>
    <t>W 1 PR668E 1988 v.266</t>
  </si>
  <si>
    <t>0                      W  0001000PR 668E        1988                                        v.266</t>
  </si>
  <si>
    <t>Growth factors and other aspects of wound healing : biological and clinical implications : proceedings of the Second International Symposium on Tissue Repair, held at the Innisbrook Resort, Tarpon Springs, Florida, May 13-17, 1987 / editors, Thomas K. Hunt ... [et al.].</t>
  </si>
  <si>
    <t>V.266</t>
  </si>
  <si>
    <t>International Symposium on Tissue Repair (2nd : 1987 : Tarpon Springs, Fla.)</t>
  </si>
  <si>
    <t>New York : A.R. Liss, c1988.</t>
  </si>
  <si>
    <t>Progress in clinical and biological research ; v. 266</t>
  </si>
  <si>
    <t>1994-06-29</t>
  </si>
  <si>
    <t>1988-08-09</t>
  </si>
  <si>
    <t>15610396:eng</t>
  </si>
  <si>
    <t>17413307</t>
  </si>
  <si>
    <t>991001419469702656</t>
  </si>
  <si>
    <t>2265555980002656</t>
  </si>
  <si>
    <t>9780845151167</t>
  </si>
  <si>
    <t>30001001181785</t>
  </si>
  <si>
    <t>893643558</t>
  </si>
  <si>
    <t>W 1 PR668E 1988 v.273</t>
  </si>
  <si>
    <t>0                      W  0001000PR 668E        1988                                        v.273</t>
  </si>
  <si>
    <t>The ion pumps : structure, function, and regulation : proceedings of the First Shoresh Workshop on Ion Pumps, held at Shoresh, Israel, August 30 through September 2, 1987 / editor, Wilfred D. Stein.</t>
  </si>
  <si>
    <t>V.273</t>
  </si>
  <si>
    <t>Shoresh Workshop on Ion Pumps (1st : 1987 : Shoresh, Israel)</t>
  </si>
  <si>
    <t>Progress in clinical and biological research ; v. 273</t>
  </si>
  <si>
    <t>1994-03-01</t>
  </si>
  <si>
    <t>1988-12-23</t>
  </si>
  <si>
    <t>5609581117:eng</t>
  </si>
  <si>
    <t>17547074</t>
  </si>
  <si>
    <t>991001112329702656</t>
  </si>
  <si>
    <t>2262269170002656</t>
  </si>
  <si>
    <t>9780845151235</t>
  </si>
  <si>
    <t>30001001612367</t>
  </si>
  <si>
    <t>893826455</t>
  </si>
  <si>
    <t>W 1 PR668E 1992 v.381</t>
  </si>
  <si>
    <t>0                      W  0001000PR 668E        1992                                        v.381</t>
  </si>
  <si>
    <t>Gynecologic surgery and adhesion prevention : proceedings of the Second International Symposium on Gynecologic Surgery and Adhesion Prevention held in Palm Beach, Florida, January 1992 / editors, Michael P. Diamond ... [et al.].</t>
  </si>
  <si>
    <t>V.381</t>
  </si>
  <si>
    <t>International Symposium on Gynecologic Surgery and Adhesion Prevention (2nd : 1992 : Palm Beach, Fla.)</t>
  </si>
  <si>
    <t>New York, N.Y. : Wiley-Liss, c1993.</t>
  </si>
  <si>
    <t>1993</t>
  </si>
  <si>
    <t>Progress in clinical and biological research ; v. 381</t>
  </si>
  <si>
    <t>1994-09-07</t>
  </si>
  <si>
    <t>1994-09-06</t>
  </si>
  <si>
    <t>809271669:eng</t>
  </si>
  <si>
    <t>28888176</t>
  </si>
  <si>
    <t>991000673229702656</t>
  </si>
  <si>
    <t>2264025170002656</t>
  </si>
  <si>
    <t>9780471588320</t>
  </si>
  <si>
    <t>30001002696385</t>
  </si>
  <si>
    <t>893831003</t>
  </si>
  <si>
    <t>W 1 PR668E 1993 v.380</t>
  </si>
  <si>
    <t>0                      W  0001000PR 668E        1993                                        v.380</t>
  </si>
  <si>
    <t>Essential and toxic trace elements in human health and disease : an update / editor, Ananda S. Prasad.</t>
  </si>
  <si>
    <t>V.380</t>
  </si>
  <si>
    <t>New York : Wiley-Liss, c1993.</t>
  </si>
  <si>
    <t>Progress in clinical and biological research ; v. 380</t>
  </si>
  <si>
    <t>1998-02-25</t>
  </si>
  <si>
    <t>802443843:eng</t>
  </si>
  <si>
    <t>26675153</t>
  </si>
  <si>
    <t>991000673279702656</t>
  </si>
  <si>
    <t>2267489500002656</t>
  </si>
  <si>
    <t>9780471591092</t>
  </si>
  <si>
    <t>30001002696393</t>
  </si>
  <si>
    <t>893277932</t>
  </si>
  <si>
    <t>W 1 S561n 1957</t>
  </si>
  <si>
    <t>0                      W  0001000S  561n        1957</t>
  </si>
  <si>
    <t>National Tuberculosis Association, 1904-1954 : a study of the voluntary health movement in the United States.</t>
  </si>
  <si>
    <t>Shryock, Richard Harrison, 1893-1972 editor.</t>
  </si>
  <si>
    <t>New York : National Tuberculosis Association, 1957.</t>
  </si>
  <si>
    <t>1957</t>
  </si>
  <si>
    <t>National Tuberculosis Association. Historical series, no. 8</t>
  </si>
  <si>
    <t>1998-02-22</t>
  </si>
  <si>
    <t>1989-02-14</t>
  </si>
  <si>
    <t>2158107:eng</t>
  </si>
  <si>
    <t>1196828</t>
  </si>
  <si>
    <t>991000985849702656</t>
  </si>
  <si>
    <t>2259797950002656</t>
  </si>
  <si>
    <t>30001000217069</t>
  </si>
  <si>
    <t>893643115</t>
  </si>
  <si>
    <t>W 3 IN854p</t>
  </si>
  <si>
    <t>0                      W  0003000IN 854p</t>
  </si>
  <si>
    <t>Poliomyelitis : papers and discussions presented at the Second International Poliomyelitis Conference / compiled and edited for the International Poliomyelitis Congress.</t>
  </si>
  <si>
    <t>International Poliomyelitis Conference (2nd : 1951 : Copenhagen, Denmark)</t>
  </si>
  <si>
    <t>Philadelphia : Lippincott, c1952.</t>
  </si>
  <si>
    <t>1952</t>
  </si>
  <si>
    <t>pau</t>
  </si>
  <si>
    <t>2009-03-31</t>
  </si>
  <si>
    <t>1990-07-16</t>
  </si>
  <si>
    <t>5621122635:eng</t>
  </si>
  <si>
    <t>8525104</t>
  </si>
  <si>
    <t>991000986689702656</t>
  </si>
  <si>
    <t>2271582390002656</t>
  </si>
  <si>
    <t>30001000218315</t>
  </si>
  <si>
    <t>893161599</t>
  </si>
  <si>
    <t>Poliomyelitis : papers and discussions presented at the First International Poliomyelitis Conference, July 12-17, 1948.</t>
  </si>
  <si>
    <t>International Poliomyelitis Congress.</t>
  </si>
  <si>
    <t>Philadelphia : J. B. Lippincott Co., [1949]</t>
  </si>
  <si>
    <t>1948</t>
  </si>
  <si>
    <t>2004-10-14</t>
  </si>
  <si>
    <t>1988-03-28</t>
  </si>
  <si>
    <t>5612325785:eng</t>
  </si>
  <si>
    <t>3816662</t>
  </si>
  <si>
    <t>991000986619702656</t>
  </si>
  <si>
    <t>2262353110002656</t>
  </si>
  <si>
    <t>30001000218299</t>
  </si>
  <si>
    <t>893560800</t>
  </si>
  <si>
    <t>The fifth International Poliomyelitis Conference : July 26-28, 1960, Copenhagen : abstracts of papers presented / officers of the conference, Basil O'Connor ... [et al. ; editors, J.E. Minkenhof ... et al.].</t>
  </si>
  <si>
    <t>International Poliomyelitis Conference (5th : 1960 : Copenhagen, Denmark)</t>
  </si>
  <si>
    <t>Amsterdam ; New York : Excerpta Medica Foundation, [1960?]</t>
  </si>
  <si>
    <t>1960</t>
  </si>
  <si>
    <t>Excerpta medica. International congress series ; no. 27</t>
  </si>
  <si>
    <t>2000-02-01</t>
  </si>
  <si>
    <t>5621020011:eng</t>
  </si>
  <si>
    <t>8773281</t>
  </si>
  <si>
    <t>991000986729702656</t>
  </si>
  <si>
    <t>2270668300002656</t>
  </si>
  <si>
    <t>30001000218331</t>
  </si>
  <si>
    <t>893284249</t>
  </si>
  <si>
    <t>W 3 IN854p 1955</t>
  </si>
  <si>
    <t>0                      W  0003000IN 854p        1955</t>
  </si>
  <si>
    <t>Poliomyelitis : papers and discussions ...</t>
  </si>
  <si>
    <t>International Poliomyelitis Conference (3rd : 1954 : Rome, Italy)</t>
  </si>
  <si>
    <t>Philadelphia : Lippincott, c1955.</t>
  </si>
  <si>
    <t>1955</t>
  </si>
  <si>
    <t>1990-07-13</t>
  </si>
  <si>
    <t>3862692506:eng</t>
  </si>
  <si>
    <t>9920725</t>
  </si>
  <si>
    <t>991000986769702656</t>
  </si>
  <si>
    <t>2262082140002656</t>
  </si>
  <si>
    <t>30001000218323</t>
  </si>
  <si>
    <t>893736112</t>
  </si>
  <si>
    <t>W 3 IN854p 1957</t>
  </si>
  <si>
    <t>0                      W  0003000IN 854p        1957</t>
  </si>
  <si>
    <t>Poliomyelitis : papers and discussions presented at the Fourth International Poliomyelitis Conference / compiled and edited for the International Poliomyelitis Congress.</t>
  </si>
  <si>
    <t>International Poliomyelitis Congress (4th : 1957 : Geneva, Switzerland)</t>
  </si>
  <si>
    <t>Philadelphia : Lippincott, c1958.</t>
  </si>
  <si>
    <t>1958</t>
  </si>
  <si>
    <t>1989-03-02</t>
  </si>
  <si>
    <t>8910510690:eng</t>
  </si>
  <si>
    <t>6883962</t>
  </si>
  <si>
    <t>991000986799702656</t>
  </si>
  <si>
    <t>2262914100002656</t>
  </si>
  <si>
    <t>30001000218356</t>
  </si>
  <si>
    <t>893815983</t>
  </si>
  <si>
    <t>W3 IN922P 3d 1975i</t>
  </si>
  <si>
    <t>0                      W  0003000IN 922P                                                    3d 1975i</t>
  </si>
  <si>
    <t>Infections of the urinary tract : proceedings of the Third International Symposium on Pyelonephritis / edited by Edward H. Kass and William Brumfitt.</t>
  </si>
  <si>
    <t>International Symposium on Pyelonephritis (3rd : 1975 : London, England)</t>
  </si>
  <si>
    <t>-- Chicago : University of Chicago Press, c1978.</t>
  </si>
  <si>
    <t>ilu</t>
  </si>
  <si>
    <t>Studies in infectious disease research</t>
  </si>
  <si>
    <t>1990-04-23</t>
  </si>
  <si>
    <t>1989-07-12</t>
  </si>
  <si>
    <t>1104000486:eng</t>
  </si>
  <si>
    <t>4003541</t>
  </si>
  <si>
    <t>991001260329702656</t>
  </si>
  <si>
    <t>2267738400002656</t>
  </si>
  <si>
    <t>9780226425665</t>
  </si>
  <si>
    <t>30001000351025</t>
  </si>
  <si>
    <t>893450993</t>
  </si>
  <si>
    <t>W 3 SY5177 11th 1957</t>
  </si>
  <si>
    <t>0                      W  0003000SY 5177                                                    11th 1957</t>
  </si>
  <si>
    <t>Viruses and tumor growth; [proceedings.</t>
  </si>
  <si>
    <t>Symposium on Fundamental Cancer Research (11th : 1957 : M.D. Anderson Hospital and Tumor Institute)</t>
  </si>
  <si>
    <t>|||</t>
  </si>
  <si>
    <t>1996-10-02</t>
  </si>
  <si>
    <t>1989-02-24</t>
  </si>
  <si>
    <t>51324880:eng</t>
  </si>
  <si>
    <t>1417080</t>
  </si>
  <si>
    <t>991000987119702656</t>
  </si>
  <si>
    <t>2261541550002656</t>
  </si>
  <si>
    <t>30001000218570</t>
  </si>
  <si>
    <t>893273566</t>
  </si>
  <si>
    <t>W 3 SY5177 13th 1959</t>
  </si>
  <si>
    <t>0                      W  0003000SY 5177                                                    13th 1959</t>
  </si>
  <si>
    <t>Genetics and cancer : a collection of papers.</t>
  </si>
  <si>
    <t>Symposium on Fundamental Cancer Research (13th : 1959 : M.D. Anderson Hospital and Tumor Institute)</t>
  </si>
  <si>
    <t>Austin : Published for the University of Texas M. D. Anderson Hospital and Tumor Institute, University of Texas, c1959.</t>
  </si>
  <si>
    <t>1959</t>
  </si>
  <si>
    <t xml:space="preserve">tx </t>
  </si>
  <si>
    <t>1997-10-07</t>
  </si>
  <si>
    <t>1988-03-27</t>
  </si>
  <si>
    <t>1812660944:eng</t>
  </si>
  <si>
    <t>14612538</t>
  </si>
  <si>
    <t>991000986869702656</t>
  </si>
  <si>
    <t>2255650210002656</t>
  </si>
  <si>
    <t>30001000218505</t>
  </si>
  <si>
    <t>893552021</t>
  </si>
  <si>
    <t>W 3 SY5177 16th 1962</t>
  </si>
  <si>
    <t>0                      W  0003000SY 5177                                                    16th 1962</t>
  </si>
  <si>
    <t>Conceptual advances in immunology and oncology : a collection of papers.</t>
  </si>
  <si>
    <t>Symposium on Fundamental Cancer Research (16th : 1962 : M.D. Anderson Hospital and Tumor Institute)</t>
  </si>
  <si>
    <t>New York : Hoeber Medical Division, Harper and Row, [c1963]</t>
  </si>
  <si>
    <t>1963</t>
  </si>
  <si>
    <t>1998-11-09</t>
  </si>
  <si>
    <t>8907119467:eng</t>
  </si>
  <si>
    <t>14625656</t>
  </si>
  <si>
    <t>991000986999702656</t>
  </si>
  <si>
    <t>2260668870002656</t>
  </si>
  <si>
    <t>30001000218547</t>
  </si>
  <si>
    <t>893134159</t>
  </si>
  <si>
    <t>W 5 M489c</t>
  </si>
  <si>
    <t>0                      W  0005000M  489c</t>
  </si>
  <si>
    <t>Cartoon classics from Medical economics.</t>
  </si>
  <si>
    <t>Medical economics.</t>
  </si>
  <si>
    <t>-- Oradell, N.J. : Medical Economics Book Division, c1963.</t>
  </si>
  <si>
    <t>nju</t>
  </si>
  <si>
    <t>2006-02-24</t>
  </si>
  <si>
    <t>5238399:eng</t>
  </si>
  <si>
    <t>2437187</t>
  </si>
  <si>
    <t>991000987339702656</t>
  </si>
  <si>
    <t>2263576240002656</t>
  </si>
  <si>
    <t>30001000218893</t>
  </si>
  <si>
    <t>893632632</t>
  </si>
  <si>
    <t>W 9 D614 1989</t>
  </si>
  <si>
    <t>0                      W  0009000D  614         1989</t>
  </si>
  <si>
    <t>The 1989 Distinguished visiting professorship lectures / edited by James Edward Hamner, III.</t>
  </si>
  <si>
    <t>Memphis : University of Tennessee, Memphis Health Science Center, c1990.</t>
  </si>
  <si>
    <t>1990</t>
  </si>
  <si>
    <t>tnu</t>
  </si>
  <si>
    <t>1991-02-01</t>
  </si>
  <si>
    <t>25821141:eng</t>
  </si>
  <si>
    <t>23245967</t>
  </si>
  <si>
    <t>991000817419702656</t>
  </si>
  <si>
    <t>2270239990002656</t>
  </si>
  <si>
    <t>30001002086694</t>
  </si>
  <si>
    <t>893376912</t>
  </si>
  <si>
    <t>W 9 D614 1990</t>
  </si>
  <si>
    <t>0                      W  0009000D  614         1990</t>
  </si>
  <si>
    <t>The 1990 Distinguished visiting professorship lectures / edited by James Edward Hamner, III.</t>
  </si>
  <si>
    <t>Memphis : University of Tennessee, Health Science Center, c1991.</t>
  </si>
  <si>
    <t>1991</t>
  </si>
  <si>
    <t>1991-12-13</t>
  </si>
  <si>
    <t>14767129:eng</t>
  </si>
  <si>
    <t>24768915</t>
  </si>
  <si>
    <t>991001027889702656</t>
  </si>
  <si>
    <t>2255080710002656</t>
  </si>
  <si>
    <t>30001002243063</t>
  </si>
  <si>
    <t>893284332</t>
  </si>
  <si>
    <t>W 9 D614 1992</t>
  </si>
  <si>
    <t>0                      W  0009000D  614         1992</t>
  </si>
  <si>
    <t>The 1991 Distinguished visiting professorship lectures / edited by James Edward Hamner, III.</t>
  </si>
  <si>
    <t>Memphis : University of Tennessee, Health Science Center, c1992.</t>
  </si>
  <si>
    <t>1992</t>
  </si>
  <si>
    <t>1992-12-23</t>
  </si>
  <si>
    <t>30191070:eng</t>
  </si>
  <si>
    <t>27345161</t>
  </si>
  <si>
    <t>991001352059702656</t>
  </si>
  <si>
    <t>2266176970002656</t>
  </si>
  <si>
    <t>30001002459818</t>
  </si>
  <si>
    <t>893557873</t>
  </si>
  <si>
    <t>W 9 F862m 1989</t>
  </si>
  <si>
    <t>0                      W  0009000F  862m        1989</t>
  </si>
  <si>
    <t>Medical work in America : essays on health care / Eliot Freidson.</t>
  </si>
  <si>
    <t>Freidson, Eliot, 1923-2005.</t>
  </si>
  <si>
    <t>New Haven : Yale University Press, c1989.</t>
  </si>
  <si>
    <t>1989</t>
  </si>
  <si>
    <t>ctu</t>
  </si>
  <si>
    <t>2003-07-11</t>
  </si>
  <si>
    <t>47544086:eng</t>
  </si>
  <si>
    <t>19264615</t>
  </si>
  <si>
    <t>991001253469702656</t>
  </si>
  <si>
    <t>2262849650002656</t>
  </si>
  <si>
    <t>9780300041576</t>
  </si>
  <si>
    <t>30001001679630</t>
  </si>
  <si>
    <t>893363913</t>
  </si>
  <si>
    <t>W 10 G658t 2004</t>
  </si>
  <si>
    <t>0                      W  0010000G  658t        2004</t>
  </si>
  <si>
    <t>Travel medicine for health professionals / Larry I. Goodyear.</t>
  </si>
  <si>
    <t>Goodyer, Larry I.</t>
  </si>
  <si>
    <t>London ; Chicago : Pharmaceutical Press, 2004.</t>
  </si>
  <si>
    <t>2004</t>
  </si>
  <si>
    <t>enk</t>
  </si>
  <si>
    <t>2004-09-14</t>
  </si>
  <si>
    <t>727491:eng</t>
  </si>
  <si>
    <t>55211456</t>
  </si>
  <si>
    <t>991000388729702656</t>
  </si>
  <si>
    <t>2272085260002656</t>
  </si>
  <si>
    <t>9780853695110</t>
  </si>
  <si>
    <t>30001004921146</t>
  </si>
  <si>
    <t>893728338</t>
  </si>
  <si>
    <t>W10 P312L 2001</t>
  </si>
  <si>
    <t>0                      W  0010000P  312L        2001</t>
  </si>
  <si>
    <t>Lewis &amp; Clark : doctors in the wilderness / Bruce C. Paton.</t>
  </si>
  <si>
    <t>Paton, Bruce C.</t>
  </si>
  <si>
    <t>Golden, Colo. : Fulcrum Pub., c2001.</t>
  </si>
  <si>
    <t>2001</t>
  </si>
  <si>
    <t>cou</t>
  </si>
  <si>
    <t>2004-08-14</t>
  </si>
  <si>
    <t>2003-02-18</t>
  </si>
  <si>
    <t>36099443:eng</t>
  </si>
  <si>
    <t>46835210</t>
  </si>
  <si>
    <t>991000339399702656</t>
  </si>
  <si>
    <t>2260084460002656</t>
  </si>
  <si>
    <t>9781555910556</t>
  </si>
  <si>
    <t>30001004502185</t>
  </si>
  <si>
    <t>893537078</t>
  </si>
  <si>
    <t>W 10 W667p 2007</t>
  </si>
  <si>
    <t>0                      W  0010000W  667p        2007</t>
  </si>
  <si>
    <t>Patients beyond borders : everybody's guide to affordable, world-class medical tourism / Josef Woodman.</t>
  </si>
  <si>
    <t>Woodman, Josef.</t>
  </si>
  <si>
    <t>Chapel Hill, NC : Healthy Travel Media, c2007.</t>
  </si>
  <si>
    <t>2007</t>
  </si>
  <si>
    <t>ncu</t>
  </si>
  <si>
    <t>2010-03-28</t>
  </si>
  <si>
    <t>2008-12-19</t>
  </si>
  <si>
    <t>861539533:eng</t>
  </si>
  <si>
    <t>122341305</t>
  </si>
  <si>
    <t>991001339239702656</t>
  </si>
  <si>
    <t>2270396520002656</t>
  </si>
  <si>
    <t>9780979107900</t>
  </si>
  <si>
    <t>30001005242153</t>
  </si>
  <si>
    <t>893287357</t>
  </si>
  <si>
    <t>W 13 D7111 1994</t>
  </si>
  <si>
    <t>0                      W  0013000D  7111        1994</t>
  </si>
  <si>
    <t>Dorland's illustrated medical dictionary.</t>
  </si>
  <si>
    <t>Philadelphia : Saunders, c1994.</t>
  </si>
  <si>
    <t>1994</t>
  </si>
  <si>
    <t>28th ed.</t>
  </si>
  <si>
    <t>2001-08-22</t>
  </si>
  <si>
    <t>1995-04-18</t>
  </si>
  <si>
    <t>1059121201:eng</t>
  </si>
  <si>
    <t>30948606</t>
  </si>
  <si>
    <t>991001399229702656</t>
  </si>
  <si>
    <t>2255809160002656</t>
  </si>
  <si>
    <t>9780721655772</t>
  </si>
  <si>
    <t>30001003147354</t>
  </si>
  <si>
    <t>893369349</t>
  </si>
  <si>
    <t>W 13 G449d 1992</t>
  </si>
  <si>
    <t>0                      W  0013000G  449d        1992</t>
  </si>
  <si>
    <t>A dictionary of medical and surgical syndromes / J. Gibson and O. Potparić.</t>
  </si>
  <si>
    <t>Gibson, John, 1907-</t>
  </si>
  <si>
    <t>Carnforth, Lancs, UK ; Park Ridge, N.J., USA : Parthenon Pub. Group, c1992.</t>
  </si>
  <si>
    <t>1992-02-18</t>
  </si>
  <si>
    <t>25342796:eng</t>
  </si>
  <si>
    <t>23732311</t>
  </si>
  <si>
    <t>991001035359702656</t>
  </si>
  <si>
    <t>2265360140002656</t>
  </si>
  <si>
    <t>9781850703389</t>
  </si>
  <si>
    <t>30001002244657</t>
  </si>
  <si>
    <t>893148819</t>
  </si>
  <si>
    <t>W 13 G624a 1989</t>
  </si>
  <si>
    <t>0                      W  0013000G  624a        1989</t>
  </si>
  <si>
    <t>The Aspen dictionary of health care administration / Arnold S. Goldstein.</t>
  </si>
  <si>
    <t>Goldstein, Arnold S.</t>
  </si>
  <si>
    <t>Rockville, Md. : Aspen Publishers, c1989.</t>
  </si>
  <si>
    <t>1989-11-15</t>
  </si>
  <si>
    <t>1989-11-06</t>
  </si>
  <si>
    <t>21691051:eng</t>
  </si>
  <si>
    <t>20134020</t>
  </si>
  <si>
    <t>991001315339702656</t>
  </si>
  <si>
    <t>2257809230002656</t>
  </si>
  <si>
    <t>9780834200777</t>
  </si>
  <si>
    <t>30001001752627</t>
  </si>
  <si>
    <t>893121401</t>
  </si>
  <si>
    <t>W 13 J11d 1998</t>
  </si>
  <si>
    <t>0                      W  0013000J  11d         1998</t>
  </si>
  <si>
    <t>Dictionary of medical acronyms &amp; abbreviations / Jablonski.</t>
  </si>
  <si>
    <t>Jablonski, Stanley.</t>
  </si>
  <si>
    <t>Philadelphia : Hanley &amp; Belfus, c1998.</t>
  </si>
  <si>
    <t>1998</t>
  </si>
  <si>
    <t>3rd ed.</t>
  </si>
  <si>
    <t>1998-07-27</t>
  </si>
  <si>
    <t>1998-02-27</t>
  </si>
  <si>
    <t>9912637:eng</t>
  </si>
  <si>
    <t>38161435</t>
  </si>
  <si>
    <t>991001306309702656</t>
  </si>
  <si>
    <t>2267158530002656</t>
  </si>
  <si>
    <t>9781560532644</t>
  </si>
  <si>
    <t>30001003749894</t>
  </si>
  <si>
    <t>893736452</t>
  </si>
  <si>
    <t>W 13 M647e 1983 c.2</t>
  </si>
  <si>
    <t>0                      W  0013000M  647e        1983                                        c.2</t>
  </si>
  <si>
    <t>Encyclopedia and dictionary of medicine, nursing, and allied health / by the late Benjamin F. Miller and Claire Brackman Keane.</t>
  </si>
  <si>
    <t>c.2*</t>
  </si>
  <si>
    <t>Miller, Benjamin Frank, 1907-1971.</t>
  </si>
  <si>
    <t>Philadelphia : Saunders, c1983.</t>
  </si>
  <si>
    <t>1989-09-20</t>
  </si>
  <si>
    <t>1989-07-09</t>
  </si>
  <si>
    <t>9037643:eng</t>
  </si>
  <si>
    <t>8709241</t>
  </si>
  <si>
    <t>991000757459702656</t>
  </si>
  <si>
    <t>2272450230002656</t>
  </si>
  <si>
    <t>9780721663630</t>
  </si>
  <si>
    <t>30001000054181</t>
  </si>
  <si>
    <t>893278087</t>
  </si>
  <si>
    <t>W 13 M647e 1987</t>
  </si>
  <si>
    <t>0                      W  0013000M  647e        1987</t>
  </si>
  <si>
    <t>Encyclopedia and dictionary of medicine, nursing, and allied health / by Benjamin F. Miller and Claire Brackman Keane.</t>
  </si>
  <si>
    <t>Philadelphia : Saunders, c1987.</t>
  </si>
  <si>
    <t>4th ed.</t>
  </si>
  <si>
    <t>1993-09-05</t>
  </si>
  <si>
    <t>1987-10-04</t>
  </si>
  <si>
    <t>14587064</t>
  </si>
  <si>
    <t>991000588309702656</t>
  </si>
  <si>
    <t>2271637920002656</t>
  </si>
  <si>
    <t>9780721618159</t>
  </si>
  <si>
    <t>30001000005175</t>
  </si>
  <si>
    <t>893833949</t>
  </si>
  <si>
    <t>W 13 M8941 1994</t>
  </si>
  <si>
    <t>0                      W  0013000M  8941        1994</t>
  </si>
  <si>
    <t>Mosby's medical, nursing, and allied health dictionary : illustrated in full color throughout / revision editor, Kenneth N. Anderson ; consulting editor and writer, Lois E. Anderson ; consulting and pronunciation editor, Walter D. Glanze.</t>
  </si>
  <si>
    <t>St. Louis : Mosby, c1994.</t>
  </si>
  <si>
    <t>mou</t>
  </si>
  <si>
    <t>1999-02-15</t>
  </si>
  <si>
    <t>1995-01-05</t>
  </si>
  <si>
    <t>375483287:eng</t>
  </si>
  <si>
    <t>29185395</t>
  </si>
  <si>
    <t>991000684399702656</t>
  </si>
  <si>
    <t>2260798350002656</t>
  </si>
  <si>
    <t>9780801672255</t>
  </si>
  <si>
    <t>30001002698563</t>
  </si>
  <si>
    <t>893834152</t>
  </si>
  <si>
    <t>W 13 S352r 1958</t>
  </si>
  <si>
    <t>0                      W  0013000S  352r        1958</t>
  </si>
  <si>
    <t>Reversicon : a medical word finder / J.E. Schmidt.</t>
  </si>
  <si>
    <t>Schmidt, J. E. (Jacob Edward), 1903-</t>
  </si>
  <si>
    <t>Springfield, Ill. : Thomas, c1958.</t>
  </si>
  <si>
    <t>1990-10-18</t>
  </si>
  <si>
    <t>1706325:eng</t>
  </si>
  <si>
    <t>722042</t>
  </si>
  <si>
    <t>991000769729702656</t>
  </si>
  <si>
    <t>2266851060002656</t>
  </si>
  <si>
    <t>30001002061838</t>
  </si>
  <si>
    <t>893740186</t>
  </si>
  <si>
    <t>W 13 S4545d 1992</t>
  </si>
  <si>
    <t>0                      W  0013000S  4545d       1992</t>
  </si>
  <si>
    <t>The dictionary of modern medicine / compiled and edited by J.C. Segen.</t>
  </si>
  <si>
    <t>Segen, J. C.</t>
  </si>
  <si>
    <t>Carnforth, Lancs, UK : Park Ridge, N.J. : Parthenon Pub. Group, c1992.</t>
  </si>
  <si>
    <t>1994-01-05</t>
  </si>
  <si>
    <t>1993-12-16</t>
  </si>
  <si>
    <t>3090497:eng</t>
  </si>
  <si>
    <t>24870535</t>
  </si>
  <si>
    <t>991000647549702656</t>
  </si>
  <si>
    <t>2264202650002656</t>
  </si>
  <si>
    <t>9781850703211</t>
  </si>
  <si>
    <t>30001002690594</t>
  </si>
  <si>
    <t>893459568</t>
  </si>
  <si>
    <t>W 13 S8119 1999</t>
  </si>
  <si>
    <t>0                      W  0013000S  8119        1999</t>
  </si>
  <si>
    <t>Stedman's abbrev. : abbreviations, acronyms &amp; symbols.</t>
  </si>
  <si>
    <t>Baltimore : Lippincott Williams &amp; Wilkins, c1999.</t>
  </si>
  <si>
    <t>1999</t>
  </si>
  <si>
    <t>mdu</t>
  </si>
  <si>
    <t>Stedman's word book series</t>
  </si>
  <si>
    <t>2006-10-18</t>
  </si>
  <si>
    <t>1999-02-18</t>
  </si>
  <si>
    <t>836900940:eng</t>
  </si>
  <si>
    <t>39982608</t>
  </si>
  <si>
    <t>991000869679702656</t>
  </si>
  <si>
    <t>2258001050002656</t>
  </si>
  <si>
    <t>9780683404593</t>
  </si>
  <si>
    <t>30001004155737</t>
  </si>
  <si>
    <t>893546158</t>
  </si>
  <si>
    <t>W13 S8119 2003</t>
  </si>
  <si>
    <t>0                      W  0013000S  8119        2003</t>
  </si>
  <si>
    <t>Stedman's abbrev : abbreviations, acronyms &amp; symbols.</t>
  </si>
  <si>
    <t>Baltimore, Md. : Lippincott Williams &amp; Wilkins, 2003.</t>
  </si>
  <si>
    <t>2003</t>
  </si>
  <si>
    <t>2004-04-30</t>
  </si>
  <si>
    <t>2003-06-25</t>
  </si>
  <si>
    <t>51258191</t>
  </si>
  <si>
    <t>991000351779702656</t>
  </si>
  <si>
    <t>2268285510002656</t>
  </si>
  <si>
    <t>9780781744034</t>
  </si>
  <si>
    <t>30001004504868</t>
  </si>
  <si>
    <t>893375483</t>
  </si>
  <si>
    <t>W 13 S812m 1995</t>
  </si>
  <si>
    <t>0                      W  0013000S  812m        1995</t>
  </si>
  <si>
    <t>Stedman's medical dictionary</t>
  </si>
  <si>
    <t>Stedman, Thomas Lathrop, 1853-1938.</t>
  </si>
  <si>
    <t>Baltimore : Williams &amp; Wilkins, c1995.</t>
  </si>
  <si>
    <t>1995</t>
  </si>
  <si>
    <t>26th ed.</t>
  </si>
  <si>
    <t>2008-06-01</t>
  </si>
  <si>
    <t>1995-05-11</t>
  </si>
  <si>
    <t>1863254505:eng</t>
  </si>
  <si>
    <t>31241072</t>
  </si>
  <si>
    <t>991001400299702656</t>
  </si>
  <si>
    <t>2258859770002656</t>
  </si>
  <si>
    <t>9780683079227</t>
  </si>
  <si>
    <t>30001003147743</t>
  </si>
  <si>
    <t>893134521</t>
  </si>
  <si>
    <t>W13 T113D 2001</t>
  </si>
  <si>
    <t>0                      W  0013000T  113D        2001</t>
  </si>
  <si>
    <t>Taber's cyclopedic medical dictionary.</t>
  </si>
  <si>
    <t>3</t>
  </si>
  <si>
    <t>Philadelphia : F.A.Davis Co., c2001.</t>
  </si>
  <si>
    <t>Ed. 19, illustrated in full color / editor, Donald Venes ; coeditor, Clayton L. Thomas.</t>
  </si>
  <si>
    <t>2004-07-14</t>
  </si>
  <si>
    <t>2001-12-04</t>
  </si>
  <si>
    <t>1075330627:eng</t>
  </si>
  <si>
    <t>44969810</t>
  </si>
  <si>
    <t>991001705729702656</t>
  </si>
  <si>
    <t>2265600370002656</t>
  </si>
  <si>
    <t>9780803606548</t>
  </si>
  <si>
    <t>30001004560613</t>
  </si>
  <si>
    <t>893834745</t>
  </si>
  <si>
    <t>W 13 T133d 1997</t>
  </si>
  <si>
    <t>0                      W  0013000T  133d        1997</t>
  </si>
  <si>
    <t>Taber's cyclopedic medical dictionary / edited by Clayton L. Thomas.</t>
  </si>
  <si>
    <t>Philadelphia : F.A. Davis, c1997.</t>
  </si>
  <si>
    <t>1997</t>
  </si>
  <si>
    <t>Ed. 18 illustrated in full color.</t>
  </si>
  <si>
    <t>2004-10-13</t>
  </si>
  <si>
    <t>2008-03-17</t>
  </si>
  <si>
    <t>1997-04-07</t>
  </si>
  <si>
    <t>36768415</t>
  </si>
  <si>
    <t>991000837529702656</t>
  </si>
  <si>
    <t>2268846930002656</t>
  </si>
  <si>
    <t>9780803601949</t>
  </si>
  <si>
    <t>30001003443464</t>
  </si>
  <si>
    <t>893467673</t>
  </si>
  <si>
    <t>2</t>
  </si>
  <si>
    <t>1997-03-11</t>
  </si>
  <si>
    <t>30001003442482</t>
  </si>
  <si>
    <t>893467674</t>
  </si>
  <si>
    <t>W 15 B713m 1991</t>
  </si>
  <si>
    <t>0                      W  0015000B  713m        1991</t>
  </si>
  <si>
    <t>Medical Spanish / Gail L. Bongiovanni, revised with the assistance of Ariel Dan Teitel.</t>
  </si>
  <si>
    <t>Bongiovanni, Gail.</t>
  </si>
  <si>
    <t>New York : McGraw-Hill, Health Professions Division, c1991.</t>
  </si>
  <si>
    <t>2008-12-22</t>
  </si>
  <si>
    <t>1991-11-12</t>
  </si>
  <si>
    <t>103246:eng</t>
  </si>
  <si>
    <t>23648683</t>
  </si>
  <si>
    <t>991001021199702656</t>
  </si>
  <si>
    <t>2260302590002656</t>
  </si>
  <si>
    <t>9780070064898</t>
  </si>
  <si>
    <t>30001002241760</t>
  </si>
  <si>
    <t>893632666</t>
  </si>
  <si>
    <t>W 15 B713m 2000</t>
  </si>
  <si>
    <t>0                      W  0015000B  713m        2000</t>
  </si>
  <si>
    <t>Medical Spanish / Gail L. Bongiovanni.</t>
  </si>
  <si>
    <t>New York : McGraw-Hill, Health Professions Division, c2000.</t>
  </si>
  <si>
    <t>2000</t>
  </si>
  <si>
    <t>2002-06-25</t>
  </si>
  <si>
    <t>2002-06-10</t>
  </si>
  <si>
    <t>42682804</t>
  </si>
  <si>
    <t>991001714029702656</t>
  </si>
  <si>
    <t>2260744900002656</t>
  </si>
  <si>
    <t>9780071345507</t>
  </si>
  <si>
    <t>30001004406759</t>
  </si>
  <si>
    <t>893821410</t>
  </si>
  <si>
    <t>W 15 B812 1969</t>
  </si>
  <si>
    <t>0                      W  0015000B  812         1969</t>
  </si>
  <si>
    <t>Brady's programmed orientation to medical terminology.</t>
  </si>
  <si>
    <t>Robert J. Brady Company.</t>
  </si>
  <si>
    <t>Philadelphia : Lippincott, c1970.</t>
  </si>
  <si>
    <t>1997-02-08</t>
  </si>
  <si>
    <t>1621665:eng</t>
  </si>
  <si>
    <t>6127207</t>
  </si>
  <si>
    <t>991000988619702656</t>
  </si>
  <si>
    <t>2257779340002656</t>
  </si>
  <si>
    <t>30001000219826</t>
  </si>
  <si>
    <t>893826319</t>
  </si>
  <si>
    <t>W 15 C147f 1978</t>
  </si>
  <si>
    <t>0                      W  0015000C  147f        1978</t>
  </si>
  <si>
    <t>Foundation for medical communication / Esther Caldwell, Barbara R. Hegner.</t>
  </si>
  <si>
    <t>Caldwell, Esther.</t>
  </si>
  <si>
    <t>Reston, Va. : Reston Pub. Co., c1978.</t>
  </si>
  <si>
    <t>vau</t>
  </si>
  <si>
    <t>2004-07-19</t>
  </si>
  <si>
    <t>10841515:eng</t>
  </si>
  <si>
    <t>3447520</t>
  </si>
  <si>
    <t>991000988669702656</t>
  </si>
  <si>
    <t>2268723080002656</t>
  </si>
  <si>
    <t>9780879092993</t>
  </si>
  <si>
    <t>30001000219842</t>
  </si>
  <si>
    <t>893161601</t>
  </si>
  <si>
    <t>W 15 C427L 1985</t>
  </si>
  <si>
    <t>0                      W  0015000C  427L        1985</t>
  </si>
  <si>
    <t>The language of medicine : a write-in text explaining medical terms / Davi-Ellen Chabner.</t>
  </si>
  <si>
    <t>Chabner, Davi-Ellen.</t>
  </si>
  <si>
    <t>Philadelphia : Saunders, c1985.</t>
  </si>
  <si>
    <t>2004-08-11</t>
  </si>
  <si>
    <t>3863672534:eng</t>
  </si>
  <si>
    <t>12081609</t>
  </si>
  <si>
    <t>991000988719702656</t>
  </si>
  <si>
    <t>2266416350002656</t>
  </si>
  <si>
    <t>9780721611846</t>
  </si>
  <si>
    <t>30001000219859</t>
  </si>
  <si>
    <t>893632638</t>
  </si>
  <si>
    <t>W15 C427m 2005</t>
  </si>
  <si>
    <t>0                      W  0015000C  427m        2005</t>
  </si>
  <si>
    <t>Medical terminology : a short course / Davi-Ellen Chabner.</t>
  </si>
  <si>
    <t>St. Louis, Mo. : Elsevier Saunders, c2005.</t>
  </si>
  <si>
    <t>2005</t>
  </si>
  <si>
    <t>2010-09-07</t>
  </si>
  <si>
    <t>2006-09-28</t>
  </si>
  <si>
    <t>3372106540:eng</t>
  </si>
  <si>
    <t>59280338</t>
  </si>
  <si>
    <t>991000546919702656</t>
  </si>
  <si>
    <t>2257284410002656</t>
  </si>
  <si>
    <t>9781416001652</t>
  </si>
  <si>
    <t>30001005175825</t>
  </si>
  <si>
    <t>893725332</t>
  </si>
  <si>
    <t>W 15 C596g</t>
  </si>
  <si>
    <t>0                      W  0015000C  596g</t>
  </si>
  <si>
    <t>Guide to medical terminology / by Wallace and Anne Clark ; With a foreword by George Morris Piersol.</t>
  </si>
  <si>
    <t>Clark, Wallace.</t>
  </si>
  <si>
    <t>Philadelphia : F.A. Davis Co., 1956.</t>
  </si>
  <si>
    <t>1956</t>
  </si>
  <si>
    <t>1996-02-16</t>
  </si>
  <si>
    <t>1988-02-03</t>
  </si>
  <si>
    <t>257254875:eng</t>
  </si>
  <si>
    <t>2342728</t>
  </si>
  <si>
    <t>991000988759702656</t>
  </si>
  <si>
    <t>2262699580002656</t>
  </si>
  <si>
    <t>30001000219867</t>
  </si>
  <si>
    <t>893731584</t>
  </si>
  <si>
    <t>W15 C882 2008</t>
  </si>
  <si>
    <t>0                      W  0015000C  882         2008</t>
  </si>
  <si>
    <t>CPT 2008 : current procedural terminology / Michael Beebe ... [et al.].</t>
  </si>
  <si>
    <t>Chicago, Ill. : American Medical Association, c2008.</t>
  </si>
  <si>
    <t>2008</t>
  </si>
  <si>
    <t>Professional ed.</t>
  </si>
  <si>
    <t>2010-11-20</t>
  </si>
  <si>
    <t>2008-01-22</t>
  </si>
  <si>
    <t>3768724479:eng</t>
  </si>
  <si>
    <t>181336852</t>
  </si>
  <si>
    <t>991000673869702656</t>
  </si>
  <si>
    <t>2263013920002656</t>
  </si>
  <si>
    <t>9781579479404</t>
  </si>
  <si>
    <t>30001005270600</t>
  </si>
  <si>
    <t>893148024</t>
  </si>
  <si>
    <t>W 15 G665m 2004</t>
  </si>
  <si>
    <t>0                      W  0015000G  665m        2004</t>
  </si>
  <si>
    <t>Medical terminology workbook / compiled by Lesley Graham ; illustrations by Tanya Dalley.</t>
  </si>
  <si>
    <t>Graham, Lesley T.</t>
  </si>
  <si>
    <t xml:space="preserve">at </t>
  </si>
  <si>
    <t>2004-10-04</t>
  </si>
  <si>
    <t>2004-09-29</t>
  </si>
  <si>
    <t>501698505:eng</t>
  </si>
  <si>
    <t>56578829</t>
  </si>
  <si>
    <t>991000398879702656</t>
  </si>
  <si>
    <t>2267450300002656</t>
  </si>
  <si>
    <t>9780958198509</t>
  </si>
  <si>
    <t>30001004810414</t>
  </si>
  <si>
    <t>893452086</t>
  </si>
  <si>
    <t>W 15 S628o 1949</t>
  </si>
  <si>
    <t>0                      W  0015000S  628o        1949</t>
  </si>
  <si>
    <t>The origin of medical terms / Henry Alan Skinner.</t>
  </si>
  <si>
    <t>Skinner, Henry Alan.</t>
  </si>
  <si>
    <t>Baltimore : Williams &amp; Wilkins Co., c1949.</t>
  </si>
  <si>
    <t>1949</t>
  </si>
  <si>
    <t>2008-11-13</t>
  </si>
  <si>
    <t>1989-09-09</t>
  </si>
  <si>
    <t>1279789:eng</t>
  </si>
  <si>
    <t>1007686</t>
  </si>
  <si>
    <t>991000988919702656</t>
  </si>
  <si>
    <t>2262451140002656</t>
  </si>
  <si>
    <t>30001000219933</t>
  </si>
  <si>
    <t>893815984</t>
  </si>
  <si>
    <t>1996-01-25</t>
  </si>
  <si>
    <t>30001000219941</t>
  </si>
  <si>
    <t>893820798</t>
  </si>
  <si>
    <t>W 15 T993m 1979</t>
  </si>
  <si>
    <t>0                      W  0015000T  993m        1979</t>
  </si>
  <si>
    <t>Medical terminology for medical students / by William Blake Tyrrell ; ill. by Doris L. Eisenstein.</t>
  </si>
  <si>
    <t>Tyrrell, William Blake.</t>
  </si>
  <si>
    <t>Springfield, Ill. : Thomas, c1979.</t>
  </si>
  <si>
    <t>1979</t>
  </si>
  <si>
    <t>13126357:eng</t>
  </si>
  <si>
    <t>3843941</t>
  </si>
  <si>
    <t>991000988969702656</t>
  </si>
  <si>
    <t>2264879180002656</t>
  </si>
  <si>
    <t>9780398038106</t>
  </si>
  <si>
    <t>30001000219958</t>
  </si>
  <si>
    <t>893736122</t>
  </si>
  <si>
    <t>W 15 V132m 1977</t>
  </si>
  <si>
    <t>0                      W  0015000V  132m        1977</t>
  </si>
  <si>
    <t>Medicine's metaphors : messages &amp; menaces / Samuel Vaisrub.</t>
  </si>
  <si>
    <t>Vaisrub, Samuel, 1906-</t>
  </si>
  <si>
    <t>-- Oradell, N.J. : Medical Economics, Book Division, c1977.</t>
  </si>
  <si>
    <t>1995-04-13</t>
  </si>
  <si>
    <t>9200168:eng</t>
  </si>
  <si>
    <t>3272552</t>
  </si>
  <si>
    <t>991000988989702656</t>
  </si>
  <si>
    <t>2263629030002656</t>
  </si>
  <si>
    <t>9780874890112</t>
  </si>
  <si>
    <t>30001000219982</t>
  </si>
  <si>
    <t>893648821</t>
  </si>
  <si>
    <t>W 15 W735m 1996</t>
  </si>
  <si>
    <t>0                      W  0015000W  735m        1996</t>
  </si>
  <si>
    <t>Medical terminology : the language of health care / Marjorie Canfield Willis.</t>
  </si>
  <si>
    <t>Willis, Marjorie Canfield.</t>
  </si>
  <si>
    <t>Baltimore : Williams &amp; Wilkins, c1996.</t>
  </si>
  <si>
    <t>1996</t>
  </si>
  <si>
    <t>2004-05-05</t>
  </si>
  <si>
    <t>1999-09-09</t>
  </si>
  <si>
    <t>10194127487:eng</t>
  </si>
  <si>
    <t>33105343</t>
  </si>
  <si>
    <t>991001564449702656</t>
  </si>
  <si>
    <t>2263247440002656</t>
  </si>
  <si>
    <t>9780683090550</t>
  </si>
  <si>
    <t>30001004063832</t>
  </si>
  <si>
    <t>893121641</t>
  </si>
  <si>
    <t>W 16 P576 1997</t>
  </si>
  <si>
    <t>0                      W  0016000P  576         1997</t>
  </si>
  <si>
    <t>Physician assistants : statistics and trends, 1991-1996.</t>
  </si>
  <si>
    <t>Alexandria, VA (950 N. Washington St., Alexandria 22314-1552) : American Academy of Physician Assistants, c1997.</t>
  </si>
  <si>
    <t>2003-02-04</t>
  </si>
  <si>
    <t>2002-07-02</t>
  </si>
  <si>
    <t>41855424:eng</t>
  </si>
  <si>
    <t>38869383</t>
  </si>
  <si>
    <t>991000322809702656</t>
  </si>
  <si>
    <t>2271842800002656</t>
  </si>
  <si>
    <t>30001004444164</t>
  </si>
  <si>
    <t>893136740</t>
  </si>
  <si>
    <t>W 16 S678 1994</t>
  </si>
  <si>
    <t>0                      W  0016000S  678         1994</t>
  </si>
  <si>
    <t>Socioeconomic characteristics of medical practice, 1994 / edited by Martin L. Gonzalez.</t>
  </si>
  <si>
    <t>Chicago, Ill. : Center for Health Policy Research, American Medical Association, c1994.</t>
  </si>
  <si>
    <t>1994-08-31</t>
  </si>
  <si>
    <t>1994-08-25</t>
  </si>
  <si>
    <t>32290225:eng</t>
  </si>
  <si>
    <t>30369144</t>
  </si>
  <si>
    <t>991001233329702656</t>
  </si>
  <si>
    <t>2261763510002656</t>
  </si>
  <si>
    <t>9780899706092</t>
  </si>
  <si>
    <t>30001003007186</t>
  </si>
  <si>
    <t>893816229</t>
  </si>
  <si>
    <t>W 18 A152m 1987</t>
  </si>
  <si>
    <t>0                      W  0018000A  152m        1987</t>
  </si>
  <si>
    <t>Medical school : getting in, staying in, staying human / Keith R. Ablow.</t>
  </si>
  <si>
    <t>Ablow, Keith R.</t>
  </si>
  <si>
    <t>Baltimore : Williams &amp; Wilkins, c1987.</t>
  </si>
  <si>
    <t>1995-08-21</t>
  </si>
  <si>
    <t>7900912:eng</t>
  </si>
  <si>
    <t>13794028</t>
  </si>
  <si>
    <t>991001167589702656</t>
  </si>
  <si>
    <t>2270120250002656</t>
  </si>
  <si>
    <t>9780683000047</t>
  </si>
  <si>
    <t>30001000305559</t>
  </si>
  <si>
    <t>893831958</t>
  </si>
  <si>
    <t>W 18 A649 1990</t>
  </si>
  <si>
    <t>0                      W  0018000A  649         1990</t>
  </si>
  <si>
    <t>Appleton &amp; Lange's review for FLEX / [edited by] Mark Schultz.</t>
  </si>
  <si>
    <t>Norwalk, Conn. : Appleton &amp; Lange, c1990.</t>
  </si>
  <si>
    <t>1994-10-20</t>
  </si>
  <si>
    <t>1990-01-23</t>
  </si>
  <si>
    <t>21944410:eng</t>
  </si>
  <si>
    <t>19847921</t>
  </si>
  <si>
    <t>991001386839702656</t>
  </si>
  <si>
    <t>2269381120002656</t>
  </si>
  <si>
    <t>9780838502211</t>
  </si>
  <si>
    <t>30001001799941</t>
  </si>
  <si>
    <t>893161929</t>
  </si>
  <si>
    <t>W 18 B168m 1991</t>
  </si>
  <si>
    <t>0                      W  0018000B  168m        1991</t>
  </si>
  <si>
    <t>Medicine : 700 questions and answers / Michael A. Baker.</t>
  </si>
  <si>
    <t>Baker, Michael A., 1943-</t>
  </si>
  <si>
    <t>New York, N.Y. : Medical Examination Pub. Co., c1991.</t>
  </si>
  <si>
    <t>10th ed.</t>
  </si>
  <si>
    <t>Medical examination review</t>
  </si>
  <si>
    <t>2000-04-26</t>
  </si>
  <si>
    <t>1991-11-22</t>
  </si>
  <si>
    <t>292418237:eng</t>
  </si>
  <si>
    <t>24441995</t>
  </si>
  <si>
    <t>991001023359702656</t>
  </si>
  <si>
    <t>2270662840002656</t>
  </si>
  <si>
    <t>9780444016287</t>
  </si>
  <si>
    <t>30001002242248</t>
  </si>
  <si>
    <t>893284326</t>
  </si>
  <si>
    <t>W 18 B278p 1980</t>
  </si>
  <si>
    <t>0                      W  0018000B  278p        1980</t>
  </si>
  <si>
    <t>Problem-based learning : an approach to medical education / Howard S. Barrows, Robyn M. Tamblyn.</t>
  </si>
  <si>
    <t>Barrows, Howard S., 1928-</t>
  </si>
  <si>
    <t>New York : Springer Pub. Co., c1980.</t>
  </si>
  <si>
    <t>Springer series on medical education ; v. 1</t>
  </si>
  <si>
    <t>2007-12-20</t>
  </si>
  <si>
    <t>1987-10-07</t>
  </si>
  <si>
    <t>802793380:eng</t>
  </si>
  <si>
    <t>6195735</t>
  </si>
  <si>
    <t>991001167509702656</t>
  </si>
  <si>
    <t>2265721090002656</t>
  </si>
  <si>
    <t>9780826128409</t>
  </si>
  <si>
    <t>30001000305518</t>
  </si>
  <si>
    <t>893278817</t>
  </si>
  <si>
    <t>W 18 B395b 1961</t>
  </si>
  <si>
    <t>0                      W  0018000B  395b        1961</t>
  </si>
  <si>
    <t>Boys in white : student culture in medical school / Howard S. Becker [et al.]</t>
  </si>
  <si>
    <t>Becker, Howard Saul, 1928-</t>
  </si>
  <si>
    <t>Chicago : Univ. of Chicago Press, [1961]</t>
  </si>
  <si>
    <t>1961</t>
  </si>
  <si>
    <t>1992-11-12</t>
  </si>
  <si>
    <t>1989-12-12</t>
  </si>
  <si>
    <t>836630684:eng</t>
  </si>
  <si>
    <t>639447</t>
  </si>
  <si>
    <t>991001167479702656</t>
  </si>
  <si>
    <t>2269263110002656</t>
  </si>
  <si>
    <t>30001000305476</t>
  </si>
  <si>
    <t>893546417</t>
  </si>
  <si>
    <t>W 18 C153m 2003</t>
  </si>
  <si>
    <t>0                      W  0018000C  153m        2003</t>
  </si>
  <si>
    <t>A Manager's guide to cultural competence education of health care professionals / prepared for the California Endowment; edited by M. Jean Gilbert.</t>
  </si>
  <si>
    <t>[Woodland Hills, CA] : The Endowment, [2003]</t>
  </si>
  <si>
    <t>cau</t>
  </si>
  <si>
    <t>2005-10-07</t>
  </si>
  <si>
    <t>2004-09-01</t>
  </si>
  <si>
    <t>438189911:eng</t>
  </si>
  <si>
    <t>55666820</t>
  </si>
  <si>
    <t>991000375039702656</t>
  </si>
  <si>
    <t>2258047590002656</t>
  </si>
  <si>
    <t>30001004840528</t>
  </si>
  <si>
    <t>893633841</t>
  </si>
  <si>
    <t>W 18 C153p 2003</t>
  </si>
  <si>
    <t>0                      W  0018000C  153p        2003</t>
  </si>
  <si>
    <t>Principles and recommended standards for cultural competence education of health care professionals / prepared for the California Endowment; edited by M. Jean Gilbert.</t>
  </si>
  <si>
    <t>2006-01-18</t>
  </si>
  <si>
    <t>15664434:eng</t>
  </si>
  <si>
    <t>55663278</t>
  </si>
  <si>
    <t>991000374999702656</t>
  </si>
  <si>
    <t>2261049980002656</t>
  </si>
  <si>
    <t>30001004840510</t>
  </si>
  <si>
    <t>893109476</t>
  </si>
  <si>
    <t>W 18 C153r 2003</t>
  </si>
  <si>
    <t>0                      W  0018000C  153r        2003</t>
  </si>
  <si>
    <t>Resources in cultural competence education for health care professionals / prepared for the California Endowment; edited by M. Jean Gilbert.</t>
  </si>
  <si>
    <t>15788263:eng</t>
  </si>
  <si>
    <t>55666839</t>
  </si>
  <si>
    <t>991000375079702656</t>
  </si>
  <si>
    <t>2258045890002656</t>
  </si>
  <si>
    <t>30001004840502</t>
  </si>
  <si>
    <t>893359512</t>
  </si>
  <si>
    <t>W 18 C153s 2003</t>
  </si>
  <si>
    <t>0                      W  0018000C  153s        2003</t>
  </si>
  <si>
    <t>Strategies for improving the diversity of the health professions / prepared for the California Endowment; [by the] Center for California Health Workforce Studies [and] Education Policy Center.</t>
  </si>
  <si>
    <t>15856107:eng</t>
  </si>
  <si>
    <t>55668751</t>
  </si>
  <si>
    <t>991000375119702656</t>
  </si>
  <si>
    <t>2259319600002656</t>
  </si>
  <si>
    <t>30001004840494</t>
  </si>
  <si>
    <t>893275010</t>
  </si>
  <si>
    <t>W 18 C357 1999</t>
  </si>
  <si>
    <t>0                      W  0018000C  357         1999</t>
  </si>
  <si>
    <t>Catalysts in interdisciplinary education : innovation by academic health centers / edited by Denise E. Holmes and Marian Osterweis.</t>
  </si>
  <si>
    <t>Washington, DC : Association of Academic Health Centers, c1999.</t>
  </si>
  <si>
    <t>dcu</t>
  </si>
  <si>
    <t>2007-01-29</t>
  </si>
  <si>
    <t>2007-01-16</t>
  </si>
  <si>
    <t>476433947:eng</t>
  </si>
  <si>
    <t>42296367</t>
  </si>
  <si>
    <t>991000580789702656</t>
  </si>
  <si>
    <t>2255805910002656</t>
  </si>
  <si>
    <t>9781879694163</t>
  </si>
  <si>
    <t>30001005209160</t>
  </si>
  <si>
    <t>893539309</t>
  </si>
  <si>
    <t>W 18 C641 1990</t>
  </si>
  <si>
    <t>0                      W  0018000C  641         1990</t>
  </si>
  <si>
    <t>Clinical education in a changing health care system : who pays? [edited by] Ira Singer ... [et al.].</t>
  </si>
  <si>
    <t>Chicago : Medical Education Group of the American Medical Association 1990.</t>
  </si>
  <si>
    <t>1st ed.</t>
  </si>
  <si>
    <t>1990-10-01</t>
  </si>
  <si>
    <t>5610148199:eng</t>
  </si>
  <si>
    <t>22461382</t>
  </si>
  <si>
    <t>991000764959702656</t>
  </si>
  <si>
    <t>2254962190002656</t>
  </si>
  <si>
    <t>9780899704319</t>
  </si>
  <si>
    <t>30001002060889</t>
  </si>
  <si>
    <t>893740169</t>
  </si>
  <si>
    <t>W 18 C775m 1978</t>
  </si>
  <si>
    <t>0                      W  0018000C  775m        1978</t>
  </si>
  <si>
    <t>Mastering medicine : professional socialization in medical school / Robert H. Coombs.</t>
  </si>
  <si>
    <t>Coombs, Robert H.</t>
  </si>
  <si>
    <t>New York : Free Press, c1978.</t>
  </si>
  <si>
    <t>2005-02-01</t>
  </si>
  <si>
    <t>248171086:eng</t>
  </si>
  <si>
    <t>3650825</t>
  </si>
  <si>
    <t>991001167649702656</t>
  </si>
  <si>
    <t>2261444050002656</t>
  </si>
  <si>
    <t>9780029066409</t>
  </si>
  <si>
    <t>30001000305633</t>
  </si>
  <si>
    <t>893287283</t>
  </si>
  <si>
    <t>W 18 C979b 1971</t>
  </si>
  <si>
    <t>0                      W  0018000C  979b        1971</t>
  </si>
  <si>
    <t>Blacks, medical schools, and society / [by] James L. Curtis.</t>
  </si>
  <si>
    <t>Curtis, James L., 1922-</t>
  </si>
  <si>
    <t>Ann Arbor : University of Michigan Press, [1971]</t>
  </si>
  <si>
    <t>miu</t>
  </si>
  <si>
    <t>1992-11-14</t>
  </si>
  <si>
    <t>1987-10-08</t>
  </si>
  <si>
    <t>491051:eng</t>
  </si>
  <si>
    <t>150483</t>
  </si>
  <si>
    <t>991001167719702656</t>
  </si>
  <si>
    <t>2271124720002656</t>
  </si>
  <si>
    <t>9780472269006</t>
  </si>
  <si>
    <t>30001000305674</t>
  </si>
  <si>
    <t>893727308</t>
  </si>
  <si>
    <t>W 18 E2638 2000</t>
  </si>
  <si>
    <t>0                      W  0018000E  2638        2000</t>
  </si>
  <si>
    <t>The education of medical students : ten stories of curriculum change.</t>
  </si>
  <si>
    <t>Washington, DC : Association of American Medical Colleges ; New York, NY : Milbank Memorial Fund, c2000.</t>
  </si>
  <si>
    <t>1151728895:eng</t>
  </si>
  <si>
    <t>46314432</t>
  </si>
  <si>
    <t>991000581479702656</t>
  </si>
  <si>
    <t>2258574570002656</t>
  </si>
  <si>
    <t>9781887748407</t>
  </si>
  <si>
    <t>30001005208626</t>
  </si>
  <si>
    <t>893833948</t>
  </si>
  <si>
    <t>W 18 F532q 1997</t>
  </si>
  <si>
    <t>0                      W  0018000F  532q        1997</t>
  </si>
  <si>
    <t>Quality clinical supervision in the health care professions : principled approaches to practice / Della Fish, Sheila Twinn.</t>
  </si>
  <si>
    <t>Fish, Della.</t>
  </si>
  <si>
    <t>Oxford ; Boston : Butterworth-Heinemann, c1997.</t>
  </si>
  <si>
    <t>2004-03-26</t>
  </si>
  <si>
    <t>1997-09-19</t>
  </si>
  <si>
    <t>203489218:eng</t>
  </si>
  <si>
    <t>35145712</t>
  </si>
  <si>
    <t>991001134909702656</t>
  </si>
  <si>
    <t>2263586280002656</t>
  </si>
  <si>
    <t>9780750626156</t>
  </si>
  <si>
    <t>30001003626126</t>
  </si>
  <si>
    <t>893743645</t>
  </si>
  <si>
    <t>W 18 F619m 1925</t>
  </si>
  <si>
    <t>0                      W  0018000F  619m        1925</t>
  </si>
  <si>
    <t>Medical education : a comparative study / by Abraham Flexner ...</t>
  </si>
  <si>
    <t>Flexner, Abraham, 1866-1959.</t>
  </si>
  <si>
    <t>New York : The Macmillan Company, 1925.</t>
  </si>
  <si>
    <t>1925</t>
  </si>
  <si>
    <t>1994-12-08</t>
  </si>
  <si>
    <t>3901151314:eng</t>
  </si>
  <si>
    <t>1558425</t>
  </si>
  <si>
    <t>991001167929702656</t>
  </si>
  <si>
    <t>2266871360002656</t>
  </si>
  <si>
    <t>30001000305740</t>
  </si>
  <si>
    <t>893743659</t>
  </si>
  <si>
    <t>W 18 F619me 1912</t>
  </si>
  <si>
    <t>0                      W  0018000F  619me       1912</t>
  </si>
  <si>
    <t>Medical education in Europe : a report to the Carnegie foundation for the advancement of teaching / by Abraham Flexner, with an introduction by Henry S. Pritchett, president of the foundation.</t>
  </si>
  <si>
    <t>1912</t>
  </si>
  <si>
    <t>Carnegie foundation for the advancement of teaching. Bulletin no. 6</t>
  </si>
  <si>
    <t>3901092080:eng</t>
  </si>
  <si>
    <t>1837296</t>
  </si>
  <si>
    <t>991001167859702656</t>
  </si>
  <si>
    <t>2257661560002656</t>
  </si>
  <si>
    <t>30001000305732</t>
  </si>
  <si>
    <t>893826513</t>
  </si>
  <si>
    <t>W 18 F619r 1987</t>
  </si>
  <si>
    <t>0                      W  0018000F  619r        1987</t>
  </si>
  <si>
    <t>FLEX review : preparation for the Federation Licensing Examination : 810 multiple-choice questions with referenced explanatory answers plus patient management problems / Michael A. Baker ... [et al.].</t>
  </si>
  <si>
    <t>[New Hyde Park, NY] : Medical Examination Pub. Co., c1987.</t>
  </si>
  <si>
    <t>2002-02-04</t>
  </si>
  <si>
    <t>904909793:eng</t>
  </si>
  <si>
    <t>16524043</t>
  </si>
  <si>
    <t>991001265239702656</t>
  </si>
  <si>
    <t>2262438500002656</t>
  </si>
  <si>
    <t>9780444011411</t>
  </si>
  <si>
    <t>30001000352619</t>
  </si>
  <si>
    <t>893465336</t>
  </si>
  <si>
    <t>W 18 F648 1986</t>
  </si>
  <si>
    <t>0                      W  0018000F  648         1986</t>
  </si>
  <si>
    <t>FMGEMS examination review / Majid Ali ... [et al.].</t>
  </si>
  <si>
    <t>New York, N.Y. : Medical Examination Pub. Co., c1986.</t>
  </si>
  <si>
    <t>1986</t>
  </si>
  <si>
    <t>4417449854:eng</t>
  </si>
  <si>
    <t>13063989</t>
  </si>
  <si>
    <t>991000757399702656</t>
  </si>
  <si>
    <t>2265778270002656</t>
  </si>
  <si>
    <t>9780444010414</t>
  </si>
  <si>
    <t>30001000054074</t>
  </si>
  <si>
    <t>893731138</t>
  </si>
  <si>
    <t>W 18 H226t 1959</t>
  </si>
  <si>
    <t>0                      W  0018000H  226t        1959</t>
  </si>
  <si>
    <t>Teaching comprehensive medical care : a psychological study of a change in medical education / [by] Kenneth R. Hammond and Fred Kern, Jr. [with] Wayman J. Crow [and others].</t>
  </si>
  <si>
    <t>Hammond, Kenneth R.</t>
  </si>
  <si>
    <t>Cambridge : published for the Commonwealth Fund by Harvard University Press, 1959.</t>
  </si>
  <si>
    <t>mau</t>
  </si>
  <si>
    <t>1997-06-09</t>
  </si>
  <si>
    <t>1863311:eng</t>
  </si>
  <si>
    <t>919493</t>
  </si>
  <si>
    <t>991001167979702656</t>
  </si>
  <si>
    <t>2261131970002656</t>
  </si>
  <si>
    <t>30001000305815</t>
  </si>
  <si>
    <t>893121234</t>
  </si>
  <si>
    <t>W 18 H296e 1988</t>
  </si>
  <si>
    <t>0                      W  0018000H  296e        1988</t>
  </si>
  <si>
    <t>The effective scutboy / Robert A. Harrell, Gary S. Firestein ; with an introduction by Philip Tumulty ; and contributions by Mark W. Woodruff.</t>
  </si>
  <si>
    <t>Harrell, Robert A.</t>
  </si>
  <si>
    <t>Norwalk, CT : Appleton-Lange, c1988.</t>
  </si>
  <si>
    <t>1999-11-06</t>
  </si>
  <si>
    <t>1995-11-03</t>
  </si>
  <si>
    <t>23966757:eng</t>
  </si>
  <si>
    <t>17805504</t>
  </si>
  <si>
    <t>991000492739702656</t>
  </si>
  <si>
    <t>2264453470002656</t>
  </si>
  <si>
    <t>9780838521205</t>
  </si>
  <si>
    <t>30001003261734</t>
  </si>
  <si>
    <t>893280268</t>
  </si>
  <si>
    <t>W 18 H939m 1991</t>
  </si>
  <si>
    <t>0                      W  0018000H  939m        1991</t>
  </si>
  <si>
    <t>Medical education, accreditation, and the nation's health : reflections of an atypical dean / Andrew D. Hunt.</t>
  </si>
  <si>
    <t>Hunt, Andrew D., 1915-</t>
  </si>
  <si>
    <t>East Lansing, Mich. : Michigan State University Press, c1991.</t>
  </si>
  <si>
    <t>1991-12-10</t>
  </si>
  <si>
    <t>1991-12-03</t>
  </si>
  <si>
    <t>143987347:eng</t>
  </si>
  <si>
    <t>22810164</t>
  </si>
  <si>
    <t>991001025019702656</t>
  </si>
  <si>
    <t>2265666770002656</t>
  </si>
  <si>
    <t>9780870132889</t>
  </si>
  <si>
    <t>30001002242479</t>
  </si>
  <si>
    <t>893826382</t>
  </si>
  <si>
    <t>W 18 I31 1969</t>
  </si>
  <si>
    <t>0                      W  0018000I  31          1969</t>
  </si>
  <si>
    <t>The Impact of cultural and economic background on programs to recruit Negroes for medicine : addresses presented at a Macy conference, Princeton, New Jersey, April 13-16, 1969.</t>
  </si>
  <si>
    <t>[New York] : Josiah Macy, Jr. Foundation, 1970?.</t>
  </si>
  <si>
    <t>8905384:eng</t>
  </si>
  <si>
    <t>14483919</t>
  </si>
  <si>
    <t>991001168169702656</t>
  </si>
  <si>
    <t>2270674960002656</t>
  </si>
  <si>
    <t>30001000305880</t>
  </si>
  <si>
    <t>893268158</t>
  </si>
  <si>
    <t>W 18 I54 1995</t>
  </si>
  <si>
    <t>0                      W  0018000I  54          1995</t>
  </si>
  <si>
    <t>The instant exam review for the USMLE, step 3 / [edited by] Joel S. Goldberg.</t>
  </si>
  <si>
    <t>Norwalk, Conn. : Appleton &amp; Lange, c1995.</t>
  </si>
  <si>
    <t>Appleton &amp; Lange review series</t>
  </si>
  <si>
    <t>2002-11-14</t>
  </si>
  <si>
    <t>1995-02-24</t>
  </si>
  <si>
    <t>3769564116:eng</t>
  </si>
  <si>
    <t>30919284</t>
  </si>
  <si>
    <t>991001397479702656</t>
  </si>
  <si>
    <t>2264848490002656</t>
  </si>
  <si>
    <t>9780838543344</t>
  </si>
  <si>
    <t>30001003146554</t>
  </si>
  <si>
    <t>893633017</t>
  </si>
  <si>
    <t>W 18 K21a 1976</t>
  </si>
  <si>
    <t>0                      W  0018000K  21a         1976</t>
  </si>
  <si>
    <t>American medical education : the formative years, 1765-1910 / Martin Kaufman.</t>
  </si>
  <si>
    <t>Kaufman, Martin, 1940-</t>
  </si>
  <si>
    <t>Westport, Conn. : Greenwood Press, 1976.</t>
  </si>
  <si>
    <t>1989-11-02</t>
  </si>
  <si>
    <t>501579:eng</t>
  </si>
  <si>
    <t>2047928</t>
  </si>
  <si>
    <t>991001168639702656</t>
  </si>
  <si>
    <t>2270684370002656</t>
  </si>
  <si>
    <t>9780837185903</t>
  </si>
  <si>
    <t>30001000306284</t>
  </si>
  <si>
    <t>893731722</t>
  </si>
  <si>
    <t>W 18 K69d 1981</t>
  </si>
  <si>
    <t>0                      W  0018000K  69d         1981</t>
  </si>
  <si>
    <t>Doctor-to-be : coping with the trials and triumphs of medical school / James A. Knight ; foreword by Charles C. Sprague.</t>
  </si>
  <si>
    <t>Knight, James A., 1918-1998.</t>
  </si>
  <si>
    <t>New York : Appleton-Century-Crofts, c1981.</t>
  </si>
  <si>
    <t>1999-05-20</t>
  </si>
  <si>
    <t>1987-09-25</t>
  </si>
  <si>
    <t>503020:eng</t>
  </si>
  <si>
    <t>7781362</t>
  </si>
  <si>
    <t>991001168599702656</t>
  </si>
  <si>
    <t>2262936100002656</t>
  </si>
  <si>
    <t>9780838517215</t>
  </si>
  <si>
    <t>30001000306276</t>
  </si>
  <si>
    <t>893826514</t>
  </si>
  <si>
    <t>W 18 L164e 1994</t>
  </si>
  <si>
    <t>0                      W  0018000L  164e        1994</t>
  </si>
  <si>
    <t>Exploring medical language : a student-directed approach / Myrna LaFleur Brooks ; illustrations by May S. Cheney and Kimberly Battista.</t>
  </si>
  <si>
    <t>LaFleur-Brooks, Myrna.</t>
  </si>
  <si>
    <t>St. Louis : Mosby Lifeline, c1994.</t>
  </si>
  <si>
    <t>2001-06-27</t>
  </si>
  <si>
    <t>1994-05-26</t>
  </si>
  <si>
    <t>796408741:eng</t>
  </si>
  <si>
    <t>30914966</t>
  </si>
  <si>
    <t>991001194739702656</t>
  </si>
  <si>
    <t>2255799230002656</t>
  </si>
  <si>
    <t>9780801669842</t>
  </si>
  <si>
    <t>30001002984153</t>
  </si>
  <si>
    <t>893460338</t>
  </si>
  <si>
    <t>W 18 L765h 1974</t>
  </si>
  <si>
    <t>0                      W  0018000L  765h        1974</t>
  </si>
  <si>
    <t>A half-century of American medical education : 1920-1970 / Vernon W. Lippard.</t>
  </si>
  <si>
    <t>Lippard, Vernon W., 1905-</t>
  </si>
  <si>
    <t>New York : Josiah Macy, Jr. Foundation, [c1974]</t>
  </si>
  <si>
    <t>1974</t>
  </si>
  <si>
    <t>2003-03-04</t>
  </si>
  <si>
    <t>2129613:eng</t>
  </si>
  <si>
    <t>1229509</t>
  </si>
  <si>
    <t>991001168569702656</t>
  </si>
  <si>
    <t>2265242040002656</t>
  </si>
  <si>
    <t>30001000306185</t>
  </si>
  <si>
    <t>893632781</t>
  </si>
  <si>
    <t>W 18 M177c 1971</t>
  </si>
  <si>
    <t>0                      W  0018000M  177c        1971</t>
  </si>
  <si>
    <t>The changing medical curriculum : report / edited by Vernon W. Lippard and Elizabeth Purcell.</t>
  </si>
  <si>
    <t>Macy Conference on the Changing Medical Curriculum (1971 : Williamsburg, Va.)</t>
  </si>
  <si>
    <t>New York : Josiah Macy, Jr., Foundation, 1972.</t>
  </si>
  <si>
    <t>1972</t>
  </si>
  <si>
    <t>1990-04-26</t>
  </si>
  <si>
    <t>2287128780:eng</t>
  </si>
  <si>
    <t>315256</t>
  </si>
  <si>
    <t>991001168539702656</t>
  </si>
  <si>
    <t>2270887670002656</t>
  </si>
  <si>
    <t>30001000306177</t>
  </si>
  <si>
    <t>893651898</t>
  </si>
  <si>
    <t>W 18 M4872 1992</t>
  </si>
  <si>
    <t>0                      W  0018000M  4872        1992</t>
  </si>
  <si>
    <t>Medical education in transition / Commission on Medical Education: The Sciences of Medical Practice ; Robert Q. Marston, and Roseann M. Jones, editors.</t>
  </si>
  <si>
    <t>Princeton, NJ : Robert Wood Johnson Foundation, 1992.</t>
  </si>
  <si>
    <t>1992-09-17</t>
  </si>
  <si>
    <t>1992-09-11</t>
  </si>
  <si>
    <t>28951988:eng</t>
  </si>
  <si>
    <t>26521984</t>
  </si>
  <si>
    <t>991001344419702656</t>
  </si>
  <si>
    <t>2268803640002656</t>
  </si>
  <si>
    <t>9780942054057</t>
  </si>
  <si>
    <t>30001002456699</t>
  </si>
  <si>
    <t>893834643</t>
  </si>
  <si>
    <t>W 18 M4895 1982</t>
  </si>
  <si>
    <t>0                      W  0018000M  4895        1982</t>
  </si>
  <si>
    <t>Medical specialties, review and assessment / [edited by] Richard M. Stillman, Eli A. Friedman.</t>
  </si>
  <si>
    <t>New York : Appleton-Century-Crofts, c1982.</t>
  </si>
  <si>
    <t>1991-10-24</t>
  </si>
  <si>
    <t>1987-09-30</t>
  </si>
  <si>
    <t>349940403:eng</t>
  </si>
  <si>
    <t>8051683</t>
  </si>
  <si>
    <t>991001169579702656</t>
  </si>
  <si>
    <t>2269049100002656</t>
  </si>
  <si>
    <t>9780838562673</t>
  </si>
  <si>
    <t>30001000306573</t>
  </si>
  <si>
    <t>893731723</t>
  </si>
  <si>
    <t>W 18 M492b 1987</t>
  </si>
  <si>
    <t>0                      W  0018000M  492b        1987</t>
  </si>
  <si>
    <t>Medicine, 650 multiple-choice questions with referenced, explanatory answers / [edited by] Michael A. Baker.</t>
  </si>
  <si>
    <t>New York : Medical Examination Pub. Co., c1987.</t>
  </si>
  <si>
    <t>9th ed.</t>
  </si>
  <si>
    <t>Medical examination review ; v. 2</t>
  </si>
  <si>
    <t>2001-06-12</t>
  </si>
  <si>
    <t>478710009:eng</t>
  </si>
  <si>
    <t>18561201</t>
  </si>
  <si>
    <t>991001265279702656</t>
  </si>
  <si>
    <t>2262425650002656</t>
  </si>
  <si>
    <t>9780444011268</t>
  </si>
  <si>
    <t>30001000352627</t>
  </si>
  <si>
    <t>893632872</t>
  </si>
  <si>
    <t>W 18 M648e 1980</t>
  </si>
  <si>
    <t>0                      W  0018000M  648e        1980</t>
  </si>
  <si>
    <t>Educating medical teachers / George E. Miller.</t>
  </si>
  <si>
    <t>Miller, George E., 1919-1998.</t>
  </si>
  <si>
    <t>Cambridge, : Harvard Univ. Press, c1980.</t>
  </si>
  <si>
    <t>Commonwealth Fund book</t>
  </si>
  <si>
    <t>1990-12-11</t>
  </si>
  <si>
    <t>354713174:eng</t>
  </si>
  <si>
    <t>5726984</t>
  </si>
  <si>
    <t>991001169699702656</t>
  </si>
  <si>
    <t>2255529950002656</t>
  </si>
  <si>
    <t>9780674237759</t>
  </si>
  <si>
    <t>30001000306607</t>
  </si>
  <si>
    <t>893557665</t>
  </si>
  <si>
    <t>W 18 M648t 1961</t>
  </si>
  <si>
    <t>0                      W  0018000M  648t        1961</t>
  </si>
  <si>
    <t>Teaching and learning in medical school / [by] George E. Miller [and others].</t>
  </si>
  <si>
    <t>Cambridge : published for the Commonwealth Fund, by Harvard University Press, 1961.</t>
  </si>
  <si>
    <t>135094104:eng</t>
  </si>
  <si>
    <t>14614061</t>
  </si>
  <si>
    <t>991001169659702656</t>
  </si>
  <si>
    <t>2258522100002656</t>
  </si>
  <si>
    <t>30001000306599</t>
  </si>
  <si>
    <t>893467837</t>
  </si>
  <si>
    <t>W 18 ME489 1977 v.7</t>
  </si>
  <si>
    <t>0                      W  0018000ME 489         1977                                        v.7</t>
  </si>
  <si>
    <t>Psychiatry : 1,000 multiple choice questions and referenced explanatory answers / by Paul Salkin.</t>
  </si>
  <si>
    <t>V. 7 1977</t>
  </si>
  <si>
    <t>Salkin, Paul.</t>
  </si>
  <si>
    <t>Flushing, N.Y. : Medical Examination Pub., c1977.</t>
  </si>
  <si>
    <t>6th ed.</t>
  </si>
  <si>
    <t>Medical examination review book ; v. 7</t>
  </si>
  <si>
    <t>1992-08-14</t>
  </si>
  <si>
    <t>46802743:eng</t>
  </si>
  <si>
    <t>3234582</t>
  </si>
  <si>
    <t>991001168499702656</t>
  </si>
  <si>
    <t>2260153770002656</t>
  </si>
  <si>
    <t>9780874881073</t>
  </si>
  <si>
    <t>30001000306086</t>
  </si>
  <si>
    <t>893148931</t>
  </si>
  <si>
    <t>W 18 N2775 1987</t>
  </si>
  <si>
    <t>0                      W  0018000N  2775        1987</t>
  </si>
  <si>
    <t>National boards examination review for part I, Basic sciences : 1350 multiple-choice questions with referenced explanatory answers.</t>
  </si>
  <si>
    <t>New York, N.Y. : Medical Examination Pub. Co., c1987.</t>
  </si>
  <si>
    <t>3rd ed. / Mark Dershwitz ... [et al.].</t>
  </si>
  <si>
    <t>1995-04-24</t>
  </si>
  <si>
    <t>1988-01-05</t>
  </si>
  <si>
    <t>365190959:eng</t>
  </si>
  <si>
    <t>15790913</t>
  </si>
  <si>
    <t>991001534869702656</t>
  </si>
  <si>
    <t>2270777810002656</t>
  </si>
  <si>
    <t>9780444012074</t>
  </si>
  <si>
    <t>30001000622516</t>
  </si>
  <si>
    <t>893541485</t>
  </si>
  <si>
    <t>W 18 N277n 1990</t>
  </si>
  <si>
    <t>0                      W  0018000N  277n        1990</t>
  </si>
  <si>
    <t>NBME priorities for the twenty-first century : nurturing and measuring quality : enduring issues that won't go away / National Board of Medical Examiners ; edited by Robin D. Powell and Judith L. Lawley.</t>
  </si>
  <si>
    <t>National Board of Medical Examiners.</t>
  </si>
  <si>
    <t>Philadelphia : The Board, c1991.</t>
  </si>
  <si>
    <t>1992-06-01</t>
  </si>
  <si>
    <t>1991-06-27</t>
  </si>
  <si>
    <t>28666441:eng</t>
  </si>
  <si>
    <t>25623591</t>
  </si>
  <si>
    <t>991000940699702656</t>
  </si>
  <si>
    <t>2264692020002656</t>
  </si>
  <si>
    <t>30001002192567</t>
  </si>
  <si>
    <t>893637851</t>
  </si>
  <si>
    <t>W 18 N5315 1989</t>
  </si>
  <si>
    <t>0                      W  0018000N  5315        1989</t>
  </si>
  <si>
    <t>New directions for medical education : problem-based learning and community-oriented medical education / Henk G. Schmidt ... [et al.], editors ; foreword by H. Mahler ; with contributions by O.K. Alausa ... [et al.].</t>
  </si>
  <si>
    <t>New York : Springer-Verlag, c1989.</t>
  </si>
  <si>
    <t>Frontiers of primary care</t>
  </si>
  <si>
    <t>1992-01-13</t>
  </si>
  <si>
    <t>897435686:eng</t>
  </si>
  <si>
    <t>14931245</t>
  </si>
  <si>
    <t>991001027169702656</t>
  </si>
  <si>
    <t>2257078040002656</t>
  </si>
  <si>
    <t>9780387963907</t>
  </si>
  <si>
    <t>30001002242958</t>
  </si>
  <si>
    <t>893740683</t>
  </si>
  <si>
    <t>W 18 O94 1982</t>
  </si>
  <si>
    <t>0                      W  0018000O  94          1982</t>
  </si>
  <si>
    <t>Outline of forensic dentistry / editors, James A. Cottone, S. Miles Standish.</t>
  </si>
  <si>
    <t>Chicago : Year Book Medical Publishers, c1982.</t>
  </si>
  <si>
    <t>1998-10-22</t>
  </si>
  <si>
    <t>1987-10-09</t>
  </si>
  <si>
    <t>359169420:eng</t>
  </si>
  <si>
    <t>8115277</t>
  </si>
  <si>
    <t>991001169059702656</t>
  </si>
  <si>
    <t>2265497810002656</t>
  </si>
  <si>
    <t>9780815118688</t>
  </si>
  <si>
    <t>30001000306425</t>
  </si>
  <si>
    <t>893284511</t>
  </si>
  <si>
    <t>W 18 P187 1989</t>
  </si>
  <si>
    <t>0                      W  0018000P  187         1989</t>
  </si>
  <si>
    <t>Medical education in the Americas : the challenge of the nineties : final report of the EMA Project / Panamerican Federation of Associations of Medical Schools (PAFAMS) ; work coordinated by the Brazilian Association of Medical Education (ABEM) with the support of the W.K. Kellogg Foundation.</t>
  </si>
  <si>
    <t>Pan American Federation of Associations of Medical Schools.</t>
  </si>
  <si>
    <t>[Washington, D.C.] : Educational Commission for Foreign Medical Graduates, [199-?].</t>
  </si>
  <si>
    <t>1995-11-16</t>
  </si>
  <si>
    <t>38247406:eng</t>
  </si>
  <si>
    <t>33289979</t>
  </si>
  <si>
    <t>991001496539702656</t>
  </si>
  <si>
    <t>2255257800002656</t>
  </si>
  <si>
    <t>30001003261585</t>
  </si>
  <si>
    <t>893638390</t>
  </si>
  <si>
    <t>W 18 P514ha 1991</t>
  </si>
  <si>
    <t>0                      W  0018000P  514ha       1991</t>
  </si>
  <si>
    <t>Healthy America : practitioners for 2005 : an agenda for action for U.S. health professional schools / a report of the Pew Health Professions Commission ; [Daniel A. Shugars, Edward H. O'Neil, James D. Bader, editors].</t>
  </si>
  <si>
    <t>Pew Health Professions Commission.</t>
  </si>
  <si>
    <t>Durham, NC (3101 Petty Rd., Suite 1106, Durham 27707) : Pew Health Professions Commission, c1991.</t>
  </si>
  <si>
    <t>1999-07-22</t>
  </si>
  <si>
    <t>1994-02-11</t>
  </si>
  <si>
    <t>26302437:eng</t>
  </si>
  <si>
    <t>28028643</t>
  </si>
  <si>
    <t>991000668219702656</t>
  </si>
  <si>
    <t>2264531140002656</t>
  </si>
  <si>
    <t>30001002695353</t>
  </si>
  <si>
    <t>893283389</t>
  </si>
  <si>
    <t>W 18 P5784 1984</t>
  </si>
  <si>
    <t>0                      W  0018000P  5784        1984</t>
  </si>
  <si>
    <t>Physicians for the twenty-first century : report of the Project Panel on the General Professional Education of the Physician and College Preparation for Medicine.</t>
  </si>
  <si>
    <t>Washington, D.C. : Association of American Medical Colleges, c1984.</t>
  </si>
  <si>
    <t>1984</t>
  </si>
  <si>
    <t>Journal of medical education ; vol. 59, no. 11, pt. 2 (Nov. 1984)</t>
  </si>
  <si>
    <t>1994-01-21</t>
  </si>
  <si>
    <t>1988-01-12</t>
  </si>
  <si>
    <t>31204873:eng</t>
  </si>
  <si>
    <t>12906556</t>
  </si>
  <si>
    <t>991001537039702656</t>
  </si>
  <si>
    <t>2257510030002656</t>
  </si>
  <si>
    <t>30001000623332</t>
  </si>
  <si>
    <t>893377322</t>
  </si>
  <si>
    <t>W 18 P895 2004</t>
  </si>
  <si>
    <t>0                      W  0018000P  895         2004</t>
  </si>
  <si>
    <t>Practical health care simulations / [editors] Gary E. Loyd, Carol L. Lake, Ruth B. Greenberg.</t>
  </si>
  <si>
    <t>Philadelphia, Pa. : Elsevier Mosby, c2004.</t>
  </si>
  <si>
    <t>2004-09-24</t>
  </si>
  <si>
    <t>2004-09-22</t>
  </si>
  <si>
    <t>438576339:eng</t>
  </si>
  <si>
    <t>56334739</t>
  </si>
  <si>
    <t>991000394349702656</t>
  </si>
  <si>
    <t>2267954320002656</t>
  </si>
  <si>
    <t>9781560536253</t>
  </si>
  <si>
    <t>30001004978559</t>
  </si>
  <si>
    <t>893269430</t>
  </si>
  <si>
    <t>W 18 P974 1971</t>
  </si>
  <si>
    <t>0                      W  0018000P  974         1971</t>
  </si>
  <si>
    <t>Psychosocial aspects of medical training / Compiled and edited by Robert H. Coombs, Clark E. Vincent.</t>
  </si>
  <si>
    <t>Springfield, Ill. : Thomas c1971.</t>
  </si>
  <si>
    <t>422835719:eng</t>
  </si>
  <si>
    <t>592383</t>
  </si>
  <si>
    <t>991001168939702656</t>
  </si>
  <si>
    <t>2264304220002656</t>
  </si>
  <si>
    <t>30001000306391</t>
  </si>
  <si>
    <t>893467836</t>
  </si>
  <si>
    <t>W 18 R332 1969</t>
  </si>
  <si>
    <t>0                      W  0018000R  332         1969</t>
  </si>
  <si>
    <t>Reform of medical education : the effect of student unrest / Julius R. Krevans [and] Peter G. Condliffe, editors.</t>
  </si>
  <si>
    <t>Washington : National Academy of Sciences, 1970.</t>
  </si>
  <si>
    <t>Fogarty International Center proceedings ; no. 1</t>
  </si>
  <si>
    <t>377910500:eng</t>
  </si>
  <si>
    <t>88757</t>
  </si>
  <si>
    <t>991001168869702656</t>
  </si>
  <si>
    <t>2269432890002656</t>
  </si>
  <si>
    <t>9780309017572</t>
  </si>
  <si>
    <t>30001000306375</t>
  </si>
  <si>
    <t>893450919</t>
  </si>
  <si>
    <t>W 18 R467i 1985</t>
  </si>
  <si>
    <t>0                      W  0018000R  467i        1985</t>
  </si>
  <si>
    <t>The interpersonal dimension in medical education / Agnes G. Rezler, Joseph A. Flaherty.</t>
  </si>
  <si>
    <t>Rezler, Agnes G.</t>
  </si>
  <si>
    <t>New York : Springer Pub. Co., c1985.</t>
  </si>
  <si>
    <t xml:space="preserve">aa </t>
  </si>
  <si>
    <t>Springer series on medical education ; v. 6</t>
  </si>
  <si>
    <t>969314:eng</t>
  </si>
  <si>
    <t>11468322</t>
  </si>
  <si>
    <t>991001170239702656</t>
  </si>
  <si>
    <t>2255748210002656</t>
  </si>
  <si>
    <t>9780826143709</t>
  </si>
  <si>
    <t>30001000306912</t>
  </si>
  <si>
    <t>893736289</t>
  </si>
  <si>
    <t>W 18 R593e 1981</t>
  </si>
  <si>
    <t>0                      W  0018000R  593e        1981</t>
  </si>
  <si>
    <t>The evaluation of teaching in medical schools / Robert M. Rippey.</t>
  </si>
  <si>
    <t>Rippey, Robert M.</t>
  </si>
  <si>
    <t>New York : Springer Pub. Co., c1981.</t>
  </si>
  <si>
    <t>Springer series on medical education ; v. 2</t>
  </si>
  <si>
    <t>1992-02-06</t>
  </si>
  <si>
    <t>1991-02-27</t>
  </si>
  <si>
    <t>356652:eng</t>
  </si>
  <si>
    <t>6603296</t>
  </si>
  <si>
    <t>991000815149702656</t>
  </si>
  <si>
    <t>2255070070002656</t>
  </si>
  <si>
    <t>9780826134400</t>
  </si>
  <si>
    <t>30001002085944</t>
  </si>
  <si>
    <t>893540652</t>
  </si>
  <si>
    <t>W 18 R933s 1988</t>
  </si>
  <si>
    <t>0                      W  0018000R  933s        1988</t>
  </si>
  <si>
    <t>Saigon Medical School : an experiment in international medical education : an account of the American Medical Association's medical education project in South Viet Nam, 1966-1975 / C.H. William Ruhe, Norman W. Hoover, and Ira Singer.</t>
  </si>
  <si>
    <t>Ruhe, C. H. William, 1915-</t>
  </si>
  <si>
    <t>Chicago, Ill. : The Association, c1988.</t>
  </si>
  <si>
    <t>1991-03-03</t>
  </si>
  <si>
    <t>1989-03-22</t>
  </si>
  <si>
    <t>440293044:eng</t>
  </si>
  <si>
    <t>17674441</t>
  </si>
  <si>
    <t>991001114069702656</t>
  </si>
  <si>
    <t>2260931140002656</t>
  </si>
  <si>
    <t>9780899703145</t>
  </si>
  <si>
    <t>30001001612904</t>
  </si>
  <si>
    <t>893455488</t>
  </si>
  <si>
    <t>W 18 S246t 1981</t>
  </si>
  <si>
    <t>0                      W  0018000S  246t        1981</t>
  </si>
  <si>
    <t>Test-taking skills, a programmed text for medicine and the health sciences / by Randolph E. Sarnacki.</t>
  </si>
  <si>
    <t>Sarnacki, Randolph E.</t>
  </si>
  <si>
    <t>Baltimore : University Park Press, c1981.</t>
  </si>
  <si>
    <t>1995-06-26</t>
  </si>
  <si>
    <t>504237:eng</t>
  </si>
  <si>
    <t>7730946</t>
  </si>
  <si>
    <t>991001255799702656</t>
  </si>
  <si>
    <t>2262236260002656</t>
  </si>
  <si>
    <t>9780839116967</t>
  </si>
  <si>
    <t>30001000344798</t>
  </si>
  <si>
    <t>893816242</t>
  </si>
  <si>
    <t>W 18 S358e 1984</t>
  </si>
  <si>
    <t>0                      W  0018000S  358e        1984</t>
  </si>
  <si>
    <t>Effective test construction in the health professions / Harriet L. Schneider.</t>
  </si>
  <si>
    <t>Schneider, Harriet L.</t>
  </si>
  <si>
    <t>Jackson, Miss. : H. &amp; B. Hess, c1984.</t>
  </si>
  <si>
    <t>msu</t>
  </si>
  <si>
    <t>1995-07-12</t>
  </si>
  <si>
    <t>3363121:eng</t>
  </si>
  <si>
    <t>10641658</t>
  </si>
  <si>
    <t>991001170049702656</t>
  </si>
  <si>
    <t>2255945700002656</t>
  </si>
  <si>
    <t>9780916507008</t>
  </si>
  <si>
    <t>30001000306797</t>
  </si>
  <si>
    <t>893358300</t>
  </si>
  <si>
    <t>W 18 S648m 1991</t>
  </si>
  <si>
    <t>0                      W  0018000S  648m        1991</t>
  </si>
  <si>
    <t>Medical terminology : a programmed text / Genevieve Love Smith, Phyllis E. Davis, Jeann Tannis Dennerll.</t>
  </si>
  <si>
    <t>Smith, Genevieve Love.</t>
  </si>
  <si>
    <t>Albany, N.Y. : Delmar Publishers, c1991.</t>
  </si>
  <si>
    <t>6th ed. / revised by Jean Tannis Dennerll.</t>
  </si>
  <si>
    <t>2002-06-03</t>
  </si>
  <si>
    <t>1993-06-01</t>
  </si>
  <si>
    <t>3901003211:eng</t>
  </si>
  <si>
    <t>22765095</t>
  </si>
  <si>
    <t>991001479769702656</t>
  </si>
  <si>
    <t>2260346320002656</t>
  </si>
  <si>
    <t>9780827345638</t>
  </si>
  <si>
    <t>30001002566869</t>
  </si>
  <si>
    <t>893638365</t>
  </si>
  <si>
    <t>W 18 S698m 1985</t>
  </si>
  <si>
    <t>0                      W  0018000S  698m        1985</t>
  </si>
  <si>
    <t>MCAT medical college admission test / Lawrence Solomon, Morris Bramson.</t>
  </si>
  <si>
    <t>Solomon, Lawrence.</t>
  </si>
  <si>
    <t>New York : Arco Pub., c1985.</t>
  </si>
  <si>
    <t>Arco professional career examination series</t>
  </si>
  <si>
    <t>2008-02-08</t>
  </si>
  <si>
    <t>1987-10-05</t>
  </si>
  <si>
    <t>2830826:eng</t>
  </si>
  <si>
    <t>10605069</t>
  </si>
  <si>
    <t>991000753429702656</t>
  </si>
  <si>
    <t>2258797240002656</t>
  </si>
  <si>
    <t>9780668061315</t>
  </si>
  <si>
    <t>30001000051468</t>
  </si>
  <si>
    <t>893735519</t>
  </si>
  <si>
    <t>W 18 S931h 1973</t>
  </si>
  <si>
    <t>0                      W  0018000S  931h        1973</t>
  </si>
  <si>
    <t>A handbook for change : recommendations of the Joint Commission on Medical Education / Edited by Robert Graham and Jerry Royer.</t>
  </si>
  <si>
    <t>Student American Medical Association. Joint Commission on Medical Education.</t>
  </si>
  <si>
    <t>Rolling Meadows, IL. : Student American Medical Association, 1972 c1973.</t>
  </si>
  <si>
    <t>1994-06-06</t>
  </si>
  <si>
    <t>1659712:eng</t>
  </si>
  <si>
    <t>614353</t>
  </si>
  <si>
    <t>991001169839702656</t>
  </si>
  <si>
    <t>2270262670002656</t>
  </si>
  <si>
    <t>30001000306706</t>
  </si>
  <si>
    <t>893273837</t>
  </si>
  <si>
    <t>W 18 S972i 1968</t>
  </si>
  <si>
    <t>0                      W  0018000S  972i        1968</t>
  </si>
  <si>
    <t>Inservice education / Russell C. Swansburg.</t>
  </si>
  <si>
    <t>Swansburg, Russell C.</t>
  </si>
  <si>
    <t>New York : Putnam, [1968]</t>
  </si>
  <si>
    <t>1968</t>
  </si>
  <si>
    <t>1996-03-21</t>
  </si>
  <si>
    <t>1988-01-13</t>
  </si>
  <si>
    <t>1440074:eng</t>
  </si>
  <si>
    <t>452103</t>
  </si>
  <si>
    <t>991001043139702656</t>
  </si>
  <si>
    <t>2258362750002656</t>
  </si>
  <si>
    <t>30001000242943</t>
  </si>
  <si>
    <t>893268013</t>
  </si>
  <si>
    <t>W18 T137 2000</t>
  </si>
  <si>
    <t>0                      W  0018000T  137         2000</t>
  </si>
  <si>
    <t>Taking my place in medicine : a guide for minority medical students / Carmen Webb, editor.</t>
  </si>
  <si>
    <t>Thousand Oaks, Calif. : Sage, c2000.</t>
  </si>
  <si>
    <t>Surviving medical school series</t>
  </si>
  <si>
    <t>2008-09-10</t>
  </si>
  <si>
    <t>2004-06-04</t>
  </si>
  <si>
    <t>836976313:eng</t>
  </si>
  <si>
    <t>43790310</t>
  </si>
  <si>
    <t>991000372099702656</t>
  </si>
  <si>
    <t>2263716450002656</t>
  </si>
  <si>
    <t>9780761918097</t>
  </si>
  <si>
    <t>30001004508976</t>
  </si>
  <si>
    <t>893817047</t>
  </si>
  <si>
    <t>W18 T25093 2000</t>
  </si>
  <si>
    <t>0                      W  0018000T  25093       2000</t>
  </si>
  <si>
    <t>Teaching and learning in medical and surgical education : lessons learned for the 21st century / edited by Linda H. Distlehorst, Gary L. Dunnington, J. Roland Folse.</t>
  </si>
  <si>
    <t>Mahwah, N.J. : Erlbaum, 2000.</t>
  </si>
  <si>
    <t>2002-10-22</t>
  </si>
  <si>
    <t>2002-10-17</t>
  </si>
  <si>
    <t>799451738:eng</t>
  </si>
  <si>
    <t>42682713</t>
  </si>
  <si>
    <t>991000330929702656</t>
  </si>
  <si>
    <t>2260807810002656</t>
  </si>
  <si>
    <t>9780805835427</t>
  </si>
  <si>
    <t>30001004500569</t>
  </si>
  <si>
    <t>893359443</t>
  </si>
  <si>
    <t>W 18 T2517 2003</t>
  </si>
  <si>
    <t>0                      W  0018000T  2517        2003</t>
  </si>
  <si>
    <t>Teaching medical students in primary and secondary care : a resource book / Sarah Hartley ... [et al.].</t>
  </si>
  <si>
    <t>Oxford ; New York : Oxford University Press, 2003.</t>
  </si>
  <si>
    <t>2004-09-02</t>
  </si>
  <si>
    <t>801559899:eng</t>
  </si>
  <si>
    <t>54366305</t>
  </si>
  <si>
    <t>991000382209702656</t>
  </si>
  <si>
    <t>2257467370002656</t>
  </si>
  <si>
    <t>9780198510727</t>
  </si>
  <si>
    <t>30001004841039</t>
  </si>
  <si>
    <t>893827437</t>
  </si>
  <si>
    <t>W 18 T487s 1993</t>
  </si>
  <si>
    <t>0                      W  0018000T  487s        1993</t>
  </si>
  <si>
    <t>The successful medical student : achieving your full potential/ John R. Thornborough, Hillary J. Schmidt.</t>
  </si>
  <si>
    <t>Thornborough, John R.</t>
  </si>
  <si>
    <t>Granville, Oh : ILOC c1993.</t>
  </si>
  <si>
    <t>ohu</t>
  </si>
  <si>
    <t>2005-10-10</t>
  </si>
  <si>
    <t>1996-02-14</t>
  </si>
  <si>
    <t>2002-05-30</t>
  </si>
  <si>
    <t>32424040:eng</t>
  </si>
  <si>
    <t>29892365</t>
  </si>
  <si>
    <t>991001504699702656</t>
  </si>
  <si>
    <t>2271019030002656</t>
  </si>
  <si>
    <t>30001003263813</t>
  </si>
  <si>
    <t>893643648</t>
  </si>
  <si>
    <t>30001003692086</t>
  </si>
  <si>
    <t>893649279</t>
  </si>
  <si>
    <t>W 18 T497h 1991</t>
  </si>
  <si>
    <t>0                      W  0018000T  497h        1991</t>
  </si>
  <si>
    <t>How to prepare for the National Medical Board examination comprehensive part I / John R. Thornborough, Hilary J. Schmidt.</t>
  </si>
  <si>
    <t>New York : McGraw-Hill, Inc., Health Professions Division/PreTest Series, c1991.</t>
  </si>
  <si>
    <t>1991-04-26</t>
  </si>
  <si>
    <t>24805117:eng</t>
  </si>
  <si>
    <t>23049447</t>
  </si>
  <si>
    <t>991000934349702656</t>
  </si>
  <si>
    <t>2256892820002656</t>
  </si>
  <si>
    <t>9780070645202</t>
  </si>
  <si>
    <t>30001002190397</t>
  </si>
  <si>
    <t>893148724</t>
  </si>
  <si>
    <t>W 18 U64t</t>
  </si>
  <si>
    <t>0                      W  0018000U  64t</t>
  </si>
  <si>
    <t>Teaching improvement project / developed by the Center for Learning Resources, College of Allied Health Professions, University of Kentucky ; project director, Richard D. Kingston.</t>
  </si>
  <si>
    <t>University of Kentucky. College of Allied Health Professions. Center for Learning Resources.</t>
  </si>
  <si>
    <t>[Lexington, Ky. : The Center, 1978?]-</t>
  </si>
  <si>
    <t>kyu</t>
  </si>
  <si>
    <t>1991-07-25</t>
  </si>
  <si>
    <t>2819976026:eng</t>
  </si>
  <si>
    <t>6857332</t>
  </si>
  <si>
    <t>991000945029702656</t>
  </si>
  <si>
    <t>2259549260002656</t>
  </si>
  <si>
    <t>30001002193490</t>
  </si>
  <si>
    <t>893551958</t>
  </si>
  <si>
    <t>W 18 V819c 1985</t>
  </si>
  <si>
    <t>0                      W  0018000V  819c        1985</t>
  </si>
  <si>
    <t>Coping in medical school / Bernard Virshup.</t>
  </si>
  <si>
    <t>Virshup, Bernard, 1922-</t>
  </si>
  <si>
    <t>New York : Norton, c1985.</t>
  </si>
  <si>
    <t>1998-03-23</t>
  </si>
  <si>
    <t>460725:eng</t>
  </si>
  <si>
    <t>12188797</t>
  </si>
  <si>
    <t>991001170569702656</t>
  </si>
  <si>
    <t>2268558660002656</t>
  </si>
  <si>
    <t>9780393022315</t>
  </si>
  <si>
    <t>30001000307035</t>
  </si>
  <si>
    <t>893121238</t>
  </si>
  <si>
    <t>W 18 W226h 1974</t>
  </si>
  <si>
    <t>0                      W  0018000W  226h        1974</t>
  </si>
  <si>
    <t>The health profession educational organization and the governmental process / Margaret E. Walsh.</t>
  </si>
  <si>
    <t>Walsh, Margaret E.</t>
  </si>
  <si>
    <t>New York : National League for Nursing, c1974.</t>
  </si>
  <si>
    <t>NLN pub. no. 14-1541</t>
  </si>
  <si>
    <t>2002-09-05</t>
  </si>
  <si>
    <t>1987-10-14</t>
  </si>
  <si>
    <t>2067225:eng</t>
  </si>
  <si>
    <t>1144197</t>
  </si>
  <si>
    <t>991001363079702656</t>
  </si>
  <si>
    <t>2263391380002656</t>
  </si>
  <si>
    <t>30001000461014</t>
  </si>
  <si>
    <t>893736520</t>
  </si>
  <si>
    <t>W 18 W241s 1989</t>
  </si>
  <si>
    <t>0                      W  0018000W  241s        1989</t>
  </si>
  <si>
    <t>Strategic planning, marketing, and evaluation for nursing education and service / Carolyn Feher Waltz, Susan Bond Chambers, Nan B. Hechenberger.</t>
  </si>
  <si>
    <t>Waltz, Carolyn Feher.</t>
  </si>
  <si>
    <t>New York, NY : National League for Nursing, c1989.</t>
  </si>
  <si>
    <t>NLN pub. no. 15-2282</t>
  </si>
  <si>
    <t>1989-08-21</t>
  </si>
  <si>
    <t>21329216:eng</t>
  </si>
  <si>
    <t>20113553</t>
  </si>
  <si>
    <t>991001313629702656</t>
  </si>
  <si>
    <t>2269163020002656</t>
  </si>
  <si>
    <t>30001001751967</t>
  </si>
  <si>
    <t>893740989</t>
  </si>
  <si>
    <t>W 18 W297m 1961</t>
  </si>
  <si>
    <t>0                      W  0018000W  297m        1961</t>
  </si>
  <si>
    <t>Medical teaching in western civilization : a history prepared from the writings of ancient &amp; modern authors / William B. Wartman.</t>
  </si>
  <si>
    <t>Wartman, William Bechmann, 1907-</t>
  </si>
  <si>
    <t>Chicago : Year Book Medical Publishers, c1961.</t>
  </si>
  <si>
    <t>2006-11-21</t>
  </si>
  <si>
    <t>5998365:eng</t>
  </si>
  <si>
    <t>6747226</t>
  </si>
  <si>
    <t>991001170779702656</t>
  </si>
  <si>
    <t>2267481950002656</t>
  </si>
  <si>
    <t>30001000307076</t>
  </si>
  <si>
    <t>893450920</t>
  </si>
  <si>
    <t>W18 W523f 2001</t>
  </si>
  <si>
    <t>0                      W  0018000W  523f        2001</t>
  </si>
  <si>
    <t>Fostering reflection and providing feedback : helping others learn from experience / Jane Westberg with Hilliard Jason.</t>
  </si>
  <si>
    <t>Westberg, Jane.</t>
  </si>
  <si>
    <t>New York : Springer Pub., c2001.</t>
  </si>
  <si>
    <t>Springer series on medical education ; v. 490</t>
  </si>
  <si>
    <t>2004-05-08</t>
  </si>
  <si>
    <t>2002-02-22</t>
  </si>
  <si>
    <t>802793241:eng</t>
  </si>
  <si>
    <t>46731201</t>
  </si>
  <si>
    <t>991000305989702656</t>
  </si>
  <si>
    <t>2259906980002656</t>
  </si>
  <si>
    <t>9780826114297</t>
  </si>
  <si>
    <t>30001004236859</t>
  </si>
  <si>
    <t>893274952</t>
  </si>
  <si>
    <t>W 18 W585t 1987</t>
  </si>
  <si>
    <t>0                      W  0018000W  585t        1987</t>
  </si>
  <si>
    <t>The task of medicine : dialogue at Wickenburg / Kerr L. White.</t>
  </si>
  <si>
    <t>White, Kerr L.</t>
  </si>
  <si>
    <t>Menlo Park, Calif. : Henry J. Kaiser Family Foundation, c1988.</t>
  </si>
  <si>
    <t>1988-05-14</t>
  </si>
  <si>
    <t>233071967:eng</t>
  </si>
  <si>
    <t>17927982</t>
  </si>
  <si>
    <t>991001190769702656</t>
  </si>
  <si>
    <t>2265215570002656</t>
  </si>
  <si>
    <t>9780944525050</t>
  </si>
  <si>
    <t>30001000979296</t>
  </si>
  <si>
    <t>893727326</t>
  </si>
  <si>
    <t>W 18 Y45s 1986</t>
  </si>
  <si>
    <t>0                      W  0018000Y  45s         1986</t>
  </si>
  <si>
    <t>Specialty board review, family practice / Ernest Yuh-Ting Yen, V. Bushan Bhardwaj.</t>
  </si>
  <si>
    <t>Yen, Ernest Yuh-Ting, 1937-</t>
  </si>
  <si>
    <t>Norwalk, Conn. : Appleton-Century-Crofts, c1986.</t>
  </si>
  <si>
    <t>Arco medical review series</t>
  </si>
  <si>
    <t>1998-04-20</t>
  </si>
  <si>
    <t>10243579:eng</t>
  </si>
  <si>
    <t>15223329</t>
  </si>
  <si>
    <t>991000753529702656</t>
  </si>
  <si>
    <t>2268563320002656</t>
  </si>
  <si>
    <t>9780838586273</t>
  </si>
  <si>
    <t>30001000051492</t>
  </si>
  <si>
    <t>893740103</t>
  </si>
  <si>
    <t>W18.2 A6491 2003</t>
  </si>
  <si>
    <t>0                      W  0018200A  6491        2003</t>
  </si>
  <si>
    <t>Appleton &amp; Lange review for the USMLE step 2 / [edited by] Carlyle H. Chan.</t>
  </si>
  <si>
    <t>New York : McGraw-Hill, Health Professions Division, c2003.</t>
  </si>
  <si>
    <t>2010-03-13</t>
  </si>
  <si>
    <t>2003-12-12</t>
  </si>
  <si>
    <t>3859167023:eng</t>
  </si>
  <si>
    <t>49874950</t>
  </si>
  <si>
    <t>991000361729702656</t>
  </si>
  <si>
    <t>2267195510002656</t>
  </si>
  <si>
    <t>9780071377287</t>
  </si>
  <si>
    <t>30001004508059</t>
  </si>
  <si>
    <t>893537111</t>
  </si>
  <si>
    <t>W 18.2 A6492 1997</t>
  </si>
  <si>
    <t>0                      W  0018200A  6492        1997</t>
  </si>
  <si>
    <t>Appleton &amp; Lange's review for the USMLE step 3 / [edited by Samuel L. Jacobs].</t>
  </si>
  <si>
    <t>Stamford, Conn. : Appleton &amp; Lange, c1997.</t>
  </si>
  <si>
    <t>A &amp; L review series</t>
  </si>
  <si>
    <t>2008-07-16</t>
  </si>
  <si>
    <t>1998-01-16</t>
  </si>
  <si>
    <t>354933786:eng</t>
  </si>
  <si>
    <t>35714255</t>
  </si>
  <si>
    <t>991001225709702656</t>
  </si>
  <si>
    <t>2255860980002656</t>
  </si>
  <si>
    <t>9780838503058</t>
  </si>
  <si>
    <t>30001003669084</t>
  </si>
  <si>
    <t>893374371</t>
  </si>
  <si>
    <t>W 18.2 A6495 1996</t>
  </si>
  <si>
    <t>0                      W  0018200A  6495        1996</t>
  </si>
  <si>
    <t>Appleton &amp; Lange's review for the USMLE step 2 / [edited by Robin J.O. Catlin].</t>
  </si>
  <si>
    <t>Stamford, Conn. : Appleton &amp; Lange, c1996.</t>
  </si>
  <si>
    <t>2005-02-07</t>
  </si>
  <si>
    <t>1997-08-29</t>
  </si>
  <si>
    <t>55688020:eng</t>
  </si>
  <si>
    <t>33838222</t>
  </si>
  <si>
    <t>991001268089702656</t>
  </si>
  <si>
    <t>2259445680002656</t>
  </si>
  <si>
    <t>9780838502662</t>
  </si>
  <si>
    <t>30001003693902</t>
  </si>
  <si>
    <t>893638165</t>
  </si>
  <si>
    <t>W 18.2 E33m 2000</t>
  </si>
  <si>
    <t>0                      W  0018200E  33m         2000</t>
  </si>
  <si>
    <t>Medical terminology for health professions / Ann Ehrlich, Carol L. Schroeder.</t>
  </si>
  <si>
    <t>Albany, NY : Delmar Thomson Learning, 2000.</t>
  </si>
  <si>
    <t>2003-06-19</t>
  </si>
  <si>
    <t>629793:eng</t>
  </si>
  <si>
    <t>46397444</t>
  </si>
  <si>
    <t>991000351209702656</t>
  </si>
  <si>
    <t>2270368420002656</t>
  </si>
  <si>
    <t>9780766812970</t>
  </si>
  <si>
    <t>30001004650455</t>
  </si>
  <si>
    <t>893447227</t>
  </si>
  <si>
    <t>W18.2 E33m 2005</t>
  </si>
  <si>
    <t>0                      W  0018200E  33m         2005</t>
  </si>
  <si>
    <t>Ehrlich, Ann, 1938-</t>
  </si>
  <si>
    <t>Clifton Park, NY : Thomson/Delmar Learning, c2005.</t>
  </si>
  <si>
    <t>5th ed.</t>
  </si>
  <si>
    <t>2010-01-28</t>
  </si>
  <si>
    <t>2005-08-24</t>
  </si>
  <si>
    <t>55502628</t>
  </si>
  <si>
    <t>991000443199702656</t>
  </si>
  <si>
    <t>2268329960002656</t>
  </si>
  <si>
    <t>9781401860264</t>
  </si>
  <si>
    <t>30001004910255</t>
  </si>
  <si>
    <t>893811511</t>
  </si>
  <si>
    <t>W18.2 F527m 2002</t>
  </si>
  <si>
    <t>0                      W  0018200F  527m        2002</t>
  </si>
  <si>
    <t>First aid for the medicine clerkship : the student to student guide / series editors, Latha G. Stead, S. Matthew Stead, Matthew S. Kaufman, title editor, Barbara G. Lock ; supervising editor and contributing author, Samy I. McFarlane.</t>
  </si>
  <si>
    <t>New York : McGraw-Hill/Medical Pub. Division, c2002.</t>
  </si>
  <si>
    <t>2002</t>
  </si>
  <si>
    <t>2008-01-24</t>
  </si>
  <si>
    <t>2003-12-11</t>
  </si>
  <si>
    <t>3901301183:eng</t>
  </si>
  <si>
    <t>45880284</t>
  </si>
  <si>
    <t>991000361599702656</t>
  </si>
  <si>
    <t>2268088800002656</t>
  </si>
  <si>
    <t>9780071364218</t>
  </si>
  <si>
    <t>30001004507895</t>
  </si>
  <si>
    <t>893354247</t>
  </si>
  <si>
    <t>W 18.2 L164E 2005</t>
  </si>
  <si>
    <t>0                      W  0018200L  164E        2005</t>
  </si>
  <si>
    <t>Exploring medical language : a student-directed approach / Myrna LaFleur Brooks.</t>
  </si>
  <si>
    <t>St. Louis : Elsevier Mosby, c2005.</t>
  </si>
  <si>
    <t>2010-11-21</t>
  </si>
  <si>
    <t>2006-10-02</t>
  </si>
  <si>
    <t>58731708</t>
  </si>
  <si>
    <t>991001737249702656</t>
  </si>
  <si>
    <t>2263113510002656</t>
  </si>
  <si>
    <t>9780323028059</t>
  </si>
  <si>
    <t>30001005176203</t>
  </si>
  <si>
    <t>893268722</t>
  </si>
  <si>
    <t>W18.2 L164E 2005</t>
  </si>
  <si>
    <t>30001005175767</t>
  </si>
  <si>
    <t>893268721</t>
  </si>
  <si>
    <t>W 18.2 L581q 2011</t>
  </si>
  <si>
    <t>0                      W  0018200L  581q        2011</t>
  </si>
  <si>
    <t>Quick &amp; easy medical terminology / Peggy C. Leonard.</t>
  </si>
  <si>
    <t>Leonard, Peggy C.</t>
  </si>
  <si>
    <t>Maryland Heights, MO : Saunders Elsevier, c2011.</t>
  </si>
  <si>
    <t>2011</t>
  </si>
  <si>
    <t>2010-10-07</t>
  </si>
  <si>
    <t>2010-09-27</t>
  </si>
  <si>
    <t>941182:eng</t>
  </si>
  <si>
    <t>460057384</t>
  </si>
  <si>
    <t>991000042519702656</t>
  </si>
  <si>
    <t>2263552800002656</t>
  </si>
  <si>
    <t>9781437708387</t>
  </si>
  <si>
    <t>30001005348067</t>
  </si>
  <si>
    <t>893832695</t>
  </si>
  <si>
    <t>W 18.2 R452 2006</t>
  </si>
  <si>
    <t>0                      W  0018200R  452         2006</t>
  </si>
  <si>
    <t>Review for USMLE : United States medical licensing examination, step 1 / John S. Lazo, Bruce R. Pitt, Joseph C. Glorioso III.</t>
  </si>
  <si>
    <t>Lazo, John S.</t>
  </si>
  <si>
    <t>Philadelphia : Lippincott Williams &amp; Wilkins, c2006.</t>
  </si>
  <si>
    <t>2006</t>
  </si>
  <si>
    <t>7th ed.</t>
  </si>
  <si>
    <t>National medical series for independent study</t>
  </si>
  <si>
    <t>2009-01-13</t>
  </si>
  <si>
    <t>2008-08-11</t>
  </si>
  <si>
    <t>836915930:eng</t>
  </si>
  <si>
    <t>61167797</t>
  </si>
  <si>
    <t>991000907449702656</t>
  </si>
  <si>
    <t>2265265440002656</t>
  </si>
  <si>
    <t>9780781779210</t>
  </si>
  <si>
    <t>30001005294543</t>
  </si>
  <si>
    <t>893834483</t>
  </si>
  <si>
    <t>W 18.2 R454 1999</t>
  </si>
  <si>
    <t>0                      W  0018200R  454         1999</t>
  </si>
  <si>
    <t>Review for USMLE : United States medical licensing examination, step 2 / developed by National Medical School Review.</t>
  </si>
  <si>
    <t>Philadelphia : Lippincott Williams &amp; Wilkins, c1999.</t>
  </si>
  <si>
    <t>The National medical series for independent study</t>
  </si>
  <si>
    <t>2007-05-07</t>
  </si>
  <si>
    <t>2002-07-13</t>
  </si>
  <si>
    <t>908311221:eng</t>
  </si>
  <si>
    <t>39764102</t>
  </si>
  <si>
    <t>991000325329702656</t>
  </si>
  <si>
    <t>22101747570002656</t>
  </si>
  <si>
    <t>9780683302837</t>
  </si>
  <si>
    <t>30001004447910</t>
  </si>
  <si>
    <t>893447192</t>
  </si>
  <si>
    <t>W 18.2 R454 2007</t>
  </si>
  <si>
    <t>0                      W  0018200R  454         2007</t>
  </si>
  <si>
    <t>Review for USMLE : United States medical licensing examination step, step 2 CK / editor, Kenneth Ibsen ; co-editor, Nandan Bhatt.</t>
  </si>
  <si>
    <t>Philadelphia : Lippincott, Williams &amp; Wilkins, c2007.</t>
  </si>
  <si>
    <t>5616068249:eng</t>
  </si>
  <si>
    <t>62342245</t>
  </si>
  <si>
    <t>991000907409702656</t>
  </si>
  <si>
    <t>2260249490002656</t>
  </si>
  <si>
    <t>9780781765220</t>
  </si>
  <si>
    <t>30001005294311</t>
  </si>
  <si>
    <t>893560765</t>
  </si>
  <si>
    <t>W18.2 R995 2001</t>
  </si>
  <si>
    <t>0                      W  0018200R  995         2001</t>
  </si>
  <si>
    <t>Rypins' basic sciences review.</t>
  </si>
  <si>
    <t>Philadelphia : Lippincott Williams &amp; Wilkins, c2001.</t>
  </si>
  <si>
    <t>18th ed. / edited by Edward D. Frohlich.</t>
  </si>
  <si>
    <t>2001-10-25</t>
  </si>
  <si>
    <t>8908739366:eng</t>
  </si>
  <si>
    <t>45661800</t>
  </si>
  <si>
    <t>991000292089702656</t>
  </si>
  <si>
    <t>2267791080002656</t>
  </si>
  <si>
    <t>9780781725187</t>
  </si>
  <si>
    <t>30001004235521</t>
  </si>
  <si>
    <t>893536984</t>
  </si>
  <si>
    <t>W 18.2 S216ca 2010</t>
  </si>
  <si>
    <t>0                      W  0018200S  216ca       2010</t>
  </si>
  <si>
    <t>Case studies for the medical office : Capstone billing simulation / Susan M. Sanderson.</t>
  </si>
  <si>
    <t>Sanderson, Susan M.</t>
  </si>
  <si>
    <t>Boston : McGraw Hill Higher Education, c2010.</t>
  </si>
  <si>
    <t>2010</t>
  </si>
  <si>
    <t>2010-09-10</t>
  </si>
  <si>
    <t>159060810:eng</t>
  </si>
  <si>
    <t>276229008</t>
  </si>
  <si>
    <t>991000031489702656</t>
  </si>
  <si>
    <t>2267185920002656</t>
  </si>
  <si>
    <t>9780073402000</t>
  </si>
  <si>
    <t>30001005347655</t>
  </si>
  <si>
    <t>893723107</t>
  </si>
  <si>
    <t>W 18.2 U86 2002</t>
  </si>
  <si>
    <t>0                      W  0018200U  86          2002</t>
  </si>
  <si>
    <t>USMLE step 1.</t>
  </si>
  <si>
    <t>St. Louis, Mo. : Mosby, c2002.</t>
  </si>
  <si>
    <t>Rapid review series</t>
  </si>
  <si>
    <t>2006-09-11</t>
  </si>
  <si>
    <t>2003-01-10</t>
  </si>
  <si>
    <t>56805961:eng</t>
  </si>
  <si>
    <t>49550569</t>
  </si>
  <si>
    <t>991000336109702656</t>
  </si>
  <si>
    <t>22101747560002656</t>
  </si>
  <si>
    <t>9780323008419</t>
  </si>
  <si>
    <t>30001004501013</t>
  </si>
  <si>
    <t>893109423</t>
  </si>
  <si>
    <t>W 19 B787c 1970</t>
  </si>
  <si>
    <t>0                      W  0019000B  787c        1970</t>
  </si>
  <si>
    <t>The story of medicine at Wake Forest University / by Coy C. Carpenter.</t>
  </si>
  <si>
    <t>Carpenter, Coy Cornelius, 1900-1971.</t>
  </si>
  <si>
    <t>Chapel Hill : Univ. of North Carolina Press, [1970]</t>
  </si>
  <si>
    <t>1997-02-14</t>
  </si>
  <si>
    <t>1197422:eng</t>
  </si>
  <si>
    <t>108584</t>
  </si>
  <si>
    <t>991001171619702656</t>
  </si>
  <si>
    <t>2262486220002656</t>
  </si>
  <si>
    <t>9780807811504</t>
  </si>
  <si>
    <t>30001000307241</t>
  </si>
  <si>
    <t>893821016</t>
  </si>
  <si>
    <t>W 19 F491 1995</t>
  </si>
  <si>
    <t>0                      W  0019000F  491         1995</t>
  </si>
  <si>
    <t>The financing of medical schools in an era of health care reform : a conference sponsored by the Josiah Macy, Jr. Foundation / proceedings edited by Robert H. Ebert ; case studies edited by Miriam Ostow.</t>
  </si>
  <si>
    <t>New York : Josiah Macy, Jr. Foundation, c1995.</t>
  </si>
  <si>
    <t>1996-11-12</t>
  </si>
  <si>
    <t>475541680:eng</t>
  </si>
  <si>
    <t>33337635</t>
  </si>
  <si>
    <t>991001496629702656</t>
  </si>
  <si>
    <t>2257381000002656</t>
  </si>
  <si>
    <t>30001003261643</t>
  </si>
  <si>
    <t>893558028</t>
  </si>
  <si>
    <t>W 19 H636w 1985</t>
  </si>
  <si>
    <t>0                      W  0019000H  636w        1985</t>
  </si>
  <si>
    <t>Women and minorities on U.S. medical school faculties, 1985 / Elizabeth J. Higgins.</t>
  </si>
  <si>
    <t>Higgins, Elizabeth J.</t>
  </si>
  <si>
    <t>Washington : Division of Operational Studies, Department of Planning and Policy Development, Association of American Medical Colleges, c1986.</t>
  </si>
  <si>
    <t>1990-03-22</t>
  </si>
  <si>
    <t>1989-11-10</t>
  </si>
  <si>
    <t>7494465:eng</t>
  </si>
  <si>
    <t>14177751</t>
  </si>
  <si>
    <t>991001326369702656</t>
  </si>
  <si>
    <t>2267701780002656</t>
  </si>
  <si>
    <t>30001001754946</t>
  </si>
  <si>
    <t>893727459</t>
  </si>
  <si>
    <t>W 19 J655c 1957</t>
  </si>
  <si>
    <t>0                      W  0019000J  655c        1957</t>
  </si>
  <si>
    <t>Halsted of Johns Hopkins : the man and his men / Samuel Crowe.</t>
  </si>
  <si>
    <t>Crowe, Samuel James, 1883-1955.</t>
  </si>
  <si>
    <t>Springfield, IL : Thomas, [1957]</t>
  </si>
  <si>
    <t>1991-10-01</t>
  </si>
  <si>
    <t>8920387:eng</t>
  </si>
  <si>
    <t>3191287</t>
  </si>
  <si>
    <t>991001172039702656</t>
  </si>
  <si>
    <t>2254820010002656</t>
  </si>
  <si>
    <t>30001000307308</t>
  </si>
  <si>
    <t>893460323</t>
  </si>
  <si>
    <t>W19 M481m 2003</t>
  </si>
  <si>
    <t>0                      W  0019000M  481m        2003</t>
  </si>
  <si>
    <t>Med school : a collection of stories about medical school, 1951-1955 / Clifton K. Meador.</t>
  </si>
  <si>
    <t>Meador, Clifton K., 1931-</t>
  </si>
  <si>
    <t>Franklin, Tenn. : Hillsboro Press, c2003.</t>
  </si>
  <si>
    <t>2004-09-27</t>
  </si>
  <si>
    <t>944109:eng</t>
  </si>
  <si>
    <t>54058236</t>
  </si>
  <si>
    <t>991000398189702656</t>
  </si>
  <si>
    <t>2257253250002656</t>
  </si>
  <si>
    <t>9781577363118</t>
  </si>
  <si>
    <t>30001004923126</t>
  </si>
  <si>
    <t>893370449</t>
  </si>
  <si>
    <t>W 19 S367n 1984</t>
  </si>
  <si>
    <t>0                      W  0019000S  367n        1984</t>
  </si>
  <si>
    <t>New and expanded medical schools, mid-century to the 1980s / J.R. Schofield.</t>
  </si>
  <si>
    <t>Schofield, J. R. (James R.)</t>
  </si>
  <si>
    <t>San Francisco : Jossey-Bass, c1984.</t>
  </si>
  <si>
    <t>Association of American Medical Colleges series in academic medicine</t>
  </si>
  <si>
    <t>1990-07-19</t>
  </si>
  <si>
    <t>836668701:eng</t>
  </si>
  <si>
    <t>10850445</t>
  </si>
  <si>
    <t>991001172549702656</t>
  </si>
  <si>
    <t>2262565610002656</t>
  </si>
  <si>
    <t>9780875896281</t>
  </si>
  <si>
    <t>30001000307357</t>
  </si>
  <si>
    <t>893826520</t>
  </si>
  <si>
    <t>W 19 S963m</t>
  </si>
  <si>
    <t>0                      W  0019000S  963m</t>
  </si>
  <si>
    <t>Medical schools in the United States at mid-century / John E. Deitrick [director] and Robert C. Berson [associate director]</t>
  </si>
  <si>
    <t>Survey of Medical Education.</t>
  </si>
  <si>
    <t>Evanston, IL : Association of American Medical Colleges, 1960 [c1953]</t>
  </si>
  <si>
    <t>1989-11-27</t>
  </si>
  <si>
    <t>2169230:eng</t>
  </si>
  <si>
    <t>7493663</t>
  </si>
  <si>
    <t>991001172619702656</t>
  </si>
  <si>
    <t>2267968510002656</t>
  </si>
  <si>
    <t>30001000307381</t>
  </si>
  <si>
    <t>893546422</t>
  </si>
  <si>
    <t>W 19 W615e 1989</t>
  </si>
  <si>
    <t>0                      W  0019000W  615e        1989</t>
  </si>
  <si>
    <t>Executive skills for medical faculty / Neal Whitman, Elane Weiss, F. Marian Bishop; with contributions by C. Brooklyn Derr ... [et al.].</t>
  </si>
  <si>
    <t>Whitman, Neal.</t>
  </si>
  <si>
    <t>Salt Lake City, Utah : Dept. of Family and Preventive Medicine, University of Utah School of Medicine, c1989.</t>
  </si>
  <si>
    <t>utu</t>
  </si>
  <si>
    <t>1989-11-28</t>
  </si>
  <si>
    <t>22822024:eng</t>
  </si>
  <si>
    <t>20848746</t>
  </si>
  <si>
    <t>991001361419702656</t>
  </si>
  <si>
    <t>2255811130002656</t>
  </si>
  <si>
    <t>30001001796806</t>
  </si>
  <si>
    <t>893451110</t>
  </si>
  <si>
    <t>W 20 A512a 1986</t>
  </si>
  <si>
    <t>0                      W  0020000A  512a        1986</t>
  </si>
  <si>
    <t>AMSA's student guide to the appraisal and selection of house staff training programs.</t>
  </si>
  <si>
    <t>American Medical Student Association.</t>
  </si>
  <si>
    <t>Reston, Va. : AMSA, 1986.</t>
  </si>
  <si>
    <t>1999-11-26</t>
  </si>
  <si>
    <t>1990-03-26</t>
  </si>
  <si>
    <t>54384411:eng</t>
  </si>
  <si>
    <t>17960528</t>
  </si>
  <si>
    <t>991001355109702656</t>
  </si>
  <si>
    <t>2267445880002656</t>
  </si>
  <si>
    <t>30001001795790</t>
  </si>
  <si>
    <t>893816327</t>
  </si>
  <si>
    <t>W 20 C678h 1988</t>
  </si>
  <si>
    <t>0                      W  0020000C  678h        1988</t>
  </si>
  <si>
    <t>House officer : becoming a medical specialist / Richard L. Cohen.</t>
  </si>
  <si>
    <t>Cohen, Richard L. (Richard Lawrence), 1922-</t>
  </si>
  <si>
    <t>New York : Plenum Medical Book Co., c1988.</t>
  </si>
  <si>
    <t>2000-03-13</t>
  </si>
  <si>
    <t>1990-01-26</t>
  </si>
  <si>
    <t>16299477:eng</t>
  </si>
  <si>
    <t>18051500</t>
  </si>
  <si>
    <t>991001382299702656</t>
  </si>
  <si>
    <t>2256161950002656</t>
  </si>
  <si>
    <t>9780306429422</t>
  </si>
  <si>
    <t>30001001799032</t>
  </si>
  <si>
    <t>893374488</t>
  </si>
  <si>
    <t>W 20 D628 1992-93</t>
  </si>
  <si>
    <t>0                      W  0020000D  628         1992                                        -93</t>
  </si>
  <si>
    <t>Directory of training programs in internal medicine : residency and subspecialty fellowships, 1992-1993/ prepared by National Study of Internal Medicine Manpower, the University of Chicago.</t>
  </si>
  <si>
    <t>Chicago : National Study of Internal Medicine Manpower, 1993.</t>
  </si>
  <si>
    <t>1993-08-11</t>
  </si>
  <si>
    <t>1993-06-18</t>
  </si>
  <si>
    <t>3857386742:eng</t>
  </si>
  <si>
    <t>28537866</t>
  </si>
  <si>
    <t>991001481059702656</t>
  </si>
  <si>
    <t>2257046680002656</t>
  </si>
  <si>
    <t>30001002569483</t>
  </si>
  <si>
    <t>893451246</t>
  </si>
  <si>
    <t>W 20 D912r 1996</t>
  </si>
  <si>
    <t>0                      W  0020000D  912r        1996</t>
  </si>
  <si>
    <t>Residents : the perils and promise of educating young doctors / David Ewing Duncan.</t>
  </si>
  <si>
    <t>Duncan, David Ewing.</t>
  </si>
  <si>
    <t>New York, NY : Scribner, c1996.</t>
  </si>
  <si>
    <t>2001-11-21</t>
  </si>
  <si>
    <t>1996-08-20</t>
  </si>
  <si>
    <t>354817345:eng</t>
  </si>
  <si>
    <t>34474192</t>
  </si>
  <si>
    <t>991000834619702656</t>
  </si>
  <si>
    <t>2265939710002656</t>
  </si>
  <si>
    <t>9780684197098</t>
  </si>
  <si>
    <t>30001003441070</t>
  </si>
  <si>
    <t>893363248</t>
  </si>
  <si>
    <t>W 20 E25g 1984</t>
  </si>
  <si>
    <t>0                      W  0020000E  25g         1984</t>
  </si>
  <si>
    <t>The graduate education of foreign physicians in public health and preventive medicine : the role of United States teaching institutions, April 23-24, 1984, Washington, D.C. / a workshop sponsored jointly by the Educational Commission for Foreign Medical Graduates and the Division of Medicine, Bureau of Health Professions, Health Resources and Services Administration, Public Health Service, U.S. Department of Health and Human Services.</t>
  </si>
  <si>
    <t>Educational Commission for Foreign Medical Graduates.</t>
  </si>
  <si>
    <t>Washington, D.C. : The Commission, 1984.</t>
  </si>
  <si>
    <t>1988-07-28</t>
  </si>
  <si>
    <t>1987-10-01</t>
  </si>
  <si>
    <t>374613584:eng</t>
  </si>
  <si>
    <t>15520794</t>
  </si>
  <si>
    <t>991001173199702656</t>
  </si>
  <si>
    <t>2255428230002656</t>
  </si>
  <si>
    <t>30001000307498</t>
  </si>
  <si>
    <t>893552203</t>
  </si>
  <si>
    <t>W 20 G754 1980</t>
  </si>
  <si>
    <t>0                      W  0020000G  754         1980</t>
  </si>
  <si>
    <t>Graduate medical education present and prospective : a call for action : report of the Macy Study Group.</t>
  </si>
  <si>
    <t>New York : Josiah Macy, Jr. Foundation, 1980.</t>
  </si>
  <si>
    <t>25065781:eng</t>
  </si>
  <si>
    <t>6986738</t>
  </si>
  <si>
    <t>991001173369702656</t>
  </si>
  <si>
    <t>2270770820002656</t>
  </si>
  <si>
    <t>9780914362340</t>
  </si>
  <si>
    <t>30001000307514</t>
  </si>
  <si>
    <t>893455529</t>
  </si>
  <si>
    <t>W 20 K64m 1985</t>
  </si>
  <si>
    <t>0                      W  0020000K  64m         1985</t>
  </si>
  <si>
    <t>A machine called indomitable / by Sonny Kleinfield.</t>
  </si>
  <si>
    <t>Kleinfield, Sonny.</t>
  </si>
  <si>
    <t>New York : Times Books, c1985.</t>
  </si>
  <si>
    <t>1996-11-04</t>
  </si>
  <si>
    <t>1995-09-07</t>
  </si>
  <si>
    <t>5017250:eng</t>
  </si>
  <si>
    <t>12369997</t>
  </si>
  <si>
    <t>991001490259702656</t>
  </si>
  <si>
    <t>2269158950002656</t>
  </si>
  <si>
    <t>9780812912340</t>
  </si>
  <si>
    <t>30001003260264</t>
  </si>
  <si>
    <t>893279159</t>
  </si>
  <si>
    <t>W 20 L433f 1997</t>
  </si>
  <si>
    <t>0                      W  0020000L  433f        1997</t>
  </si>
  <si>
    <t>First aid for the Match : insider advice from students and residency directors / Tao Le, Vikas Bhushan, Chirag Amin ; contributors, Kieu Nguyen, David Altman.</t>
  </si>
  <si>
    <t>Le, Tao.</t>
  </si>
  <si>
    <t>2007-01-04</t>
  </si>
  <si>
    <t>1998-06-16</t>
  </si>
  <si>
    <t>1999-11-19</t>
  </si>
  <si>
    <t>793904697:eng</t>
  </si>
  <si>
    <t>35824576</t>
  </si>
  <si>
    <t>991000902129702656</t>
  </si>
  <si>
    <t>2259780690002656</t>
  </si>
  <si>
    <t>9780838525968</t>
  </si>
  <si>
    <t>30001004176717</t>
  </si>
  <si>
    <t>893731516</t>
  </si>
  <si>
    <t>2004-09-05</t>
  </si>
  <si>
    <t>30001003830330</t>
  </si>
  <si>
    <t>893736019</t>
  </si>
  <si>
    <t>W20 L433f 2004</t>
  </si>
  <si>
    <t>0                      W  0020000L  433f        2004</t>
  </si>
  <si>
    <t>First aid for the match : insider advice from students and residency directors / Tao Le, Vikas Bhushan, Chirag Amin.</t>
  </si>
  <si>
    <t>Le, Tao</t>
  </si>
  <si>
    <t>New York : London : McGraw-Hill, 2003.</t>
  </si>
  <si>
    <t>2009-11-12</t>
  </si>
  <si>
    <t>2003-12-16</t>
  </si>
  <si>
    <t>54034816</t>
  </si>
  <si>
    <t>991000362069702656</t>
  </si>
  <si>
    <t>2254763760002656</t>
  </si>
  <si>
    <t>9780071409292</t>
  </si>
  <si>
    <t>30001004507887</t>
  </si>
  <si>
    <t>893365366</t>
  </si>
  <si>
    <t>W20 L4373 2001</t>
  </si>
  <si>
    <t>0                      W  0020000L  4373        2001</t>
  </si>
  <si>
    <t>Teaching in your office : a guide to instructing medical students and residents / Patrick Alguire ... [et al.].</t>
  </si>
  <si>
    <t>Philadelphia : American College of Physicians--American Society of Internal Medicine, c2001.</t>
  </si>
  <si>
    <t>2003-03-12</t>
  </si>
  <si>
    <t>2003-03-11</t>
  </si>
  <si>
    <t>858207671:eng</t>
  </si>
  <si>
    <t>44040394</t>
  </si>
  <si>
    <t>991000341399702656</t>
  </si>
  <si>
    <t>2256530600002656</t>
  </si>
  <si>
    <t>9781930513075</t>
  </si>
  <si>
    <t>30001004503431</t>
  </si>
  <si>
    <t>893163364</t>
  </si>
  <si>
    <t>W 20 M284m 1987</t>
  </si>
  <si>
    <t>0                      W  0020000M  284m        1987</t>
  </si>
  <si>
    <t>Medicine, preserving the passion / Phil R. Manning, Lois DeBakey.</t>
  </si>
  <si>
    <t>Manning, Phil R., 1921-</t>
  </si>
  <si>
    <t>New York : Springer-Verlag, c1987.</t>
  </si>
  <si>
    <t>1988-09-08</t>
  </si>
  <si>
    <t>1988-03-19</t>
  </si>
  <si>
    <t>3755219959:eng</t>
  </si>
  <si>
    <t>13580831</t>
  </si>
  <si>
    <t>991001175459702656</t>
  </si>
  <si>
    <t>2257646060002656</t>
  </si>
  <si>
    <t>9780387963617</t>
  </si>
  <si>
    <t>30001000975872</t>
  </si>
  <si>
    <t>893727316</t>
  </si>
  <si>
    <t>W 20 M648m 1996-97</t>
  </si>
  <si>
    <t>0                      W  0020000M  648m        1996                                        -97</t>
  </si>
  <si>
    <t>1996-1997 medical student's guide to successful residency matching / Lee T. Miller, Leigh G. Donowitz.</t>
  </si>
  <si>
    <t>Miller, Lee T. (Lee Todd)</t>
  </si>
  <si>
    <t>2003-08-25</t>
  </si>
  <si>
    <t>1997-02-10</t>
  </si>
  <si>
    <t>39858776:eng</t>
  </si>
  <si>
    <t>34575173</t>
  </si>
  <si>
    <t>991000836869702656</t>
  </si>
  <si>
    <t>2271433840002656</t>
  </si>
  <si>
    <t>9780683180435</t>
  </si>
  <si>
    <t>30001003442201</t>
  </si>
  <si>
    <t>893820604</t>
  </si>
  <si>
    <t>W 20 M648n 1999-2000</t>
  </si>
  <si>
    <t>0                      W  0020000M  648n        1999                                        -2000</t>
  </si>
  <si>
    <t>1999-2000 medical student's guide to successful residency matching / Lee T. Miller, Leigh G. Donowitz.</t>
  </si>
  <si>
    <t>2007-02-02</t>
  </si>
  <si>
    <t>1999-11-18</t>
  </si>
  <si>
    <t>13542888:eng</t>
  </si>
  <si>
    <t>41512129</t>
  </si>
  <si>
    <t>991001409269702656</t>
  </si>
  <si>
    <t>2255827530002656</t>
  </si>
  <si>
    <t>9780781721639</t>
  </si>
  <si>
    <t>30001003830371</t>
  </si>
  <si>
    <t>893552472</t>
  </si>
  <si>
    <t>30001003830355</t>
  </si>
  <si>
    <t>893552471</t>
  </si>
  <si>
    <t>W 20 T136 1992</t>
  </si>
  <si>
    <t>0                      W  0020000T  136         1992</t>
  </si>
  <si>
    <t>Taking charge of graduate medical education : to meet the nation's needs in the 21st century / edited by Thomas Q. Morris and Coimbra M. Sirica.</t>
  </si>
  <si>
    <t>New York : Josiah Macy, Jr. Foundation, c1993.</t>
  </si>
  <si>
    <t>1993-06-09</t>
  </si>
  <si>
    <t>30804411:eng</t>
  </si>
  <si>
    <t>28185674</t>
  </si>
  <si>
    <t>991001509009702656</t>
  </si>
  <si>
    <t>2269129030002656</t>
  </si>
  <si>
    <t>30001002600387</t>
  </si>
  <si>
    <t>893832249</t>
  </si>
  <si>
    <t>W 20 W615c 1988</t>
  </si>
  <si>
    <t>0                      W  0020000W  615c        1988</t>
  </si>
  <si>
    <t>The chief resident as manager / Neal Whitman, Elaine Weiss, Lawrence Lutz ; with contributions by C. Brooklyn Derr, Tom Miller ; foreword by David N. Sundwall ; preface by F. Marian Bishop.</t>
  </si>
  <si>
    <t>Salt Lake City : University of Utah School of Medicine, c1988.</t>
  </si>
  <si>
    <t>1989-01-17</t>
  </si>
  <si>
    <t>1988-05-07</t>
  </si>
  <si>
    <t>15114599:eng</t>
  </si>
  <si>
    <t>18133203</t>
  </si>
  <si>
    <t>991001190439702656</t>
  </si>
  <si>
    <t>2261597820002656</t>
  </si>
  <si>
    <t>30001000979205</t>
  </si>
  <si>
    <t>893168057</t>
  </si>
  <si>
    <t>W20.5 A395 2002</t>
  </si>
  <si>
    <t>0                      W  0020500A  395         2002</t>
  </si>
  <si>
    <t>Making sense of critical appraisal / Olajide Ajetunmobi.</t>
  </si>
  <si>
    <t>Ajetunmobi, O. (Olajide)</t>
  </si>
  <si>
    <t>London : Arnold, 2002.</t>
  </si>
  <si>
    <t>2005-03-04</t>
  </si>
  <si>
    <t>2003-01-30</t>
  </si>
  <si>
    <t>1007279:eng</t>
  </si>
  <si>
    <t>52086251</t>
  </si>
  <si>
    <t>991000338029702656</t>
  </si>
  <si>
    <t>2269813650002656</t>
  </si>
  <si>
    <t>9780340808122</t>
  </si>
  <si>
    <t>30001004501815</t>
  </si>
  <si>
    <t>893274979</t>
  </si>
  <si>
    <t>W 20.5 A735r 1990</t>
  </si>
  <si>
    <t>0                      W  0020500A  735r        1990</t>
  </si>
  <si>
    <t>Research methods for general practitioners / David Armstrong, Michael Calnan, and John Grace.</t>
  </si>
  <si>
    <t>Armstrong, David, 1947 June 3-</t>
  </si>
  <si>
    <t>Oxford ; New York : Oxford University Press, c1990.</t>
  </si>
  <si>
    <t>Oxford general practice series ; 16</t>
  </si>
  <si>
    <t>1997-07-11</t>
  </si>
  <si>
    <t>1990-09-12</t>
  </si>
  <si>
    <t>57505876:eng</t>
  </si>
  <si>
    <t>19982677</t>
  </si>
  <si>
    <t>991000760969702656</t>
  </si>
  <si>
    <t>2260246330002656</t>
  </si>
  <si>
    <t>9780192618221</t>
  </si>
  <si>
    <t>30001002060152</t>
  </si>
  <si>
    <t>893540434</t>
  </si>
  <si>
    <t>W 20.5 A846 1992</t>
  </si>
  <si>
    <t>0                      W  0020500A  846         1992</t>
  </si>
  <si>
    <t>Assessing interventions / edited by Fred Tudiver ... [et al.].</t>
  </si>
  <si>
    <t>Newbury Park, CA : Sage Publications, c1992.</t>
  </si>
  <si>
    <t>Research methods for primary care ; v. 4</t>
  </si>
  <si>
    <t>1996-12-18</t>
  </si>
  <si>
    <t>1992-10-20</t>
  </si>
  <si>
    <t>836909184:eng</t>
  </si>
  <si>
    <t>26014764</t>
  </si>
  <si>
    <t>991001343069702656</t>
  </si>
  <si>
    <t>2261364940002656</t>
  </si>
  <si>
    <t>9780803947702</t>
  </si>
  <si>
    <t>30001002456384</t>
  </si>
  <si>
    <t>893149104</t>
  </si>
  <si>
    <t>W 20.5 B311 1981</t>
  </si>
  <si>
    <t>0                      W  0020500B  311         1981</t>
  </si>
  <si>
    <t>Basic research and clinical medicine / [edited by] S. Philip Bralow ; coeditors and awardees, Rosalyn S. Yalow ... [et al.].</t>
  </si>
  <si>
    <t>Washington : Hemisphere Pub. Corp. ; New York : McGraw-Hill, c1981.</t>
  </si>
  <si>
    <t>1995-04-30</t>
  </si>
  <si>
    <t>180338919:eng</t>
  </si>
  <si>
    <t>6734406</t>
  </si>
  <si>
    <t>991001173769702656</t>
  </si>
  <si>
    <t>2268481160002656</t>
  </si>
  <si>
    <t>30001000307597</t>
  </si>
  <si>
    <t>893546423</t>
  </si>
  <si>
    <t>W 20.5 B518i 1927</t>
  </si>
  <si>
    <t>0                      W  0020500B  518i        1927</t>
  </si>
  <si>
    <t>An introduction to the study of experimental medicine / Translated by Henry Copley Greene ; with an introd. by Lawrence J. Henderson.</t>
  </si>
  <si>
    <t>Bernard, Claude, 1813-1878.</t>
  </si>
  <si>
    <t>[New York] : Schuman, 1949, c1927.</t>
  </si>
  <si>
    <t>1996-09-30</t>
  </si>
  <si>
    <t>4494875852:eng</t>
  </si>
  <si>
    <t>630196</t>
  </si>
  <si>
    <t>991001173809702656</t>
  </si>
  <si>
    <t>2262410960002656</t>
  </si>
  <si>
    <t>30001000307605</t>
  </si>
  <si>
    <t>893821019</t>
  </si>
  <si>
    <t>W20.5 B6155 v.48 2001</t>
  </si>
  <si>
    <t>0                      W  0020500B  6155                                                    v.48 2001</t>
  </si>
  <si>
    <t>Palliative care in Europe : concepts and policies / edited by Henk ten Have and Rien Janssens.</t>
  </si>
  <si>
    <t>V.48 2001</t>
  </si>
  <si>
    <t>Amsterdam ; Washington, DC : IOS Press, c2001.</t>
  </si>
  <si>
    <t>Biomedical and health research, 0929-6743 ; v. 48</t>
  </si>
  <si>
    <t>2006-05-04</t>
  </si>
  <si>
    <t>2006-04-27</t>
  </si>
  <si>
    <t>144850570:eng</t>
  </si>
  <si>
    <t>49775223</t>
  </si>
  <si>
    <t>991000477969702656</t>
  </si>
  <si>
    <t>2258126130002656</t>
  </si>
  <si>
    <t>9781586032005</t>
  </si>
  <si>
    <t>30001005126968</t>
  </si>
  <si>
    <t>893264251</t>
  </si>
  <si>
    <t>W 20.5 C615 1967</t>
  </si>
  <si>
    <t>0                      W  0020500C  615         1967</t>
  </si>
  <si>
    <t>Claude Bernard and experimental medicine : collected papers from a symposium commemorating the centenary of the publication of An introduction to the study of experimental medicine, and the first English translation of Claude Bernard's Cahier rouge / edited by Francisco Grande and Maurice B. Visscher.</t>
  </si>
  <si>
    <t>Cambridge, Mass. : Schenkman, [c1967]</t>
  </si>
  <si>
    <t>1996-10-01</t>
  </si>
  <si>
    <t>2277602678:eng</t>
  </si>
  <si>
    <t>14487530</t>
  </si>
  <si>
    <t>991001174689702656</t>
  </si>
  <si>
    <t>2268599700002656</t>
  </si>
  <si>
    <t>30001000307761</t>
  </si>
  <si>
    <t>893743663</t>
  </si>
  <si>
    <t>W 20.5 C6415 1983</t>
  </si>
  <si>
    <t>0                      W  0020500C  6415        1983</t>
  </si>
  <si>
    <t>Clinical trials, issues and approaches / edited by Stanley H. Shapiro, Thomas A. Louis.</t>
  </si>
  <si>
    <t>New York : Dekker, c1983.</t>
  </si>
  <si>
    <t>Statistics, textbooks and monographs ; v. 46</t>
  </si>
  <si>
    <t>2003-10-15</t>
  </si>
  <si>
    <t>889661949:eng</t>
  </si>
  <si>
    <t>9281766</t>
  </si>
  <si>
    <t>991000753549702656</t>
  </si>
  <si>
    <t>2265009030002656</t>
  </si>
  <si>
    <t>9780824717414</t>
  </si>
  <si>
    <t>30001000051526</t>
  </si>
  <si>
    <t>893459796</t>
  </si>
  <si>
    <t>W 20.5 F293 1980m</t>
  </si>
  <si>
    <t>0                      W  0020500F  293         1980m</t>
  </si>
  <si>
    <t>Federal regulations : bane or boon to IRBs : a symposium / sponsored by Public Responsibility in Medicine and Research, co-sponsored by Boston University School of Medicine, held at the Harvard School of Public Health, March 27 &amp; 28, 1980 ; edited by Kathryn Culver, Grace Napier, Jean Rachlin.</t>
  </si>
  <si>
    <t>Boston, Mass. : PRIM&amp;R, c1980.</t>
  </si>
  <si>
    <t>PRIM&amp;R subject's rights and freedom of inquiry</t>
  </si>
  <si>
    <t>1989-12-01</t>
  </si>
  <si>
    <t>1988-02-05</t>
  </si>
  <si>
    <t>29107908:eng</t>
  </si>
  <si>
    <t>7642187</t>
  </si>
  <si>
    <t>991001285979702656</t>
  </si>
  <si>
    <t>2265225320002656</t>
  </si>
  <si>
    <t>30001000387219</t>
  </si>
  <si>
    <t>893632914</t>
  </si>
  <si>
    <t>W 20.5 F596d 1986</t>
  </si>
  <si>
    <t>0                      W  0020500F  596d        1986</t>
  </si>
  <si>
    <t>The design and analysis of clinical experiments / Joseph L. Fleiss.</t>
  </si>
  <si>
    <t>Fleiss, Joseph L.</t>
  </si>
  <si>
    <t>New York : Wiley, c1986.</t>
  </si>
  <si>
    <t>Wiley series in probability and mathematical statistics. Applied probability and statistics</t>
  </si>
  <si>
    <t>1999-12-13</t>
  </si>
  <si>
    <t>1989-09-29</t>
  </si>
  <si>
    <t>5015702:eng</t>
  </si>
  <si>
    <t>12369849</t>
  </si>
  <si>
    <t>991001174029702656</t>
  </si>
  <si>
    <t>2266852300002656</t>
  </si>
  <si>
    <t>9780471820475</t>
  </si>
  <si>
    <t>30001000307662</t>
  </si>
  <si>
    <t>893821020</t>
  </si>
  <si>
    <t>W 20.5 G311i 1993</t>
  </si>
  <si>
    <t>0                      W  0020500G  311i        1993</t>
  </si>
  <si>
    <t>Interpreting the medical literature / Stephen H. Gehlbach.</t>
  </si>
  <si>
    <t>Gehlbach, Stephen H.</t>
  </si>
  <si>
    <t>New York : McGraw-Hill, Health Professions Division, c1993.</t>
  </si>
  <si>
    <t>2008-08-18</t>
  </si>
  <si>
    <t>1993-09-02</t>
  </si>
  <si>
    <t>2537596:eng</t>
  </si>
  <si>
    <t>26502331</t>
  </si>
  <si>
    <t>991001514059702656</t>
  </si>
  <si>
    <t>2256764140002656</t>
  </si>
  <si>
    <t>9780071054515</t>
  </si>
  <si>
    <t>30001002601468</t>
  </si>
  <si>
    <t>893638403</t>
  </si>
  <si>
    <t>W 20.5 H199m 1947</t>
  </si>
  <si>
    <t>0                      W  0020500H  199m        1947</t>
  </si>
  <si>
    <t>Medical research in France during the war, 1939-1945 / Thirty articles gathered and presented by Jean Hamburger.</t>
  </si>
  <si>
    <t>Hamburger, Jean compiler.</t>
  </si>
  <si>
    <t>[Paris] : Editions Medicales Flammarion, [1947?]</t>
  </si>
  <si>
    <t>1947</t>
  </si>
  <si>
    <t xml:space="preserve">fr </t>
  </si>
  <si>
    <t>1992-02-25</t>
  </si>
  <si>
    <t>5682494:eng</t>
  </si>
  <si>
    <t>14731443</t>
  </si>
  <si>
    <t>991001174149702656</t>
  </si>
  <si>
    <t>2259250080002656</t>
  </si>
  <si>
    <t>30001000307670</t>
  </si>
  <si>
    <t>893369170</t>
  </si>
  <si>
    <t>W 20.5 H434 1971</t>
  </si>
  <si>
    <t>0                      W  0020500H  434         1971</t>
  </si>
  <si>
    <t>Health research : the systems approach / edited by Harriet H. Werley ... [et al.].</t>
  </si>
  <si>
    <t>-- New York : Springer, c1976.</t>
  </si>
  <si>
    <t>1998-04-08</t>
  </si>
  <si>
    <t>423288050:eng</t>
  </si>
  <si>
    <t>1340439</t>
  </si>
  <si>
    <t>991001174199702656</t>
  </si>
  <si>
    <t>2261922080002656</t>
  </si>
  <si>
    <t>9780826117106</t>
  </si>
  <si>
    <t>30001000307688</t>
  </si>
  <si>
    <t>893834593</t>
  </si>
  <si>
    <t>W 20.5 H4343r 1988</t>
  </si>
  <si>
    <t>0                      W  0020500H  4343r       1988</t>
  </si>
  <si>
    <t>Research for health professionals : design, analysis, and ethics / Robert Proulx Heaney, Charles J. Dougherty.</t>
  </si>
  <si>
    <t>Heaney, Robert P. (Robert Proulx), 1927-2016.</t>
  </si>
  <si>
    <t>Ames : Iowa State University Press, 1988.</t>
  </si>
  <si>
    <t>iau</t>
  </si>
  <si>
    <t>2008-01-21</t>
  </si>
  <si>
    <t>1991-10-31</t>
  </si>
  <si>
    <t>11933432:eng</t>
  </si>
  <si>
    <t>16982152</t>
  </si>
  <si>
    <t>991000347699702656</t>
  </si>
  <si>
    <t>2255819560002656</t>
  </si>
  <si>
    <t>9780813817125</t>
  </si>
  <si>
    <t>30001002241372</t>
  </si>
  <si>
    <t>893639099</t>
  </si>
  <si>
    <t>W 20.5 H918 1982</t>
  </si>
  <si>
    <t>0                      W  0020500H  918         1982</t>
  </si>
  <si>
    <t>Human subjects research : a handbook for institutional review boards / edited by Robert A. Greenwald and Mary Kay Ryan, and James E. Mulvihill.</t>
  </si>
  <si>
    <t>New York : Plenum Press, c1982.</t>
  </si>
  <si>
    <t>1998-05-03</t>
  </si>
  <si>
    <t>836692078:eng</t>
  </si>
  <si>
    <t>8386438</t>
  </si>
  <si>
    <t>991001174279702656</t>
  </si>
  <si>
    <t>2265264840002656</t>
  </si>
  <si>
    <t>9780306409202</t>
  </si>
  <si>
    <t>30001000307696</t>
  </si>
  <si>
    <t>893168053</t>
  </si>
  <si>
    <t>W20.5 K92s 2003</t>
  </si>
  <si>
    <t>0                      W  0020500K  92s         2003</t>
  </si>
  <si>
    <t>Science in the private interest : has the lure of profits corrupted biomedical research? / Sheldon Krimsky.</t>
  </si>
  <si>
    <t>Krimsky, Sheldon.</t>
  </si>
  <si>
    <t>Lanham : Rowman &amp; Littlefield Publishers, c2003.</t>
  </si>
  <si>
    <t>2004-03-05</t>
  </si>
  <si>
    <t>2004-02-24</t>
  </si>
  <si>
    <t>739978:eng</t>
  </si>
  <si>
    <t>51342639</t>
  </si>
  <si>
    <t>991000366599702656</t>
  </si>
  <si>
    <t>2270483070002656</t>
  </si>
  <si>
    <t>9780742514799</t>
  </si>
  <si>
    <t>30001004509594</t>
  </si>
  <si>
    <t>893553455</t>
  </si>
  <si>
    <t>W 20.5 L524s 1988</t>
  </si>
  <si>
    <t>0                      W  0020500L  524s        1988</t>
  </si>
  <si>
    <t>Summary : fetal research and fetal tissue research / Dorothy Lehrman.</t>
  </si>
  <si>
    <t>Lehrman, Dorothy.</t>
  </si>
  <si>
    <t>Washington, D.C. : Association of American Medical Colleges, c1988.</t>
  </si>
  <si>
    <t>2001-03-03</t>
  </si>
  <si>
    <t>1989-02-18</t>
  </si>
  <si>
    <t>31002291:eng</t>
  </si>
  <si>
    <t>28344861</t>
  </si>
  <si>
    <t>991001107029702656</t>
  </si>
  <si>
    <t>2255343950002656</t>
  </si>
  <si>
    <t>30001001611286</t>
  </si>
  <si>
    <t>893460282</t>
  </si>
  <si>
    <t>W 20.5 M981d 1998</t>
  </si>
  <si>
    <t>0                      W  0020500M  981d        1998</t>
  </si>
  <si>
    <t>Design and analysis of group-randomized trials / David M. Murray.</t>
  </si>
  <si>
    <t>Murray, David M.</t>
  </si>
  <si>
    <t>New York : Oxford University Press, c1998.</t>
  </si>
  <si>
    <t>Monographs in epidemiology and biostatistics ; v. 27 [i.e. 29]</t>
  </si>
  <si>
    <t>2001-10-17</t>
  </si>
  <si>
    <t>1998-12-18</t>
  </si>
  <si>
    <t>597606:eng</t>
  </si>
  <si>
    <t>37024813</t>
  </si>
  <si>
    <t>991001549179702656</t>
  </si>
  <si>
    <t>2269109880002656</t>
  </si>
  <si>
    <t>9780195120363</t>
  </si>
  <si>
    <t>30001004038610</t>
  </si>
  <si>
    <t>893268630</t>
  </si>
  <si>
    <t>W 20.5 N277 1988</t>
  </si>
  <si>
    <t>0                      W  0020500N  277         1988</t>
  </si>
  <si>
    <t>National guide to foundation funding in health / John Clinton, editor.</t>
  </si>
  <si>
    <t>[New York] : The Foundation Center, c1988.</t>
  </si>
  <si>
    <t>1989-01-10</t>
  </si>
  <si>
    <t>1988-11-10</t>
  </si>
  <si>
    <t>433487041:eng</t>
  </si>
  <si>
    <t>21413588</t>
  </si>
  <si>
    <t>991001104079702656</t>
  </si>
  <si>
    <t>2257870610002656</t>
  </si>
  <si>
    <t>9780879542474</t>
  </si>
  <si>
    <t>30001001610361</t>
  </si>
  <si>
    <t>893374263</t>
  </si>
  <si>
    <t>W 20.5 N277b 1969</t>
  </si>
  <si>
    <t>0                      W  0020500N  277b        1969</t>
  </si>
  <si>
    <t>Biomedical research manpower, for the eighties / Herbert H. Rosenberg.</t>
  </si>
  <si>
    <t>National Institutes of Health (U.S.). Office of Resources Analysis.</t>
  </si>
  <si>
    <t>Washington : U.S.G.P.O., 1968 [i.e. 1969].</t>
  </si>
  <si>
    <t>1969</t>
  </si>
  <si>
    <t>Resources for medical research ; report no. 11</t>
  </si>
  <si>
    <t>1991-09-13</t>
  </si>
  <si>
    <t>1991-09-12</t>
  </si>
  <si>
    <t>1142744:eng</t>
  </si>
  <si>
    <t>20356</t>
  </si>
  <si>
    <t>991001014239702656</t>
  </si>
  <si>
    <t>2258376770002656</t>
  </si>
  <si>
    <t>30001002240408</t>
  </si>
  <si>
    <t>893632657</t>
  </si>
  <si>
    <t>W 20.5 N277d 1967</t>
  </si>
  <si>
    <t>0                      W  0020500N  277d        1967</t>
  </si>
  <si>
    <t>Dollars for medical research : sources and performers, 1947-1966.</t>
  </si>
  <si>
    <t>National Institutes of Health (U.S.). Resources Analysis Branch.</t>
  </si>
  <si>
    <t>Bethesda, Md. : U.S. Dept. of Health, Education and Welfare, Public Health Service, 1967.</t>
  </si>
  <si>
    <t>Public Health Service publication ; no. 1612</t>
  </si>
  <si>
    <t>1996-09-28</t>
  </si>
  <si>
    <t>1991-10-10</t>
  </si>
  <si>
    <t>1925357:eng</t>
  </si>
  <si>
    <t>968963</t>
  </si>
  <si>
    <t>991001018689702656</t>
  </si>
  <si>
    <t>2263616810002656</t>
  </si>
  <si>
    <t>30001002241166</t>
  </si>
  <si>
    <t>893740678</t>
  </si>
  <si>
    <t>W 20.5 N813 1989</t>
  </si>
  <si>
    <t>0                      W  0020500N  813         1989</t>
  </si>
  <si>
    <t>Nonmammalian animal models for biomedical research / editor, Avril D. Woodhead ; technical editor, Katherine Vivirito.</t>
  </si>
  <si>
    <t>Boca Raton, Fla. : CRC Press, c1989.</t>
  </si>
  <si>
    <t>1990-10-16</t>
  </si>
  <si>
    <t>1990-06-15</t>
  </si>
  <si>
    <t>18459725:eng</t>
  </si>
  <si>
    <t>18816053</t>
  </si>
  <si>
    <t>991001448919702656</t>
  </si>
  <si>
    <t>2255454110002656</t>
  </si>
  <si>
    <t>9780849347634</t>
  </si>
  <si>
    <t>30001001882176</t>
  </si>
  <si>
    <t>893467982</t>
  </si>
  <si>
    <t>W 20.5 P741c 1983</t>
  </si>
  <si>
    <t>0                      W  0020500P  741c        1983</t>
  </si>
  <si>
    <t>Clinical trials : a practical approach / Stuart J. Pocock.</t>
  </si>
  <si>
    <t>Pocock, Stuart J.</t>
  </si>
  <si>
    <t>Chichester [West Sussex] ; New York : Wiley, c1983.</t>
  </si>
  <si>
    <t>A Wiley medical publication.</t>
  </si>
  <si>
    <t>2007-04-11</t>
  </si>
  <si>
    <t>807544126:eng</t>
  </si>
  <si>
    <t>9280593</t>
  </si>
  <si>
    <t>991001174729702656</t>
  </si>
  <si>
    <t>2260839920002656</t>
  </si>
  <si>
    <t>9780471901556</t>
  </si>
  <si>
    <t>30001000307779</t>
  </si>
  <si>
    <t>893736292</t>
  </si>
  <si>
    <t>W 20.5 P853f 1993</t>
  </si>
  <si>
    <t>0                      W  0020500P  853f        1993</t>
  </si>
  <si>
    <t>Foundations of clinical research : applications to practice / Leslie Gross Portney, Mary P. Watkins.</t>
  </si>
  <si>
    <t>Portney, Leslie Gross.</t>
  </si>
  <si>
    <t>Norwalk, Conn. : Appleton &amp; Lange, c1993</t>
  </si>
  <si>
    <t>2007-07-03</t>
  </si>
  <si>
    <t>1993-08-09</t>
  </si>
  <si>
    <t>16501563:eng</t>
  </si>
  <si>
    <t>26590023</t>
  </si>
  <si>
    <t>991001427849702656</t>
  </si>
  <si>
    <t>2265167740002656</t>
  </si>
  <si>
    <t>9780838510650</t>
  </si>
  <si>
    <t>30001002527283</t>
  </si>
  <si>
    <t>893287414</t>
  </si>
  <si>
    <t>W 20.5 PR952 1978</t>
  </si>
  <si>
    <t>0                      W  0020500PR 952         1978</t>
  </si>
  <si>
    <t>Drug research, the FDA and the protection of human rights : a symposium / sponsored by Public Responsibility in Medicine and Research, co-sponsored by Boston University School of Medicine, held at the Harvard School of Public Health, June 17 and 18, 1978.</t>
  </si>
  <si>
    <t>Boston, Mass. : PRIM&amp;R, 1979.</t>
  </si>
  <si>
    <t>919272147:eng</t>
  </si>
  <si>
    <t>7642222</t>
  </si>
  <si>
    <t>991001285859702656</t>
  </si>
  <si>
    <t>2265317150002656</t>
  </si>
  <si>
    <t>30001000387185</t>
  </si>
  <si>
    <t>893149055</t>
  </si>
  <si>
    <t>W 20.5 PR952 1980o</t>
  </si>
  <si>
    <t>0                      W  0020500PR 952         1980o</t>
  </si>
  <si>
    <t>Risk assessment : its role in health and research : a symposium / sponsored by Public Responsibility in Medicine and Research, co-sponsored by Boston University School of Medicine, held at the Bston Park Plaza Hotel, Oct. 20 &amp; 21, 1980 ; edited by Grace Napier.</t>
  </si>
  <si>
    <t>Boston, Mass. : PRIM&amp;R, c1981.</t>
  </si>
  <si>
    <t>29108239:eng</t>
  </si>
  <si>
    <t>7642211</t>
  </si>
  <si>
    <t>991001285939702656</t>
  </si>
  <si>
    <t>2265315980002656</t>
  </si>
  <si>
    <t>30001000387201</t>
  </si>
  <si>
    <t>893451037</t>
  </si>
  <si>
    <t>W 20.5 PR952 1981m</t>
  </si>
  <si>
    <t>0                      W  0020500PR 952         1981m</t>
  </si>
  <si>
    <t>The New federal regulations, what they do and do not regulate : a symposium / sponsored by Public Responsibility in Medicine and Research, co-sponsored by Boston University School of Medicine, held at the Harvard School of Public Health, March 26 and 27, 1981 ; edited by Melissa Apperson, Grace Napier, Joan Rachlin.</t>
  </si>
  <si>
    <t>Boston, MA : PRIM&amp;G, c1981.</t>
  </si>
  <si>
    <t>43450132:eng</t>
  </si>
  <si>
    <t>8740118</t>
  </si>
  <si>
    <t>991001286129702656</t>
  </si>
  <si>
    <t>2267731380002656</t>
  </si>
  <si>
    <t>30001000387243</t>
  </si>
  <si>
    <t>893121360</t>
  </si>
  <si>
    <t>W 20.5 S454s 1985</t>
  </si>
  <si>
    <t>0                      W  0020500S  454s        1985</t>
  </si>
  <si>
    <t>Stabilizing the funding of NIH and ADAMHA research project grants : a background paper / by Richard L. Seggel for the Board on Health Sciences Policy, Institute of Medicine.</t>
  </si>
  <si>
    <t>Seggel, Richard L.</t>
  </si>
  <si>
    <t>Washington, D.C. : National Academy Press, 1985.</t>
  </si>
  <si>
    <t>8232731:eng</t>
  </si>
  <si>
    <t>15055001</t>
  </si>
  <si>
    <t>991001175139702656</t>
  </si>
  <si>
    <t>2261612000002656</t>
  </si>
  <si>
    <t>30001000307845</t>
  </si>
  <si>
    <t>893465249</t>
  </si>
  <si>
    <t>W 20.5 S5872h 1985</t>
  </si>
  <si>
    <t>0                      W  0020500S  5872h       1985</t>
  </si>
  <si>
    <t>Human experimentation : a guided step into the unknown / William A. Silverman.</t>
  </si>
  <si>
    <t>Silverman, William A.</t>
  </si>
  <si>
    <t>Oxford ; New York : Oxford University Press, c1985.</t>
  </si>
  <si>
    <t>Oxford medical publications</t>
  </si>
  <si>
    <t>1988-03-14</t>
  </si>
  <si>
    <t>806942654:eng</t>
  </si>
  <si>
    <t>11519500</t>
  </si>
  <si>
    <t>991001175429702656</t>
  </si>
  <si>
    <t>2268587010002656</t>
  </si>
  <si>
    <t>9780192614995</t>
  </si>
  <si>
    <t>30001000307894</t>
  </si>
  <si>
    <t>893638092</t>
  </si>
  <si>
    <t>W 20.5 S756g 1986</t>
  </si>
  <si>
    <t>0                      W  0020500S  756g        1986</t>
  </si>
  <si>
    <t>Guide to clinical interpretation of data / Bert Spilker.</t>
  </si>
  <si>
    <t>Spilker, Bert.</t>
  </si>
  <si>
    <t>New York, N.Y. : Raven Press, c1986.</t>
  </si>
  <si>
    <t>1997-01-15</t>
  </si>
  <si>
    <t>7311890:eng</t>
  </si>
  <si>
    <t>13822198</t>
  </si>
  <si>
    <t>991001175179702656</t>
  </si>
  <si>
    <t>2270114060002656</t>
  </si>
  <si>
    <t>9780881672077</t>
  </si>
  <si>
    <t>30001000307852</t>
  </si>
  <si>
    <t>893834594</t>
  </si>
  <si>
    <t>W 20.5 S819a 1989</t>
  </si>
  <si>
    <t>0                      W  0020500S  819a        1989</t>
  </si>
  <si>
    <t>Anatomy of clinical research : an introduction to scientific inquiry in medicine, rehabilitation and related health professions / Franklin Stein.</t>
  </si>
  <si>
    <t>Stein, Franklin.</t>
  </si>
  <si>
    <t>Thorofare, N.J. : Slack, c1989.</t>
  </si>
  <si>
    <t>[Rev. ed.]</t>
  </si>
  <si>
    <t>Slack health professions</t>
  </si>
  <si>
    <t>2002-09-13</t>
  </si>
  <si>
    <t>1989-11-20</t>
  </si>
  <si>
    <t>373554739:eng</t>
  </si>
  <si>
    <t>21199179</t>
  </si>
  <si>
    <t>991001364089702656</t>
  </si>
  <si>
    <t>2260245660002656</t>
  </si>
  <si>
    <t>9781556420580</t>
  </si>
  <si>
    <t>30001001797184</t>
  </si>
  <si>
    <t>893268403</t>
  </si>
  <si>
    <t>W 20.5 S995 1998</t>
  </si>
  <si>
    <t>0                      W  0020500S  995         1998</t>
  </si>
  <si>
    <t>Systematic reviews : synthesis of best evidence for health care decisions / edited by Cynthia Mulrow, Deborah Cook.</t>
  </si>
  <si>
    <t>Philadelphia, Pa. : American College of Physicians, c1998.</t>
  </si>
  <si>
    <t>2004-12-04</t>
  </si>
  <si>
    <t>1998-11-17</t>
  </si>
  <si>
    <t>364713837:eng</t>
  </si>
  <si>
    <t>37616759</t>
  </si>
  <si>
    <t>991000690889702656</t>
  </si>
  <si>
    <t>2268776330002656</t>
  </si>
  <si>
    <t>9780943126661</t>
  </si>
  <si>
    <t>30001004036440</t>
  </si>
  <si>
    <t>893450095</t>
  </si>
  <si>
    <t>W 20.5 T671 1992</t>
  </si>
  <si>
    <t>0                      W  0020500T  671         1992</t>
  </si>
  <si>
    <t>Tools for primary care research / edited by Moira Stewart ... [et al.].</t>
  </si>
  <si>
    <t>Newbury Park, Calif. : Sage Publications, c1992.</t>
  </si>
  <si>
    <t>Research methods for primary care ; v. 2</t>
  </si>
  <si>
    <t>1999-10-29</t>
  </si>
  <si>
    <t>1992-08-21</t>
  </si>
  <si>
    <t>28395824:eng</t>
  </si>
  <si>
    <t>25245723</t>
  </si>
  <si>
    <t>991001340609702656</t>
  </si>
  <si>
    <t>2259141430002656</t>
  </si>
  <si>
    <t>9780803944039</t>
  </si>
  <si>
    <t>30001002455550</t>
  </si>
  <si>
    <t>893460483</t>
  </si>
  <si>
    <t>W 20.5 U84 1988</t>
  </si>
  <si>
    <t>0                      W  0020500U  84          1988</t>
  </si>
  <si>
    <t>The Use of human beings in research : with special reference to clinical trials / edited by Stuart F. Spicker ... [et al.].</t>
  </si>
  <si>
    <t>Dordrecht ; Boston : Kluwer Academic Publishers, c1988.</t>
  </si>
  <si>
    <t>Philosophy and medicine ; v. 28</t>
  </si>
  <si>
    <t>1989-01-25</t>
  </si>
  <si>
    <t>890222285:eng</t>
  </si>
  <si>
    <t>17676190</t>
  </si>
  <si>
    <t>991001112179702656</t>
  </si>
  <si>
    <t>2259762950002656</t>
  </si>
  <si>
    <t>30001001612342</t>
  </si>
  <si>
    <t>893363780</t>
  </si>
  <si>
    <t>W 20.5 V833e 1974</t>
  </si>
  <si>
    <t>0                      W  0020500V  833e        1974</t>
  </si>
  <si>
    <t>Ethical constraints and imperatives in medical research / by Maurice B. Visscher.</t>
  </si>
  <si>
    <t>Visscher, Maurice B., 1901-1983.</t>
  </si>
  <si>
    <t>Springfield, IL. : Thomas, c1975.</t>
  </si>
  <si>
    <t>1975</t>
  </si>
  <si>
    <t>471657:eng</t>
  </si>
  <si>
    <t>1137998</t>
  </si>
  <si>
    <t>991001177259702656</t>
  </si>
  <si>
    <t>2268480630002656</t>
  </si>
  <si>
    <t>9780398034047</t>
  </si>
  <si>
    <t>30001000308215</t>
  </si>
  <si>
    <t>893831972</t>
  </si>
  <si>
    <t>W 20.5 W362s 1995</t>
  </si>
  <si>
    <t>0                      W  0020500W  362s        1995</t>
  </si>
  <si>
    <t>Science and the quiet art : the role of medical research in health care / David Weatherall.</t>
  </si>
  <si>
    <t>Weatherall, D. J.</t>
  </si>
  <si>
    <t>New York : W.W. Norton, c1995.</t>
  </si>
  <si>
    <t>Commonwealth Fund Book Program</t>
  </si>
  <si>
    <t>1997-10-05</t>
  </si>
  <si>
    <t>4202353186:eng</t>
  </si>
  <si>
    <t>30438347</t>
  </si>
  <si>
    <t>991001399679702656</t>
  </si>
  <si>
    <t>2268869530002656</t>
  </si>
  <si>
    <t>9780393037449</t>
  </si>
  <si>
    <t>30001003147545</t>
  </si>
  <si>
    <t>893649161</t>
  </si>
  <si>
    <t>W 20.9 R474b 1972</t>
  </si>
  <si>
    <t>0                      W  0020900R  474b        1972</t>
  </si>
  <si>
    <t>The Rho Chi Society : the development of the honor society of American pharmacy / by Roy A. Bowers and David L. Cowen.</t>
  </si>
  <si>
    <t>Bowers, Roy A.</t>
  </si>
  <si>
    <t>Columbus, Ohio : Rho Chi Society, 1972.</t>
  </si>
  <si>
    <t>2010-04-27</t>
  </si>
  <si>
    <t>1123323:eng</t>
  </si>
  <si>
    <t>378948</t>
  </si>
  <si>
    <t>991001177179702656</t>
  </si>
  <si>
    <t>2264363990002656</t>
  </si>
  <si>
    <t>30001000308199</t>
  </si>
  <si>
    <t>893460325</t>
  </si>
  <si>
    <t>W 21 A512c 1984</t>
  </si>
  <si>
    <t>0                      W  0021000A  512c        1984</t>
  </si>
  <si>
    <t>Career choices for women in medicine.</t>
  </si>
  <si>
    <t>American Medical Women's Association.</t>
  </si>
  <si>
    <t>New York : American Medical Women's Association, c1984.</t>
  </si>
  <si>
    <t>2004-02-09</t>
  </si>
  <si>
    <t>1988-10-15</t>
  </si>
  <si>
    <t>54920854:eng</t>
  </si>
  <si>
    <t>15228707</t>
  </si>
  <si>
    <t>991000764229702656</t>
  </si>
  <si>
    <t>2270259340002656</t>
  </si>
  <si>
    <t>30001001392721</t>
  </si>
  <si>
    <t>893267412</t>
  </si>
  <si>
    <t>30001001392713</t>
  </si>
  <si>
    <t>893273056</t>
  </si>
  <si>
    <t>W 21 A512w 1991</t>
  </si>
  <si>
    <t>0                      W  0021000A  512w        1991</t>
  </si>
  <si>
    <t>Women in medicine in America : in the mainstream / American Medical Association</t>
  </si>
  <si>
    <t>American Medical Association.</t>
  </si>
  <si>
    <t>Chicago : American Medical Association, c1991.</t>
  </si>
  <si>
    <t>1992-08-19</t>
  </si>
  <si>
    <t>1992-07-31</t>
  </si>
  <si>
    <t>465192326:eng</t>
  </si>
  <si>
    <t>25500799</t>
  </si>
  <si>
    <t>991001305989702656</t>
  </si>
  <si>
    <t>2270058920002656</t>
  </si>
  <si>
    <t>9780899704661</t>
  </si>
  <si>
    <t>30001002413849</t>
  </si>
  <si>
    <t>893358450</t>
  </si>
  <si>
    <t>W 21 B171L 1993</t>
  </si>
  <si>
    <t>0                      W  0021000B  171L        1993</t>
  </si>
  <si>
    <t>Leaving the bedside : the search for a nonclinical medical career / American Medical Association, Department of Physician Licensure and Career Resources.</t>
  </si>
  <si>
    <t>Balagot, Maija.</t>
  </si>
  <si>
    <t>Chicago, Ill. : American Medical Association, c1992</t>
  </si>
  <si>
    <t>2007-05-06</t>
  </si>
  <si>
    <t>29497776:eng</t>
  </si>
  <si>
    <t>26820710</t>
  </si>
  <si>
    <t>991001232999702656</t>
  </si>
  <si>
    <t>2268404130002656</t>
  </si>
  <si>
    <t>9780899704647</t>
  </si>
  <si>
    <t>30001003007103</t>
  </si>
  <si>
    <t>893541144</t>
  </si>
  <si>
    <t>W 21 B628 1991</t>
  </si>
  <si>
    <t>0                      W  0021000B  628         1991</t>
  </si>
  <si>
    <t>Black Dentistry in the 21st Century : [workshop/conference], June 23-27, 1991, Ann Arbor, Michigan / sponsored by University of Michigan, School of Dentistry; co-editors, Michael E. Razzoog, Emerson Robinson.</t>
  </si>
  <si>
    <t>Black Dentistry in the 21st Century (1991 : Ann Arbor, Mich.)</t>
  </si>
  <si>
    <t>2004-12-09</t>
  </si>
  <si>
    <t>1993-04-07</t>
  </si>
  <si>
    <t>30469998:eng</t>
  </si>
  <si>
    <t>28510746</t>
  </si>
  <si>
    <t>991001477769702656</t>
  </si>
  <si>
    <t>2265751510002656</t>
  </si>
  <si>
    <t>30001002564039</t>
  </si>
  <si>
    <t>893377292</t>
  </si>
  <si>
    <t>W 21 B787s 1985</t>
  </si>
  <si>
    <t>0                      W  0021000B  787s        1985</t>
  </si>
  <si>
    <t>Stress and women physicians / Marjorie A. Bowman, Deborah I. Allen.</t>
  </si>
  <si>
    <t>Bowman, Marjorie A.</t>
  </si>
  <si>
    <t>New York : Springer-Verlag, c1985.</t>
  </si>
  <si>
    <t>4467903:eng</t>
  </si>
  <si>
    <t>11623382</t>
  </si>
  <si>
    <t>991001177019702656</t>
  </si>
  <si>
    <t>2258255550002656</t>
  </si>
  <si>
    <t>9780387961170</t>
  </si>
  <si>
    <t>30001000308165</t>
  </si>
  <si>
    <t>893467839</t>
  </si>
  <si>
    <t>W 21 C363p 1882F</t>
  </si>
  <si>
    <t>0                      W  0021000C  363p        1882F</t>
  </si>
  <si>
    <t>The physician himself : and what he should add to his scientific acquirements / by D. W. Cathell.</t>
  </si>
  <si>
    <t>Cathell, D. W. (Daniel Webster), 1839-1925.</t>
  </si>
  <si>
    <t>-- New York : Arno Press, 1972.</t>
  </si>
  <si>
    <t>Medicine &amp; society in America</t>
  </si>
  <si>
    <t>1990-01-17</t>
  </si>
  <si>
    <t>3686656:eng</t>
  </si>
  <si>
    <t>340277</t>
  </si>
  <si>
    <t>991001176979702656</t>
  </si>
  <si>
    <t>2262547180002656</t>
  </si>
  <si>
    <t>9780405039416</t>
  </si>
  <si>
    <t>30001000308157</t>
  </si>
  <si>
    <t>893148943</t>
  </si>
  <si>
    <t>W 21 C676n 1968</t>
  </si>
  <si>
    <t>0                      W  0021000C  676n        1968</t>
  </si>
  <si>
    <t>Negroes for medicine; report of a Macy conference. Edited by Lee Cogan.</t>
  </si>
  <si>
    <t>Macy Conference on Negroes for Medicine (1967 : Fort Lauderdale, Fla.)</t>
  </si>
  <si>
    <t>Baltimore : Published for the Josiah Macy, Jr., Foundation by the Johns Hopkins Press, c1968</t>
  </si>
  <si>
    <t>1995-09-18</t>
  </si>
  <si>
    <t>1125473:eng</t>
  </si>
  <si>
    <t>2197</t>
  </si>
  <si>
    <t>991001176739702656</t>
  </si>
  <si>
    <t>2262713750002656</t>
  </si>
  <si>
    <t>30001000308124</t>
  </si>
  <si>
    <t>893278838</t>
  </si>
  <si>
    <t>W21 D68a 1998</t>
  </si>
  <si>
    <t>0                      W  0021000D  68a         1998</t>
  </si>
  <si>
    <t>Assessing your career options : a workbook for taking charge of change / by Donald L. Double.</t>
  </si>
  <si>
    <t>Double, Don L.</t>
  </si>
  <si>
    <t>Chicago, Ill. : American Medical Association, c1998.</t>
  </si>
  <si>
    <t>2002-07-08</t>
  </si>
  <si>
    <t>652741:eng</t>
  </si>
  <si>
    <t>39650737</t>
  </si>
  <si>
    <t>991000323719702656</t>
  </si>
  <si>
    <t>2267568710002656</t>
  </si>
  <si>
    <t>9780899708874</t>
  </si>
  <si>
    <t>30001004443109</t>
  </si>
  <si>
    <t>893136742</t>
  </si>
  <si>
    <t>W 21 F862p 1970</t>
  </si>
  <si>
    <t>0                      W  0021000F  862p        1970</t>
  </si>
  <si>
    <t>Profession of medicine : a study of the sociology of applied knowledge / Eliot Freidson.</t>
  </si>
  <si>
    <t>New York : Dodd, Mead, c1970.</t>
  </si>
  <si>
    <t>2002-04-08</t>
  </si>
  <si>
    <t>47543200:eng</t>
  </si>
  <si>
    <t>73764</t>
  </si>
  <si>
    <t>991001176709702656</t>
  </si>
  <si>
    <t>2269984280002656</t>
  </si>
  <si>
    <t>30001000308116</t>
  </si>
  <si>
    <t>893268181</t>
  </si>
  <si>
    <t>W 21 G788 1972</t>
  </si>
  <si>
    <t>0                      W  0021000G  788         1972</t>
  </si>
  <si>
    <t>The Greater medical profession : report of a symposium sponsored jointly by the Royal Society of Medicine and the Josiah Macy, Jr. Foundation.</t>
  </si>
  <si>
    <t>New York : Josiah Macy, Jr. Foundation, c1973.</t>
  </si>
  <si>
    <t>1996-04-29</t>
  </si>
  <si>
    <t>1813500:eng</t>
  </si>
  <si>
    <t>695839</t>
  </si>
  <si>
    <t>991001176649702656</t>
  </si>
  <si>
    <t>2267878720002656</t>
  </si>
  <si>
    <t>30001000308108</t>
  </si>
  <si>
    <t>893268180</t>
  </si>
  <si>
    <t>W 21 G819f 1967</t>
  </si>
  <si>
    <t>0                      W  0021000G  819f        1967</t>
  </si>
  <si>
    <t>For future doctors / by Alan Gregg.</t>
  </si>
  <si>
    <t>Gregg, Alan, 1890-1957.</t>
  </si>
  <si>
    <t>Chicago : Univ. of Chicago Press, 1963, c1957.</t>
  </si>
  <si>
    <t>2001-03-06</t>
  </si>
  <si>
    <t>7625854:eng</t>
  </si>
  <si>
    <t>3074944</t>
  </si>
  <si>
    <t>991001176539702656</t>
  </si>
  <si>
    <t>2266369040002656</t>
  </si>
  <si>
    <t>30001000308074</t>
  </si>
  <si>
    <t>893816170</t>
  </si>
  <si>
    <t>W21 H292c 2006</t>
  </si>
  <si>
    <t>0                      W  0021000H  292c        2006</t>
  </si>
  <si>
    <t>Career development for health professionals : success in school and on the job / Lee Haroun.</t>
  </si>
  <si>
    <t>Haroun, Lee.</t>
  </si>
  <si>
    <t>St. Louis, Mo. : Saunders Elsevier, c2006.</t>
  </si>
  <si>
    <t>2008-08-27</t>
  </si>
  <si>
    <t>2005-11-01</t>
  </si>
  <si>
    <t>36273251:eng</t>
  </si>
  <si>
    <t>61432386</t>
  </si>
  <si>
    <t>991000447099702656</t>
  </si>
  <si>
    <t>2259806700002656</t>
  </si>
  <si>
    <t>9780721606095</t>
  </si>
  <si>
    <t>30001004914083</t>
  </si>
  <si>
    <t>893822181</t>
  </si>
  <si>
    <t>W 21 H4316 1986</t>
  </si>
  <si>
    <t>0                      W  0021000H  4316        1986</t>
  </si>
  <si>
    <t>Heal thyself : the health of health care professionals / edited by Cynthia D. Scott and Joann Hawk.</t>
  </si>
  <si>
    <t>New York : Brunner/Mazel, c1986.</t>
  </si>
  <si>
    <t>2000-03-27</t>
  </si>
  <si>
    <t>903512814:eng</t>
  </si>
  <si>
    <t>12978495</t>
  </si>
  <si>
    <t>991001176239702656</t>
  </si>
  <si>
    <t>2271676450002656</t>
  </si>
  <si>
    <t>9780876304068</t>
  </si>
  <si>
    <t>30001000308033</t>
  </si>
  <si>
    <t>893284521</t>
  </si>
  <si>
    <t>W 21 H645h 1985</t>
  </si>
  <si>
    <t>0                      W  0021000H  645h        1985</t>
  </si>
  <si>
    <t>Healing the wounds : a physician looks at his work / David Hilfiker.</t>
  </si>
  <si>
    <t>Hilfiker, David.</t>
  </si>
  <si>
    <t>New York : Pantheon Books, c1985.</t>
  </si>
  <si>
    <t>2003-02-12</t>
  </si>
  <si>
    <t>4730789:eng</t>
  </si>
  <si>
    <t>12083021</t>
  </si>
  <si>
    <t>991001176279702656</t>
  </si>
  <si>
    <t>2264989750002656</t>
  </si>
  <si>
    <t>9780394542836</t>
  </si>
  <si>
    <t>30001000308058</t>
  </si>
  <si>
    <t>893148942</t>
  </si>
  <si>
    <t>W 21 I347 1998</t>
  </si>
  <si>
    <t>0                      W  0021000I  347         1998</t>
  </si>
  <si>
    <t>In search of physician leadership / [edited by] Barbara LeTourneau, Wesley Curry.</t>
  </si>
  <si>
    <t>Chicago, Ill. : Health Administration Press, c1998.</t>
  </si>
  <si>
    <t>353253468:eng</t>
  </si>
  <si>
    <t>38562275</t>
  </si>
  <si>
    <t>991000396539702656</t>
  </si>
  <si>
    <t>2265802880002656</t>
  </si>
  <si>
    <t>9781567930825</t>
  </si>
  <si>
    <t>30001004979094</t>
  </si>
  <si>
    <t>893452085</t>
  </si>
  <si>
    <t>W 21 I61 1980</t>
  </si>
  <si>
    <t>0                      W  0021000I  61          1980</t>
  </si>
  <si>
    <t>Introduction to health professions / edited by Anne S. Allen.</t>
  </si>
  <si>
    <t>Saint Louis : Mosby, 1980.</t>
  </si>
  <si>
    <t>3d ed.</t>
  </si>
  <si>
    <t>54075442:eng</t>
  </si>
  <si>
    <t>5726968</t>
  </si>
  <si>
    <t>991001176019702656</t>
  </si>
  <si>
    <t>2263299840002656</t>
  </si>
  <si>
    <t>9780801601132</t>
  </si>
  <si>
    <t>30001000308017</t>
  </si>
  <si>
    <t>893358303</t>
  </si>
  <si>
    <t>W 21 L864w 1968</t>
  </si>
  <si>
    <t>0                      W  0021000L  864w        1968</t>
  </si>
  <si>
    <t>Women in medicine / by Carol Lopate.</t>
  </si>
  <si>
    <t>Lopate, Carol.</t>
  </si>
  <si>
    <t>Baltimore : Johns Hopkins Press, c1968.</t>
  </si>
  <si>
    <t>1998-10-31</t>
  </si>
  <si>
    <t>451374:eng</t>
  </si>
  <si>
    <t>293581</t>
  </si>
  <si>
    <t>991001175979702656</t>
  </si>
  <si>
    <t>2266602430002656</t>
  </si>
  <si>
    <t>30001000307993</t>
  </si>
  <si>
    <t>893369173</t>
  </si>
  <si>
    <t>W 21 L865w 1984</t>
  </si>
  <si>
    <t>0                      W  0021000L  865w        1984</t>
  </si>
  <si>
    <t>Women physicians : careers, status, and power / Judith Lorber.</t>
  </si>
  <si>
    <t>Lorber, Judith.</t>
  </si>
  <si>
    <t>New York : Tavistock Publications, c1984.</t>
  </si>
  <si>
    <t>287348655:eng</t>
  </si>
  <si>
    <t>11158789</t>
  </si>
  <si>
    <t>991001175849702656</t>
  </si>
  <si>
    <t>2256660020002656</t>
  </si>
  <si>
    <t>9780422790406</t>
  </si>
  <si>
    <t>30001000307985</t>
  </si>
  <si>
    <t>893546426</t>
  </si>
  <si>
    <t>W 21 M487 1977</t>
  </si>
  <si>
    <t>0                      W  0021000M  487         1977</t>
  </si>
  <si>
    <t>Medical peer review : theory and practice / edited by Paul Y. Ertel, M. Gene Aldridge.</t>
  </si>
  <si>
    <t>-- St. Louis : Mosby, 1977.</t>
  </si>
  <si>
    <t>2006-07-25</t>
  </si>
  <si>
    <t>7117296:eng</t>
  </si>
  <si>
    <t>3016744</t>
  </si>
  <si>
    <t>991001175769702656</t>
  </si>
  <si>
    <t>2271451400002656</t>
  </si>
  <si>
    <t>9780801615337</t>
  </si>
  <si>
    <t>30001000307969</t>
  </si>
  <si>
    <t>893268179</t>
  </si>
  <si>
    <t>W 21 M849e</t>
  </si>
  <si>
    <t>0                      W  0021000M  849e</t>
  </si>
  <si>
    <t>Evaluating clinical competence in the health professions / Margaret K. Morgan, David M. Irby.</t>
  </si>
  <si>
    <t>Morgan, Margaret K.</t>
  </si>
  <si>
    <t>-- St Louis : Mosby, 1978.</t>
  </si>
  <si>
    <t>2000-02-14</t>
  </si>
  <si>
    <t>11382937:eng</t>
  </si>
  <si>
    <t>3542630</t>
  </si>
  <si>
    <t>991001175739702656</t>
  </si>
  <si>
    <t>2264811840002656</t>
  </si>
  <si>
    <t>9780801634932</t>
  </si>
  <si>
    <t>30001000307951</t>
  </si>
  <si>
    <t>893284519</t>
  </si>
  <si>
    <t>W 21 N273t 1990</t>
  </si>
  <si>
    <t>0                      W  0021000N  273t        1990</t>
  </si>
  <si>
    <t>Tomorrow's doctors : the path to successful practice in the 1990s / Benjamin H. Natelson.</t>
  </si>
  <si>
    <t>Natelson, Benjamin H.</t>
  </si>
  <si>
    <t>New York : Plenum Press, c1990.</t>
  </si>
  <si>
    <t>1990-09-07</t>
  </si>
  <si>
    <t>22664627:eng</t>
  </si>
  <si>
    <t>20690297</t>
  </si>
  <si>
    <t>991001454559702656</t>
  </si>
  <si>
    <t>2267723980002656</t>
  </si>
  <si>
    <t>9780306431951</t>
  </si>
  <si>
    <t>30001001884545</t>
  </si>
  <si>
    <t>893816432</t>
  </si>
  <si>
    <t>W 21 N277 1990</t>
  </si>
  <si>
    <t>0                      W  0021000N  277         1990</t>
  </si>
  <si>
    <t>The National Board of Medical Examiners : 75th anniversary in service to medicine : a special review / with commentary by Kenneth I. Berns ... [et al.] ; edited by Kenneth E. Cotton, Judith L. Lawley.</t>
  </si>
  <si>
    <t>Philadelphia : The Board, 1990.</t>
  </si>
  <si>
    <t>1990-06-08</t>
  </si>
  <si>
    <t>55356593:eng</t>
  </si>
  <si>
    <t>25677258</t>
  </si>
  <si>
    <t>991001449079702656</t>
  </si>
  <si>
    <t>2254883210002656</t>
  </si>
  <si>
    <t>30001001882200</t>
  </si>
  <si>
    <t>893552512</t>
  </si>
  <si>
    <t>W 21 R539o 1983</t>
  </si>
  <si>
    <t>0                      W  0021000R  539o        1983</t>
  </si>
  <si>
    <t>The official M.D. handbook / by Anne Eva Ricks ; artwork by Jon McIntosh ; [photography by Chas. E. Martin].</t>
  </si>
  <si>
    <t>Ricks, Anne Eva.</t>
  </si>
  <si>
    <t>New York : New American Library, c1983.</t>
  </si>
  <si>
    <t>1995-03-28</t>
  </si>
  <si>
    <t>43163697:eng</t>
  </si>
  <si>
    <t>9621330</t>
  </si>
  <si>
    <t>991001175809702656</t>
  </si>
  <si>
    <t>2269196680002656</t>
  </si>
  <si>
    <t>9780452254381</t>
  </si>
  <si>
    <t>30001000307977</t>
  </si>
  <si>
    <t>893284520</t>
  </si>
  <si>
    <t>W 21 R745 1978</t>
  </si>
  <si>
    <t>0                      W  0021000R  745         1978</t>
  </si>
  <si>
    <t>Role theory : perspectives for health professionals / Margaret E. Hardy, Mary E. Conway.</t>
  </si>
  <si>
    <t>-- New York : Appleton-Century-Crofts, c1978.</t>
  </si>
  <si>
    <t>1991-08-14</t>
  </si>
  <si>
    <t>197434964:eng</t>
  </si>
  <si>
    <t>4194084</t>
  </si>
  <si>
    <t>991000753599702656</t>
  </si>
  <si>
    <t>2262447300002656</t>
  </si>
  <si>
    <t>9780838584712</t>
  </si>
  <si>
    <t>30001000051542</t>
  </si>
  <si>
    <t>893540413</t>
  </si>
  <si>
    <t>W 21 S428p 1999</t>
  </si>
  <si>
    <t>0                      W  0021000S  428p        1999</t>
  </si>
  <si>
    <t>Planning for a successful career transition : the physician's guide to managing career change.</t>
  </si>
  <si>
    <t>Scott, Mike.</t>
  </si>
  <si>
    <t>Chicago, Ill. : American Medical Association, c1999.</t>
  </si>
  <si>
    <t>2008-01-07</t>
  </si>
  <si>
    <t>2000-04-04</t>
  </si>
  <si>
    <t>476376611:eng</t>
  </si>
  <si>
    <t>42683322</t>
  </si>
  <si>
    <t>991001407169702656</t>
  </si>
  <si>
    <t>2263602510002656</t>
  </si>
  <si>
    <t>9780899709802</t>
  </si>
  <si>
    <t>30001003824291</t>
  </si>
  <si>
    <t>893161946</t>
  </si>
  <si>
    <t>W 21 T475m 1996</t>
  </si>
  <si>
    <t>0                      W  0021000T  475m        1996</t>
  </si>
  <si>
    <t>The medical staff leaders' practical guide : the resource library for medical staff leaders / by Richard E. Thompson</t>
  </si>
  <si>
    <t>Thompson, Richard E., 1934-</t>
  </si>
  <si>
    <t>Marblehead, MA : Opus Communications, c1996.</t>
  </si>
  <si>
    <t>1997-09-05</t>
  </si>
  <si>
    <t>2057665:eng</t>
  </si>
  <si>
    <t>34795636</t>
  </si>
  <si>
    <t>991001560929702656</t>
  </si>
  <si>
    <t>2257602560002656</t>
  </si>
  <si>
    <t>9781885829283</t>
  </si>
  <si>
    <t>30001003680404</t>
  </si>
  <si>
    <t>893638449</t>
  </si>
  <si>
    <t>W 21 T867d 1951</t>
  </si>
  <si>
    <t>0                      W  0021000T  867d        1951</t>
  </si>
  <si>
    <t>The doctor, his career, his business, his human relations / Stanley R. Truman.</t>
  </si>
  <si>
    <t>Truman, Stanley, 1903-</t>
  </si>
  <si>
    <t>Baltimore : Williams &amp; Wilkins, c1951.</t>
  </si>
  <si>
    <t>1951</t>
  </si>
  <si>
    <t>60779814:eng</t>
  </si>
  <si>
    <t>3162389</t>
  </si>
  <si>
    <t>991001178799702656</t>
  </si>
  <si>
    <t>2259986740002656</t>
  </si>
  <si>
    <t>30001000308546</t>
  </si>
  <si>
    <t>893557670</t>
  </si>
  <si>
    <t>W 21 U58 1996</t>
  </si>
  <si>
    <t>0                      W  0021000U  58          1996</t>
  </si>
  <si>
    <t>The U.S. health workforce : power, politics, and policy / Marian Osterweis ... [et al.], editors.</t>
  </si>
  <si>
    <t>Washington, DC : Association of Academic Health Centers, c1996.</t>
  </si>
  <si>
    <t>1996-11-03</t>
  </si>
  <si>
    <t>1996-04-11</t>
  </si>
  <si>
    <t>39396843:eng</t>
  </si>
  <si>
    <t>33983438</t>
  </si>
  <si>
    <t>991001506009702656</t>
  </si>
  <si>
    <t>2262002980002656</t>
  </si>
  <si>
    <t>9781879694118</t>
  </si>
  <si>
    <t>30001003264399</t>
  </si>
  <si>
    <t>893834700</t>
  </si>
  <si>
    <t>W 21 V624d 1991</t>
  </si>
  <si>
    <t>0                      W  0021000V  624d        1991</t>
  </si>
  <si>
    <t>The Doctor watchers / Spencer Vibbert.</t>
  </si>
  <si>
    <t>Vibbert, Spencer.</t>
  </si>
  <si>
    <t>Knoxville, Tenn. : Whittle Direct Books, c1991.</t>
  </si>
  <si>
    <t>Grand rounds press</t>
  </si>
  <si>
    <t>1992-01-30</t>
  </si>
  <si>
    <t>25535030:eng</t>
  </si>
  <si>
    <t>23446117</t>
  </si>
  <si>
    <t>991001030839702656</t>
  </si>
  <si>
    <t>2255098130002656</t>
  </si>
  <si>
    <t>9780962474583</t>
  </si>
  <si>
    <t>30001002243709</t>
  </si>
  <si>
    <t>893546317</t>
  </si>
  <si>
    <t>W 21 W567 1987</t>
  </si>
  <si>
    <t>0                      W  0021000W  567         1987</t>
  </si>
  <si>
    <t>When doctors get sick / [edited by] Harvey N. Mandell and Howard M. Spiro.</t>
  </si>
  <si>
    <t>New York : Plenum Medical Book Co., c1987.</t>
  </si>
  <si>
    <t>2003-08-07</t>
  </si>
  <si>
    <t>1987-12-09</t>
  </si>
  <si>
    <t>499440912:eng</t>
  </si>
  <si>
    <t>15789505</t>
  </si>
  <si>
    <t>991001533499702656</t>
  </si>
  <si>
    <t>2265596350002656</t>
  </si>
  <si>
    <t>9780306426537</t>
  </si>
  <si>
    <t>30001000622227</t>
  </si>
  <si>
    <t>893455910</t>
  </si>
  <si>
    <t>W 21 Y17 2003</t>
  </si>
  <si>
    <t>0                      W  0021000Y  17          2003</t>
  </si>
  <si>
    <t>The Yale guide to careers in medicine &amp; the health professions : pathways to medicine in the twenty-first century / edited by Robert M. Donaldson, Kathleen S. Lundgren, Howard M. Spiro.</t>
  </si>
  <si>
    <t>New Haven : Yale University Press, c2003.</t>
  </si>
  <si>
    <t>Yale ISPS series</t>
  </si>
  <si>
    <t>2007-02-25</t>
  </si>
  <si>
    <t>2004-09-16</t>
  </si>
  <si>
    <t>2865897973:eng</t>
  </si>
  <si>
    <t>50155637</t>
  </si>
  <si>
    <t>991000391609702656</t>
  </si>
  <si>
    <t>2268857590002656</t>
  </si>
  <si>
    <t>9780300095425</t>
  </si>
  <si>
    <t>30001004977379</t>
  </si>
  <si>
    <t>893832789</t>
  </si>
  <si>
    <t>W21 Y45p 1998</t>
  </si>
  <si>
    <t>0                      W  0021000Y  45p         1998</t>
  </si>
  <si>
    <t>The physician's resume and cover letter workbook / [Sharon L. Yenney].</t>
  </si>
  <si>
    <t>Yenney, Sharon.</t>
  </si>
  <si>
    <t>2006-08-21</t>
  </si>
  <si>
    <t>2002-07-09</t>
  </si>
  <si>
    <t>652745:eng</t>
  </si>
  <si>
    <t>44425695</t>
  </si>
  <si>
    <t>991000324399702656</t>
  </si>
  <si>
    <t>22101747550002656</t>
  </si>
  <si>
    <t>9780899708881</t>
  </si>
  <si>
    <t>30001004442713</t>
  </si>
  <si>
    <t>893644238</t>
  </si>
  <si>
    <t>W21.5 K27m 2003</t>
  </si>
  <si>
    <t>0                      W  0021500K  27m         2003</t>
  </si>
  <si>
    <t>Medical assisting : administrative and clinical competencies / Lucille Keir, Barbara A. Wise, Connie Krebs.</t>
  </si>
  <si>
    <t>Keir, Lucille.</t>
  </si>
  <si>
    <t>Clifton Park, NY : Thomson/Delmar Learning, c2003.</t>
  </si>
  <si>
    <t>2003-02-03</t>
  </si>
  <si>
    <t>1047903:eng</t>
  </si>
  <si>
    <t>49526883</t>
  </si>
  <si>
    <t>991000338639702656</t>
  </si>
  <si>
    <t>2272673130002656</t>
  </si>
  <si>
    <t>9780766841468</t>
  </si>
  <si>
    <t>30001004501658</t>
  </si>
  <si>
    <t>893269367</t>
  </si>
  <si>
    <t>W 21.5 L473h 1987</t>
  </si>
  <si>
    <t>0                      W  0021500L  473h        1987</t>
  </si>
  <si>
    <t>Health career planning : a realistic guide / by Ellen Lederman.</t>
  </si>
  <si>
    <t>Lederman, Ellen F.</t>
  </si>
  <si>
    <t>New York, N.Y. : Human Sciences Press, c1987.</t>
  </si>
  <si>
    <t>1996-02-28</t>
  </si>
  <si>
    <t>1988-07-07</t>
  </si>
  <si>
    <t>12296185:eng</t>
  </si>
  <si>
    <t>16276388</t>
  </si>
  <si>
    <t>991001418369702656</t>
  </si>
  <si>
    <t>2262018830002656</t>
  </si>
  <si>
    <t>9780898853971</t>
  </si>
  <si>
    <t>30001001181439</t>
  </si>
  <si>
    <t>893743774</t>
  </si>
  <si>
    <t>W 21.5 M654u 1998</t>
  </si>
  <si>
    <t>0                      W  0021500M  654u        1998</t>
  </si>
  <si>
    <t>Understanding human behavior : a guide for health care providers / Mary Elizabeth Milliken.</t>
  </si>
  <si>
    <t>Milliken, Mary Elizabeth.</t>
  </si>
  <si>
    <t>Albany : Delmar, c1998.</t>
  </si>
  <si>
    <t>1999-08-19</t>
  </si>
  <si>
    <t>1997-10-14</t>
  </si>
  <si>
    <t>755852:eng</t>
  </si>
  <si>
    <t>36768438</t>
  </si>
  <si>
    <t>991001140039702656</t>
  </si>
  <si>
    <t>2261682290002656</t>
  </si>
  <si>
    <t>9780827382213</t>
  </si>
  <si>
    <t>30001003629328</t>
  </si>
  <si>
    <t>893148894</t>
  </si>
  <si>
    <t>W 21.5 N362a 1991</t>
  </si>
  <si>
    <t>0                      W  0021500N  362a        1991</t>
  </si>
  <si>
    <t>Nebraska health manpower reports : speech pathologists - 1991, audiologists - 1991, hearing aid instrument dispensers &amp; fitters - 1991 / prepared by the Nebraska Department of Health, Division of Health Data Systems with the cooperation of the Bureau of Examining Boards ; Mark B. Horton, Director of Health.</t>
  </si>
  <si>
    <t>Lincoln : Nebraska Dept. of Health, c1991.</t>
  </si>
  <si>
    <t>nbu</t>
  </si>
  <si>
    <t>Nebraska health manpower reports</t>
  </si>
  <si>
    <t>476277395:eng</t>
  </si>
  <si>
    <t>24927153</t>
  </si>
  <si>
    <t>991001026959702656</t>
  </si>
  <si>
    <t>2264157150002656</t>
  </si>
  <si>
    <t>30001002242909</t>
  </si>
  <si>
    <t>893134194</t>
  </si>
  <si>
    <t>W 21.5 N362d 1987/90</t>
  </si>
  <si>
    <t>0                      W  0021500N  362d        1987                                        90</t>
  </si>
  <si>
    <t>Nebraska health manpower reports : dentists 1989, dental hygenists 1987, pharmacists 1990 / prepared by Nebraska Department of Health, Division of Health Data Systems with the cooperation of the Bureau of Examining Boards ; Gregg F. Wright, Director of Health.</t>
  </si>
  <si>
    <t>Lincoln : Nebraska Dept. of Health, Division of Health Data Systems, 1990.</t>
  </si>
  <si>
    <t>1992-07-29</t>
  </si>
  <si>
    <t>1990-11-05</t>
  </si>
  <si>
    <t>5610484321:eng</t>
  </si>
  <si>
    <t>23077866</t>
  </si>
  <si>
    <t>991000777909702656</t>
  </si>
  <si>
    <t>2261334730002656</t>
  </si>
  <si>
    <t>30001002063552</t>
  </si>
  <si>
    <t>893368518</t>
  </si>
  <si>
    <t>W 21.5 N362d 1991</t>
  </si>
  <si>
    <t>0                      W  0021500N  362d        1991</t>
  </si>
  <si>
    <t>Nebraska health manpower reports : dentists - 1991, dental hygienists - 1991 / prepared by Nebraska Department of Health, Division of Health Data Systems with the cooperation of the The Bureau of Examining Boards ; Mark B. Horton, Director of Health.</t>
  </si>
  <si>
    <t>Lincoln : Nebraska Dept. of Health, Division of Health Data Systems, 1991.</t>
  </si>
  <si>
    <t>476277385:eng</t>
  </si>
  <si>
    <t>24927143</t>
  </si>
  <si>
    <t>991001027019702656</t>
  </si>
  <si>
    <t>2264159580002656</t>
  </si>
  <si>
    <t>30001002242925</t>
  </si>
  <si>
    <t>893546315</t>
  </si>
  <si>
    <t>W 21.5 N362n 1993</t>
  </si>
  <si>
    <t>0                      W  0021500N  362n        1993</t>
  </si>
  <si>
    <t>NPA membership directory / Nebraska Psychological Association Inc.</t>
  </si>
  <si>
    <t>Nebraska Psychological Association.</t>
  </si>
  <si>
    <t>[Lincoln, NE : The Association, 1993]</t>
  </si>
  <si>
    <t>1993-09-23</t>
  </si>
  <si>
    <t>31068230:eng</t>
  </si>
  <si>
    <t>28913572</t>
  </si>
  <si>
    <t>991001514459702656</t>
  </si>
  <si>
    <t>2271325320002656</t>
  </si>
  <si>
    <t>30001002601575</t>
  </si>
  <si>
    <t>893633157</t>
  </si>
  <si>
    <t>W 21.5 N362ph 1990</t>
  </si>
  <si>
    <t>0                      W  0021500N  362ph       1990</t>
  </si>
  <si>
    <t>Nebraska health manpower reports : physical therapists 1989, veterinarians 1988, animal technicians 1990, optometrists 1990, chiropractors 1988, podiatrists 1990, hearing aid dealers &amp; fitters 1986 / prepared by Nebraska Department of Health, Division of Health Data Systems with the cooperation of The Bureau of Examining Boards ; Gregg F. Wright, Director of Health.</t>
  </si>
  <si>
    <t>Lincoln : Nebraska Dept. of Health, 1990.</t>
  </si>
  <si>
    <t>1996-02-19</t>
  </si>
  <si>
    <t>1990-12-12</t>
  </si>
  <si>
    <t>476128377:eng</t>
  </si>
  <si>
    <t>23077874</t>
  </si>
  <si>
    <t>991000812099702656</t>
  </si>
  <si>
    <t>2261334960002656</t>
  </si>
  <si>
    <t>30001002085043</t>
  </si>
  <si>
    <t>893637484</t>
  </si>
  <si>
    <t>W 21.5 P986a 1984</t>
  </si>
  <si>
    <t>0                      W  0021500P  986a        1984</t>
  </si>
  <si>
    <t>Health professional/patient interaction / Ruth Purtilo.</t>
  </si>
  <si>
    <t>Purtilo, Ruth B.</t>
  </si>
  <si>
    <t>Philadelphia : Saunders, c1984.</t>
  </si>
  <si>
    <t>2003-03-25</t>
  </si>
  <si>
    <t>3755521288:eng</t>
  </si>
  <si>
    <t>10100733</t>
  </si>
  <si>
    <t>991001178069702656</t>
  </si>
  <si>
    <t>2256157090002656</t>
  </si>
  <si>
    <t>9780721611150</t>
  </si>
  <si>
    <t>30001000308389</t>
  </si>
  <si>
    <t>893284525</t>
  </si>
  <si>
    <t>W 21.5 P986a 1990</t>
  </si>
  <si>
    <t>0                      W  0021500P  986a        1990</t>
  </si>
  <si>
    <t>Health professional and patient interaction / Ruth Purtilo.</t>
  </si>
  <si>
    <t>Philadelphia : Saunders, c1990.</t>
  </si>
  <si>
    <t>2001-10-08</t>
  </si>
  <si>
    <t>1991-09-26</t>
  </si>
  <si>
    <t>22535528:eng</t>
  </si>
  <si>
    <t>20932127</t>
  </si>
  <si>
    <t>991001017719702656</t>
  </si>
  <si>
    <t>2266340190002656</t>
  </si>
  <si>
    <t>9780721673967</t>
  </si>
  <si>
    <t>30001002240994</t>
  </si>
  <si>
    <t>893637942</t>
  </si>
  <si>
    <t>W 21.5 P986a 1996</t>
  </si>
  <si>
    <t>0                      W  0021500P  986a        1996</t>
  </si>
  <si>
    <t>Health professional and patient interaction / Ruth Purtilo, Amy Haddad.</t>
  </si>
  <si>
    <t>Philadelphia : Saunders, c1996.</t>
  </si>
  <si>
    <t>2005-11-18</t>
  </si>
  <si>
    <t>1996-04-30</t>
  </si>
  <si>
    <t>32823846</t>
  </si>
  <si>
    <t>991001506509702656</t>
  </si>
  <si>
    <t>2261974180002656</t>
  </si>
  <si>
    <t>9780721660486</t>
  </si>
  <si>
    <t>30001003264621</t>
  </si>
  <si>
    <t>893134653</t>
  </si>
  <si>
    <t>W21.5 P986a 2002</t>
  </si>
  <si>
    <t>0                      W  0021500P  986a        2002</t>
  </si>
  <si>
    <t>Philadelphia, Pa. : Saunders, c2002.</t>
  </si>
  <si>
    <t>2005-09-14</t>
  </si>
  <si>
    <t>2002-04-16</t>
  </si>
  <si>
    <t>48494806</t>
  </si>
  <si>
    <t>991000307779702656</t>
  </si>
  <si>
    <t>22101747540002656</t>
  </si>
  <si>
    <t>9780721692975</t>
  </si>
  <si>
    <t>30001004237246</t>
  </si>
  <si>
    <t>893737215</t>
  </si>
  <si>
    <t>W 21.5 S296p 1987</t>
  </si>
  <si>
    <t>0                      W  0021500S  296p        1987</t>
  </si>
  <si>
    <t>The physician assistant in a changing health care environment / Gretchen Engle Schafft, James F. Cawley.</t>
  </si>
  <si>
    <t>Schafft, Gretchen Engle.</t>
  </si>
  <si>
    <t>Rockville, Md. : Aspen Publishers, c1987.</t>
  </si>
  <si>
    <t>1998-03-16</t>
  </si>
  <si>
    <t>11914775:eng</t>
  </si>
  <si>
    <t>16354589</t>
  </si>
  <si>
    <t>991001189029702656</t>
  </si>
  <si>
    <t>2263586150002656</t>
  </si>
  <si>
    <t>9780871898708</t>
  </si>
  <si>
    <t>30001000978843</t>
  </si>
  <si>
    <t>893161753</t>
  </si>
  <si>
    <t>W 21.5 S458c 1982</t>
  </si>
  <si>
    <t>0                      W  0021500S  458c        1982</t>
  </si>
  <si>
    <t>Careers in health services / Diane Seide.</t>
  </si>
  <si>
    <t>Seide, Diane.</t>
  </si>
  <si>
    <t>New York : Lodestar Books, c1982.</t>
  </si>
  <si>
    <t>[Rev. and updated ed.].</t>
  </si>
  <si>
    <t>10248701636:eng</t>
  </si>
  <si>
    <t>8111080</t>
  </si>
  <si>
    <t>991001177829702656</t>
  </si>
  <si>
    <t>2255961450002656</t>
  </si>
  <si>
    <t>9780525667681</t>
  </si>
  <si>
    <t>30001000308348</t>
  </si>
  <si>
    <t>893821023</t>
  </si>
  <si>
    <t>W 21.5 V394c 1997</t>
  </si>
  <si>
    <t>0                      W  0021500V  394c        1997</t>
  </si>
  <si>
    <t>Case studies in allied health ethics / Robert M. Veatch, Harley E. Flack.</t>
  </si>
  <si>
    <t>Veatch, Robert M.</t>
  </si>
  <si>
    <t>Upper Saddle River, NJ : Prentice Hall, c1997.</t>
  </si>
  <si>
    <t>2006-11-26</t>
  </si>
  <si>
    <t>1997-10-10</t>
  </si>
  <si>
    <t>39017458:eng</t>
  </si>
  <si>
    <t>34114036</t>
  </si>
  <si>
    <t>991001138629702656</t>
  </si>
  <si>
    <t>2272773000002656</t>
  </si>
  <si>
    <t>9780835949958</t>
  </si>
  <si>
    <t>30001003628262</t>
  </si>
  <si>
    <t>893541048</t>
  </si>
  <si>
    <t>W 22 AA1 C762 1992-93</t>
  </si>
  <si>
    <t>0                      W  0022000AA 1                  C  762         1992                  -93</t>
  </si>
  <si>
    <t>Continuing medical education directory, 1992-1993 / American Medical Association.</t>
  </si>
  <si>
    <t>Chicago : American Medical Association, c1992.</t>
  </si>
  <si>
    <t>1992-10-07</t>
  </si>
  <si>
    <t>1992-09-30</t>
  </si>
  <si>
    <t>29235540:eng</t>
  </si>
  <si>
    <t>26706956</t>
  </si>
  <si>
    <t>991001306469702656</t>
  </si>
  <si>
    <t>2268306620002656</t>
  </si>
  <si>
    <t>9780899705057</t>
  </si>
  <si>
    <t>30001002413948</t>
  </si>
  <si>
    <t>893740982</t>
  </si>
  <si>
    <t>W 22 AA1 D5986 1994</t>
  </si>
  <si>
    <t>0                      W  0022000AA 1                  D  5986        1994</t>
  </si>
  <si>
    <t>Directory of biomedical and health care grants, 1994.</t>
  </si>
  <si>
    <t>Phoenix, Ariz. : Oryx Press, c1993.</t>
  </si>
  <si>
    <t>8th ed.</t>
  </si>
  <si>
    <t>azu</t>
  </si>
  <si>
    <t>1993-10-14</t>
  </si>
  <si>
    <t>1993-10-07</t>
  </si>
  <si>
    <t>2884118:eng</t>
  </si>
  <si>
    <t>29177943</t>
  </si>
  <si>
    <t>991001486739702656</t>
  </si>
  <si>
    <t>2265284890002656</t>
  </si>
  <si>
    <t>9780897747684</t>
  </si>
  <si>
    <t>30001002579326</t>
  </si>
  <si>
    <t>893268556</t>
  </si>
  <si>
    <t>W 22 AA1 E56 1990</t>
  </si>
  <si>
    <t>0                      W  0022000AA 1                  E  56          1990</t>
  </si>
  <si>
    <t>Encyclopedia of medical organizations and agencies : a subject guide to more than 11,250 associations, foundations, federal and state government agencies, research centers, and medical and allied health schools / Karen Backus, editor.</t>
  </si>
  <si>
    <t>Detroit, Mich. : Gale Research Co., c1990.</t>
  </si>
  <si>
    <t>2000-03-02</t>
  </si>
  <si>
    <t>1990-09-17</t>
  </si>
  <si>
    <t>375106099:eng</t>
  </si>
  <si>
    <t>20785431</t>
  </si>
  <si>
    <t>991001454769702656</t>
  </si>
  <si>
    <t>2260438850002656</t>
  </si>
  <si>
    <t>30001001884651</t>
  </si>
  <si>
    <t>893541425</t>
  </si>
  <si>
    <t>W 22 AA1 N112b 1992</t>
  </si>
  <si>
    <t>0                      W  0022000AA 1                  N  112b        1992</t>
  </si>
  <si>
    <t>The best doctors in America / Steven Naifeh and Gregory White Smith ; Lucienne Potterfield Stec, senior editor.</t>
  </si>
  <si>
    <t>Naifeh, Steven, 1952-</t>
  </si>
  <si>
    <t>Aiken, S.C. : Woodward/White, c1992.</t>
  </si>
  <si>
    <t>scu</t>
  </si>
  <si>
    <t>1996-09-09</t>
  </si>
  <si>
    <t>1992-08-20</t>
  </si>
  <si>
    <t>28395414:eng</t>
  </si>
  <si>
    <t>25245675</t>
  </si>
  <si>
    <t>991001340289702656</t>
  </si>
  <si>
    <t>2259125260002656</t>
  </si>
  <si>
    <t>9780913391051</t>
  </si>
  <si>
    <t>30001002455378</t>
  </si>
  <si>
    <t>893643504</t>
  </si>
  <si>
    <t>W 22 AA1 S592q 1990</t>
  </si>
  <si>
    <t>0                      W  0022000AA 1                  S  592q        1990</t>
  </si>
  <si>
    <t>6892 questionable doctors disciplined by states or the federal government / Nicole Simmons, Phyllis McCarthy, Sidney Wolfe.</t>
  </si>
  <si>
    <t>Simmons, Nicole.</t>
  </si>
  <si>
    <t>Washington, D.C. : Public Citizen's Health Research Group, c1990.</t>
  </si>
  <si>
    <t>Public Citizen Health Research Group report</t>
  </si>
  <si>
    <t>1992-10-28</t>
  </si>
  <si>
    <t>1991-01-09</t>
  </si>
  <si>
    <t>5609928004:eng</t>
  </si>
  <si>
    <t>22200737</t>
  </si>
  <si>
    <t>991000828829702656</t>
  </si>
  <si>
    <t>22101747500002656</t>
  </si>
  <si>
    <t>30001002091827</t>
  </si>
  <si>
    <t>893357727</t>
  </si>
  <si>
    <t>W 22.5 N495c 1990</t>
  </si>
  <si>
    <t>0                      W  0022500N  495c        1990</t>
  </si>
  <si>
    <t>Canadian health care : the implications of public health insurance / Edward Neuschler.</t>
  </si>
  <si>
    <t>Neuschler, Edward.</t>
  </si>
  <si>
    <t>Washington, D.C. : Health Insurance Association of America, 1990.</t>
  </si>
  <si>
    <t>Research bulletin</t>
  </si>
  <si>
    <t>2000-03-16</t>
  </si>
  <si>
    <t>1990-11-30</t>
  </si>
  <si>
    <t>1020765126:eng</t>
  </si>
  <si>
    <t>22809216</t>
  </si>
  <si>
    <t>991000781579702656</t>
  </si>
  <si>
    <t>2271790570002656</t>
  </si>
  <si>
    <t>30001002064873</t>
  </si>
  <si>
    <t>893642537</t>
  </si>
  <si>
    <t>W23 B255a 2002</t>
  </si>
  <si>
    <t>0                      W  0023000B  255a        2002</t>
  </si>
  <si>
    <t>At the helm : a laboratory navigator / Kathy Barker.</t>
  </si>
  <si>
    <t>Barker, Kathy, 1953-</t>
  </si>
  <si>
    <t>Cold Spring Harbor, N.Y. : Cold Spring Harbor Laboratory Press, c2002.</t>
  </si>
  <si>
    <t>2010-06-17</t>
  </si>
  <si>
    <t>2004-02-19</t>
  </si>
  <si>
    <t>325502203:eng</t>
  </si>
  <si>
    <t>47849507</t>
  </si>
  <si>
    <t>991000366149702656</t>
  </si>
  <si>
    <t>2261126130002656</t>
  </si>
  <si>
    <t>9780879695835</t>
  </si>
  <si>
    <t>30001004509313</t>
  </si>
  <si>
    <t>893354250</t>
  </si>
  <si>
    <t>W 23 C839 1998</t>
  </si>
  <si>
    <t>0                      W  0023000C  839         1998</t>
  </si>
  <si>
    <t>Cost-effective laboratory management / editor, Paul Bozzo ; foreword by Brent C. James.</t>
  </si>
  <si>
    <t>Philadelphia : Lippincott-Reaven, c1998.</t>
  </si>
  <si>
    <t>1999-03-29</t>
  </si>
  <si>
    <t>1999-03-25</t>
  </si>
  <si>
    <t>42414138:eng</t>
  </si>
  <si>
    <t>38937488</t>
  </si>
  <si>
    <t>991000782769702656</t>
  </si>
  <si>
    <t>2268634360002656</t>
  </si>
  <si>
    <t>9780397587735</t>
  </si>
  <si>
    <t>30001004070357</t>
  </si>
  <si>
    <t>893740221</t>
  </si>
  <si>
    <t>W 26 L478e 1983</t>
  </si>
  <si>
    <t>0                      W  0026000L  478e        1983</t>
  </si>
  <si>
    <t>Elementary principles of laboratory instruments / Leslie W. Lee, L.M. Schmidt.</t>
  </si>
  <si>
    <t>Lee, Leslie W.</t>
  </si>
  <si>
    <t>St. Louis : Mosby, c1983.</t>
  </si>
  <si>
    <t>1989-03-27</t>
  </si>
  <si>
    <t>1230196:eng</t>
  </si>
  <si>
    <t>9066522</t>
  </si>
  <si>
    <t>991001179249702656</t>
  </si>
  <si>
    <t>2257906470002656</t>
  </si>
  <si>
    <t>9780801629181</t>
  </si>
  <si>
    <t>30001000308660</t>
  </si>
  <si>
    <t>893161743</t>
  </si>
  <si>
    <t>W 26 S364p 1993</t>
  </si>
  <si>
    <t>0                      W  0026000S  364p        1993</t>
  </si>
  <si>
    <t>Principles of laboratory instruments / [edited by] Larry E. Schoeff, Robert H. Williams.</t>
  </si>
  <si>
    <t>St. Louis : Mosby-Year Book, c1993.</t>
  </si>
  <si>
    <t>2009-01-07</t>
  </si>
  <si>
    <t>28818287:eng</t>
  </si>
  <si>
    <t>26214611</t>
  </si>
  <si>
    <t>991001514009702656</t>
  </si>
  <si>
    <t>2262629110002656</t>
  </si>
  <si>
    <t>9780801674891</t>
  </si>
  <si>
    <t>30001002601450</t>
  </si>
  <si>
    <t>893643655</t>
  </si>
  <si>
    <t>W26.5 A547e 2002</t>
  </si>
  <si>
    <t>0                      W  0026500A  547e        2002</t>
  </si>
  <si>
    <t>Ethics and information technology : a case-based approach to a health care system in transition / James G. Anderson, Kenneth W. Goodman.</t>
  </si>
  <si>
    <t>Anderson, James G., 1936-</t>
  </si>
  <si>
    <t>New York : Springer, c2002.</t>
  </si>
  <si>
    <t>Health informatics</t>
  </si>
  <si>
    <t>2008-04-16</t>
  </si>
  <si>
    <t>2003-03-21</t>
  </si>
  <si>
    <t>799758653:eng</t>
  </si>
  <si>
    <t>46936220</t>
  </si>
  <si>
    <t>991000341979702656</t>
  </si>
  <si>
    <t>2262509280002656</t>
  </si>
  <si>
    <t>9780387953083</t>
  </si>
  <si>
    <t>30001004503720</t>
  </si>
  <si>
    <t>893817030</t>
  </si>
  <si>
    <t>W 26.5 A549c 1992</t>
  </si>
  <si>
    <t>0                      W  0026500A  549c        1992</t>
  </si>
  <si>
    <t>Computer literacy for health care professionals / S.K. Anderson.</t>
  </si>
  <si>
    <t>Anderson, Sandra K.</t>
  </si>
  <si>
    <t>Albany, N.Y. : Delmar Publishers, c1992.</t>
  </si>
  <si>
    <t>1992-04-23</t>
  </si>
  <si>
    <t>27097099:eng</t>
  </si>
  <si>
    <t>24287803</t>
  </si>
  <si>
    <t>991001302929702656</t>
  </si>
  <si>
    <t>2269452370002656</t>
  </si>
  <si>
    <t>9780827341715</t>
  </si>
  <si>
    <t>30001002412544</t>
  </si>
  <si>
    <t>893832083</t>
  </si>
  <si>
    <t>W 26.5 B6153 2006</t>
  </si>
  <si>
    <t>0                      W  0026500B  6153        2006</t>
  </si>
  <si>
    <t>Biomedical informatics : computer applications in health care and biomedicine / Edward H. Shortliffe, editor ; James J. Cimino, associate editor.</t>
  </si>
  <si>
    <t>New York, NY : Springer, c2006.</t>
  </si>
  <si>
    <t>Health informatics series</t>
  </si>
  <si>
    <t>892003546:eng</t>
  </si>
  <si>
    <t>70204906</t>
  </si>
  <si>
    <t>991000910309702656</t>
  </si>
  <si>
    <t>2259196670002656</t>
  </si>
  <si>
    <t>9780387217215</t>
  </si>
  <si>
    <t>30001005294766</t>
  </si>
  <si>
    <t>893731526</t>
  </si>
  <si>
    <t>W 26.5 C7383 1985</t>
  </si>
  <si>
    <t>0                      W  0026500C  7383        1985</t>
  </si>
  <si>
    <t>Computer-assisted medical decision making / edited by James A. Reggia and Stanley Tuhrim.</t>
  </si>
  <si>
    <t>Computers and medicine</t>
  </si>
  <si>
    <t>1991-04-19</t>
  </si>
  <si>
    <t>5090472334:eng</t>
  </si>
  <si>
    <t>11726582</t>
  </si>
  <si>
    <t>991001181739702656</t>
  </si>
  <si>
    <t>2255501120002656</t>
  </si>
  <si>
    <t>9780387961040</t>
  </si>
  <si>
    <t>30001000309155</t>
  </si>
  <si>
    <t>893546432</t>
  </si>
  <si>
    <t>V.1</t>
  </si>
  <si>
    <t>30001000309163</t>
  </si>
  <si>
    <t>893560899</t>
  </si>
  <si>
    <t>W 26.5 D319i 1997</t>
  </si>
  <si>
    <t>0                      W  0026500D  319i        1997</t>
  </si>
  <si>
    <t>Introduction to clinical informatics / Patrice Degoulet, Marius Fieschi ; translator, Benjamin Phister.</t>
  </si>
  <si>
    <t>Degoulet, Patrice.</t>
  </si>
  <si>
    <t>New York : Springer, c1997.</t>
  </si>
  <si>
    <t>Computers in health care</t>
  </si>
  <si>
    <t>1997-04-29</t>
  </si>
  <si>
    <t>31193662:eng</t>
  </si>
  <si>
    <t>34742277</t>
  </si>
  <si>
    <t>991000840669702656</t>
  </si>
  <si>
    <t>22101747430002656</t>
  </si>
  <si>
    <t>9780387946412</t>
  </si>
  <si>
    <t>30001003444983</t>
  </si>
  <si>
    <t>893632330</t>
  </si>
  <si>
    <t>W26.5 E57h 2002</t>
  </si>
  <si>
    <t>0                      W  0026500E  57h         2002</t>
  </si>
  <si>
    <t>Health care informatics : an interdisciplinary approach / Sheila P. Englebardt, Ramona Nelson.</t>
  </si>
  <si>
    <t>Englebardt, Sheila P.</t>
  </si>
  <si>
    <t>St. Louis : Mosby, c2002.</t>
  </si>
  <si>
    <t>2005-12-06</t>
  </si>
  <si>
    <t>2005-12-01</t>
  </si>
  <si>
    <t>36974906:eng</t>
  </si>
  <si>
    <t>939390732</t>
  </si>
  <si>
    <t>991000452639702656</t>
  </si>
  <si>
    <t>2268127970002656</t>
  </si>
  <si>
    <t>9780323012577</t>
  </si>
  <si>
    <t>30001004912277</t>
  </si>
  <si>
    <t>893827496</t>
  </si>
  <si>
    <t>W 26.5 G977d 2005</t>
  </si>
  <si>
    <t>0                      W  0026500G  977d        2005</t>
  </si>
  <si>
    <t>Digital health : meeting patient and professional needs online / Barrie Gunter.</t>
  </si>
  <si>
    <t>Gunter, Barrie.</t>
  </si>
  <si>
    <t>Mahwah, N.J. : Lawrence Erlbaum Associates, 2005.</t>
  </si>
  <si>
    <t>2007-01-17</t>
  </si>
  <si>
    <t>800362337:eng</t>
  </si>
  <si>
    <t>56086125</t>
  </si>
  <si>
    <t>991000581829702656</t>
  </si>
  <si>
    <t>2266715480002656</t>
  </si>
  <si>
    <t>9780805851793</t>
  </si>
  <si>
    <t>30001005174992</t>
  </si>
  <si>
    <t>893550496</t>
  </si>
  <si>
    <t>W 26.5 H4337 2001</t>
  </si>
  <si>
    <t>0                      W  0026500H  4337        2001</t>
  </si>
  <si>
    <t>Health information : management of a strategic resource / managing editor, Mervat Abdelhak ; editors, Sara Grostick, Mary Alice Hanken, Ellen Jacobs.</t>
  </si>
  <si>
    <t>Philadelphia : W.B. Saunders, c2001.</t>
  </si>
  <si>
    <t>2010-06-08</t>
  </si>
  <si>
    <t>2006-04-25</t>
  </si>
  <si>
    <t>796401807:eng</t>
  </si>
  <si>
    <t>44794929</t>
  </si>
  <si>
    <t>991000354169702656</t>
  </si>
  <si>
    <t>2264703010002656</t>
  </si>
  <si>
    <t>9780721686479</t>
  </si>
  <si>
    <t>30001004560514</t>
  </si>
  <si>
    <t>893461410</t>
  </si>
  <si>
    <t>W26.5 I4338 2006</t>
  </si>
  <si>
    <t>0                      W  0026500I  4338        2006</t>
  </si>
  <si>
    <t>Information technology solutions for healthcare / Krzysztof Zieliński, Mariusz Duplaga, David Ingram, editors.</t>
  </si>
  <si>
    <t>London : Springer, 2006.</t>
  </si>
  <si>
    <t>2006-09-07</t>
  </si>
  <si>
    <t>1039157106:eng</t>
  </si>
  <si>
    <t>59878547</t>
  </si>
  <si>
    <t>991000535489702656</t>
  </si>
  <si>
    <t>2263024610002656</t>
  </si>
  <si>
    <t>9781846281419</t>
  </si>
  <si>
    <t>30001005127388</t>
  </si>
  <si>
    <t>893271282</t>
  </si>
  <si>
    <t>W26.5 J65i 2002</t>
  </si>
  <si>
    <t>0                      W  0026500J  65i         2002</t>
  </si>
  <si>
    <t>Information management for health professions / Merida L. Johns.</t>
  </si>
  <si>
    <t>Albany : Delmar Thomson Learning, 2002.</t>
  </si>
  <si>
    <t>The health information management series</t>
  </si>
  <si>
    <t>2002-12-10</t>
  </si>
  <si>
    <t>2002-10-14</t>
  </si>
  <si>
    <t>14467142:eng</t>
  </si>
  <si>
    <t>47181915</t>
  </si>
  <si>
    <t>991000330889702656</t>
  </si>
  <si>
    <t>2270641490002656</t>
  </si>
  <si>
    <t>9780766825161</t>
  </si>
  <si>
    <t>30001004440436</t>
  </si>
  <si>
    <t>893370354</t>
  </si>
  <si>
    <t>W 26.5 M649e 1986</t>
  </si>
  <si>
    <t>0                      W  0026500M  649e        1986</t>
  </si>
  <si>
    <t>Expert critiquing systems : practice-based medical consultation by computer / Perry L. Miller.</t>
  </si>
  <si>
    <t>Miller, Perry L.</t>
  </si>
  <si>
    <t>New York : Springer-Verlag, c1986.</t>
  </si>
  <si>
    <t>1999-03-02</t>
  </si>
  <si>
    <t>793835529:eng</t>
  </si>
  <si>
    <t>13062257</t>
  </si>
  <si>
    <t>991001181199702656</t>
  </si>
  <si>
    <t>2256557850002656</t>
  </si>
  <si>
    <t>9780387962917</t>
  </si>
  <si>
    <t>30001000309064</t>
  </si>
  <si>
    <t>893740849</t>
  </si>
  <si>
    <t>W 26.5 S898 1999</t>
  </si>
  <si>
    <t>0                      W  0026500S  898         1999</t>
  </si>
  <si>
    <t>Strategies and technologies for healthcare information : theory into practice / Marion J. Ball, Judith V. Douglas, David E. Garets, editors ; with a foreword by Larry D. Grandia.</t>
  </si>
  <si>
    <t>New York : Springer, c1999.</t>
  </si>
  <si>
    <t>2006-02-06</t>
  </si>
  <si>
    <t>1999-09-14</t>
  </si>
  <si>
    <t>898145066:eng</t>
  </si>
  <si>
    <t>39516100</t>
  </si>
  <si>
    <t>991000595489702656</t>
  </si>
  <si>
    <t>2260376420002656</t>
  </si>
  <si>
    <t>9780387984421</t>
  </si>
  <si>
    <t>30001004014868</t>
  </si>
  <si>
    <t>893159873</t>
  </si>
  <si>
    <t>W 26.5 W9265k 1989</t>
  </si>
  <si>
    <t>0                      W  0026500W  9265k       1989</t>
  </si>
  <si>
    <t>Knowledge based systems in medicine : methods, applications, and evaluation : proceedings of the Workshop "System Engineering in Medicine," Maastricht March 16-18, 1989 / organized by the Department of Medical Informatics, University of Limburg, Maastricht, the Netherlands ; sponsored by Commission of the European Communities under the Medical and Health Research Programme ; Jan L. Talmon, John Fox (eds.).</t>
  </si>
  <si>
    <t>Workshop "System Engineering in Medicine" (1989 : Maastricht, Netherlands)</t>
  </si>
  <si>
    <t>Berlin ; New York : Springer-Verlag, c1991.</t>
  </si>
  <si>
    <t xml:space="preserve">gw </t>
  </si>
  <si>
    <t>Lecture notes in medical informatics ; 47</t>
  </si>
  <si>
    <t>1993-02-10</t>
  </si>
  <si>
    <t>1992-03-10</t>
  </si>
  <si>
    <t>43075848:eng</t>
  </si>
  <si>
    <t>24848011</t>
  </si>
  <si>
    <t>991001298359702656</t>
  </si>
  <si>
    <t>2267383470002656</t>
  </si>
  <si>
    <t>9783540550112</t>
  </si>
  <si>
    <t>30001002410654</t>
  </si>
  <si>
    <t>893557805</t>
  </si>
  <si>
    <t>W 26.55.A7 E92 1997</t>
  </si>
  <si>
    <t>0                      W  0026550A  7                  E  92          1997</t>
  </si>
  <si>
    <t>Evaluation methods in medical informatics / Charles P. Friedman, Jeremy C. Wyatt ; foreword by Edward H. Shortliffe.</t>
  </si>
  <si>
    <t>Friedman, Charles P.</t>
  </si>
  <si>
    <t>1999-11-01</t>
  </si>
  <si>
    <t>40523380:eng</t>
  </si>
  <si>
    <t>34633743</t>
  </si>
  <si>
    <t>991000840639702656</t>
  </si>
  <si>
    <t>2272135720002656</t>
  </si>
  <si>
    <t>9780387942285</t>
  </si>
  <si>
    <t>30001003444975</t>
  </si>
  <si>
    <t>893546107</t>
  </si>
  <si>
    <t>W 26.55.A9 L673y 1998</t>
  </si>
  <si>
    <t>0                      W  0026550A  9                  L  673y        1998</t>
  </si>
  <si>
    <t>The year 2000 health care survival guide : strategies and solutions for executives / Audie G. Lewis and Victoria S. Weingart.</t>
  </si>
  <si>
    <t>Lewis, Audie G.</t>
  </si>
  <si>
    <t>Chicago : AHA Press, c1998.</t>
  </si>
  <si>
    <t>41488583:eng</t>
  </si>
  <si>
    <t>39606477</t>
  </si>
  <si>
    <t>991000396249702656</t>
  </si>
  <si>
    <t>2259914440002656</t>
  </si>
  <si>
    <t>9781556482540</t>
  </si>
  <si>
    <t>30001004978716</t>
  </si>
  <si>
    <t>893832793</t>
  </si>
  <si>
    <t>W 27 AA1 I61 2000</t>
  </si>
  <si>
    <t>0                      W  0027000AA 1                  I  61          2000</t>
  </si>
  <si>
    <t>Into the 21st century : academic health centers as knowledge leaders / The Blue Ridge Academic Health Group.</t>
  </si>
  <si>
    <t>Charlottesville, VA : University of Virginia Health System, c2000.</t>
  </si>
  <si>
    <t>Report ; 3</t>
  </si>
  <si>
    <t>2005-12-21</t>
  </si>
  <si>
    <t>2002-01-08</t>
  </si>
  <si>
    <t>37572463:eng</t>
  </si>
  <si>
    <t>47989210</t>
  </si>
  <si>
    <t>991000300469702656</t>
  </si>
  <si>
    <t>2264640550002656</t>
  </si>
  <si>
    <t>30001004564169</t>
  </si>
  <si>
    <t>893108689</t>
  </si>
  <si>
    <t>W 32 AN1 ST344 1997</t>
  </si>
  <si>
    <t>0                      W  0032000AN 1                  ST 344         1997</t>
  </si>
  <si>
    <t>1997 State of Nebraska statutes relating to medicine and surgery osteopathic medicine and surgery physician assistants/ Nebraska Health and Human Services System.</t>
  </si>
  <si>
    <t>Lincoln, NE : The Division, 1997.</t>
  </si>
  <si>
    <t>2002-08-26</t>
  </si>
  <si>
    <t>6344072:eng</t>
  </si>
  <si>
    <t>50481927</t>
  </si>
  <si>
    <t>991000328939702656</t>
  </si>
  <si>
    <t>2269176400002656</t>
  </si>
  <si>
    <t>30001004490332</t>
  </si>
  <si>
    <t>893817023</t>
  </si>
  <si>
    <t>W 32 R333d 1949</t>
  </si>
  <si>
    <t>0                      W  0032000R  333d        1949</t>
  </si>
  <si>
    <t>Doctor and patient and the law / Louis J. Regan.</t>
  </si>
  <si>
    <t>Regan, Louis J.</t>
  </si>
  <si>
    <t>Saint Louis : Mosby, c1949.</t>
  </si>
  <si>
    <t>2002-09-25</t>
  </si>
  <si>
    <t>1991-07-16</t>
  </si>
  <si>
    <t>5949569:eng</t>
  </si>
  <si>
    <t>2956725</t>
  </si>
  <si>
    <t>991001777319702656</t>
  </si>
  <si>
    <t>2268434340002656</t>
  </si>
  <si>
    <t>30001000308967</t>
  </si>
  <si>
    <t>893451761</t>
  </si>
  <si>
    <t>W 32.5 AA1 C734 1993</t>
  </si>
  <si>
    <t>0                      W  0032500AA 1                  C  734         1993</t>
  </si>
  <si>
    <t>Communications and the Patient Self-Determination Act: strategies for meeting the educational mandate : a resource guide.</t>
  </si>
  <si>
    <t>Washington, D.C. (Willard Off. Bldg., 1455 Pennsylvania Ave., N.W., Suite 200, Washington 20004) : Annenberg Washington Program, Communications Policy Studies, Northwestern University, c1993.</t>
  </si>
  <si>
    <t>2005-10-14</t>
  </si>
  <si>
    <t>1998-08-05</t>
  </si>
  <si>
    <t>55768420:eng</t>
  </si>
  <si>
    <t>29345909</t>
  </si>
  <si>
    <t>991001007699702656</t>
  </si>
  <si>
    <t>2268054670002656</t>
  </si>
  <si>
    <t>30001003574425</t>
  </si>
  <si>
    <t>893455386</t>
  </si>
  <si>
    <t>W 32.5 AA1 H313c 2003</t>
  </si>
  <si>
    <t>0                      W  0032500AA 1                  H  313c        2003</t>
  </si>
  <si>
    <t>Contemporary issues in healthcare law and ethics / Dean M. Harris.</t>
  </si>
  <si>
    <t>Harris, Dean M., 1951-</t>
  </si>
  <si>
    <t>Washington, DC ; Chicago : AUPHA/HAP, c2003.</t>
  </si>
  <si>
    <t>2005-12-14</t>
  </si>
  <si>
    <t>780109:eng</t>
  </si>
  <si>
    <t>51655518</t>
  </si>
  <si>
    <t>991000394679702656</t>
  </si>
  <si>
    <t>2267546240002656</t>
  </si>
  <si>
    <t>9781567931983</t>
  </si>
  <si>
    <t>30001004978468</t>
  </si>
  <si>
    <t>893466240</t>
  </si>
  <si>
    <t>W32.5 AA1 H313h 1999</t>
  </si>
  <si>
    <t>0                      W  0032500AA 1                  H  313h        1999</t>
  </si>
  <si>
    <t>Healthcare law and ethics : issues for the age of managed care / Dean M. Harris.</t>
  </si>
  <si>
    <t>Chicago, Ill. : Health Administration Press ; Washington, D.C. : AUPHA Press, c1999.</t>
  </si>
  <si>
    <t>477683344:eng</t>
  </si>
  <si>
    <t>40940198</t>
  </si>
  <si>
    <t>991000324129702656</t>
  </si>
  <si>
    <t>2264305850002656</t>
  </si>
  <si>
    <t>9781567931075</t>
  </si>
  <si>
    <t>30001004443034</t>
  </si>
  <si>
    <t>893728274</t>
  </si>
  <si>
    <t>W 32.5 AA1 L47 1995</t>
  </si>
  <si>
    <t>0                      W  0032500AA 1                  L  47          1995</t>
  </si>
  <si>
    <t>Legal medicine / American College of Legal Medicine.</t>
  </si>
  <si>
    <t>St. Louis : Mosby Year Book, c1995.</t>
  </si>
  <si>
    <t>1997-07-21</t>
  </si>
  <si>
    <t>1995-08-30</t>
  </si>
  <si>
    <t>364499210:eng</t>
  </si>
  <si>
    <t>31604493</t>
  </si>
  <si>
    <t>991001490159702656</t>
  </si>
  <si>
    <t>2270971480002656</t>
  </si>
  <si>
    <t>9780815101314</t>
  </si>
  <si>
    <t>30001003260173</t>
  </si>
  <si>
    <t>893552553</t>
  </si>
  <si>
    <t>W 32.5 AA1 L47 2004</t>
  </si>
  <si>
    <t>0                      W  0032500AA 1                  L  47          2004</t>
  </si>
  <si>
    <t>Legal medicine / American College of Legal Medicine Textbook Committee, S. Sandy Sanbar ... [et al.].</t>
  </si>
  <si>
    <t>[St. Louis] : Mosby, c2004.</t>
  </si>
  <si>
    <t>2007-09-04</t>
  </si>
  <si>
    <t>53076290</t>
  </si>
  <si>
    <t>991000382249702656</t>
  </si>
  <si>
    <t>2267373250002656</t>
  </si>
  <si>
    <t>9780323023986</t>
  </si>
  <si>
    <t>30001004840593</t>
  </si>
  <si>
    <t>893461445</t>
  </si>
  <si>
    <t>W32.5 AA1 L496 2001</t>
  </si>
  <si>
    <t>0                      W  0032500AA 1                  L  496         2001</t>
  </si>
  <si>
    <t>St. Louis : Mosby, c2001.</t>
  </si>
  <si>
    <t>2002-01-13</t>
  </si>
  <si>
    <t>2001-12-19</t>
  </si>
  <si>
    <t>45757781</t>
  </si>
  <si>
    <t>991000298469702656</t>
  </si>
  <si>
    <t>2265026240002656</t>
  </si>
  <si>
    <t>9780323010603</t>
  </si>
  <si>
    <t>30001004560399</t>
  </si>
  <si>
    <t>893108267</t>
  </si>
  <si>
    <t>W 32.5 AA1 L9i 1978</t>
  </si>
  <si>
    <t>0                      W  0032500AA 1                  L  9i          1978</t>
  </si>
  <si>
    <t>Informed consent / James E. Ludlam.</t>
  </si>
  <si>
    <t>Ludlam, James E.</t>
  </si>
  <si>
    <t>Chicago : American Hospital Assn., c1978.</t>
  </si>
  <si>
    <t>1994-04-25</t>
  </si>
  <si>
    <t>14787320:eng</t>
  </si>
  <si>
    <t>4503186</t>
  </si>
  <si>
    <t>991001180769702656</t>
  </si>
  <si>
    <t>2265783390002656</t>
  </si>
  <si>
    <t>9780872582439</t>
  </si>
  <si>
    <t>30001000308942</t>
  </si>
  <si>
    <t>893546431</t>
  </si>
  <si>
    <t>W 32.5 AA1 P893L 1996</t>
  </si>
  <si>
    <t>0                      W  0032500AA 1                  P  893L        1996</t>
  </si>
  <si>
    <t>Legal aspects of health care administration / George D. Pozgar ; and legal and editorial review, Nina Santucci Pozgar.</t>
  </si>
  <si>
    <t>Pozgar, George D.</t>
  </si>
  <si>
    <t>Gaithersburg, Md. : Aspen Publishers, c1996.</t>
  </si>
  <si>
    <t>2000-02-17</t>
  </si>
  <si>
    <t>1996-06-24</t>
  </si>
  <si>
    <t>357196:eng</t>
  </si>
  <si>
    <t>33045206</t>
  </si>
  <si>
    <t>991000833229702656</t>
  </si>
  <si>
    <t>2264861400002656</t>
  </si>
  <si>
    <t>9780834207417</t>
  </si>
  <si>
    <t>30001003440163</t>
  </si>
  <si>
    <t>893632311</t>
  </si>
  <si>
    <t>W32.5 AA1 P893L 2003</t>
  </si>
  <si>
    <t>0                      W  0032500AA 1                  P  893L        2003</t>
  </si>
  <si>
    <t>Legal aspects of health care administration / George D. Pozgar ; legal review, Nina M. Santucci.</t>
  </si>
  <si>
    <t>Sudbury, MA : Jones and Bartlett Publishers, 2003.</t>
  </si>
  <si>
    <t>2003-12-10</t>
  </si>
  <si>
    <t>51531597</t>
  </si>
  <si>
    <t>991000361229702656</t>
  </si>
  <si>
    <t>2270287320002656</t>
  </si>
  <si>
    <t>9780763724948</t>
  </si>
  <si>
    <t>30001004508018</t>
  </si>
  <si>
    <t>893452062</t>
  </si>
  <si>
    <t>W32.5 AA1 P893La 2005</t>
  </si>
  <si>
    <t>0                      W  0032500AA 1                  P  893La       2005</t>
  </si>
  <si>
    <t>Legal and ethical issues for health professionals / George D. Pozgar.</t>
  </si>
  <si>
    <t>Boston : Jones and Bartlett Publishers, c2005.</t>
  </si>
  <si>
    <t>2009-09-14</t>
  </si>
  <si>
    <t>2005-08-25</t>
  </si>
  <si>
    <t>2005-09-08</t>
  </si>
  <si>
    <t>77722:eng</t>
  </si>
  <si>
    <t>59818375</t>
  </si>
  <si>
    <t>991001734909702656</t>
  </si>
  <si>
    <t>2257132710002656</t>
  </si>
  <si>
    <t>9780763726331</t>
  </si>
  <si>
    <t>30001004910305</t>
  </si>
  <si>
    <t>893358943</t>
  </si>
  <si>
    <t>W 32.5 AA1 R822i 1981</t>
  </si>
  <si>
    <t>0                      W  0032500AA 1                  R  822i        1981</t>
  </si>
  <si>
    <t>Informed consent : a guide for health care providers / Arnold J. Rosoff.</t>
  </si>
  <si>
    <t>Rosoff, Arnold J.</t>
  </si>
  <si>
    <t>Rockville, Md. : Aspen Systems Corp., c1981.</t>
  </si>
  <si>
    <t>Aspen publication</t>
  </si>
  <si>
    <t>1999-03-11</t>
  </si>
  <si>
    <t>907274309:eng</t>
  </si>
  <si>
    <t>6579783</t>
  </si>
  <si>
    <t>991001180659702656</t>
  </si>
  <si>
    <t>2264020710002656</t>
  </si>
  <si>
    <t>9780894432989</t>
  </si>
  <si>
    <t>30001000308918</t>
  </si>
  <si>
    <t>893287288</t>
  </si>
  <si>
    <t>W 32.5 AA1 W4m 1984</t>
  </si>
  <si>
    <t>0                      W  0032500AA 1                  W  4m          1984</t>
  </si>
  <si>
    <t>Medical malpractice law : how medicine is changing the law / Barbara Werthmann.</t>
  </si>
  <si>
    <t>Werthmann, Barbara.</t>
  </si>
  <si>
    <t>Lexington, Mass. : LexingtonBooks, c1984.</t>
  </si>
  <si>
    <t>1990-04-28</t>
  </si>
  <si>
    <t>836660319:eng</t>
  </si>
  <si>
    <t>10606382</t>
  </si>
  <si>
    <t>991001255839702656</t>
  </si>
  <si>
    <t>2258901040002656</t>
  </si>
  <si>
    <t>9780669077612</t>
  </si>
  <si>
    <t>30001000344814</t>
  </si>
  <si>
    <t>893268250</t>
  </si>
  <si>
    <t>W 32.5 AA1 W5a 1979</t>
  </si>
  <si>
    <t>0                      W  0032500AA 1                  W  5a          1979</t>
  </si>
  <si>
    <t>Academic litigation as educational consumerism / Wayne L. Whelan.</t>
  </si>
  <si>
    <t>Whelan, Wayne L.</t>
  </si>
  <si>
    <t>New York : National League for Nursing, c1979.</t>
  </si>
  <si>
    <t>NLN pub. no. 23-1791</t>
  </si>
  <si>
    <t>1990-07-28</t>
  </si>
  <si>
    <t>1987-11-04</t>
  </si>
  <si>
    <t>17715461:eng</t>
  </si>
  <si>
    <t>5430400</t>
  </si>
  <si>
    <t>991001388769702656</t>
  </si>
  <si>
    <t>2258557210002656</t>
  </si>
  <si>
    <t>30001000464406</t>
  </si>
  <si>
    <t>893161930</t>
  </si>
  <si>
    <t>W 32.5 AA1 W824m 1999</t>
  </si>
  <si>
    <t>0                      W  0032500AA 1                  W  824m        1999</t>
  </si>
  <si>
    <t>Managing healthcare compliance / Scott C. Withrow.</t>
  </si>
  <si>
    <t>Withrow, Scott C.</t>
  </si>
  <si>
    <t>Chicago, Ill. : Health Administration Press, c1999.</t>
  </si>
  <si>
    <t>1051265:eng</t>
  </si>
  <si>
    <t>40135333</t>
  </si>
  <si>
    <t>991000399009702656</t>
  </si>
  <si>
    <t>2262626280002656</t>
  </si>
  <si>
    <t>9781567930962</t>
  </si>
  <si>
    <t>30001004810299</t>
  </si>
  <si>
    <t>893359528</t>
  </si>
  <si>
    <t>W 32.5 L675L 1998</t>
  </si>
  <si>
    <t>0                      W  0032500L  675L        1998</t>
  </si>
  <si>
    <t>Medical law, ethics, and bioethics for ambulatory care / Marcia (Marti) A. Lewis, Carol D. Tamparo.</t>
  </si>
  <si>
    <t>Lewis, Marcia A.</t>
  </si>
  <si>
    <t>Philadelphia : F.A. Davis Co., c1998.</t>
  </si>
  <si>
    <t>1999-04-29</t>
  </si>
  <si>
    <t>1998-04-21</t>
  </si>
  <si>
    <t>38779742:eng</t>
  </si>
  <si>
    <t>38048052</t>
  </si>
  <si>
    <t>991001429529702656</t>
  </si>
  <si>
    <t>2257708320002656</t>
  </si>
  <si>
    <t>9780803603486</t>
  </si>
  <si>
    <t>30001003864453</t>
  </si>
  <si>
    <t>893455801</t>
  </si>
  <si>
    <t>W 32.6 A646i 1987</t>
  </si>
  <si>
    <t>0                      W  0032600A  646i        1987</t>
  </si>
  <si>
    <t>Informed consent : legal theory and clinical practice / Paul S. Appelbaum, Charles W. Lidz, Alan Meisel.</t>
  </si>
  <si>
    <t>Appelbaum, Paul S.</t>
  </si>
  <si>
    <t>New York : Oxford University Press, c1987.</t>
  </si>
  <si>
    <t>1997-04-28</t>
  </si>
  <si>
    <t>1046123102:eng</t>
  </si>
  <si>
    <t>13947684</t>
  </si>
  <si>
    <t>991001536509702656</t>
  </si>
  <si>
    <t>2267101130002656</t>
  </si>
  <si>
    <t>9780195038415</t>
  </si>
  <si>
    <t>30001000623175</t>
  </si>
  <si>
    <t>893149314</t>
  </si>
  <si>
    <t>W 32.6 B234i 1980</t>
  </si>
  <si>
    <t>0                      W  0032600B  234i        1980</t>
  </si>
  <si>
    <t>Informed consent in medical therapy and research / Bernard Barber.</t>
  </si>
  <si>
    <t>Barber, Bernard.</t>
  </si>
  <si>
    <t>New Brunswick, N.J. : Rutgers Univ. Press, c1980.</t>
  </si>
  <si>
    <t>2002-12-11</t>
  </si>
  <si>
    <t>1989-06-22</t>
  </si>
  <si>
    <t>474556:eng</t>
  </si>
  <si>
    <t>5353160</t>
  </si>
  <si>
    <t>991001246569702656</t>
  </si>
  <si>
    <t>2266458590002656</t>
  </si>
  <si>
    <t>9780813508894</t>
  </si>
  <si>
    <t>30001001677469</t>
  </si>
  <si>
    <t>893460386</t>
  </si>
  <si>
    <t>W 32.6 K35t 1991</t>
  </si>
  <si>
    <t>0                      W  0032600K  35t         1991</t>
  </si>
  <si>
    <t>Treat me right : essays in medical law and ethics / Ian Kennedy.</t>
  </si>
  <si>
    <t>Kennedy, Ian, 1941-</t>
  </si>
  <si>
    <t>Oxford ; New York : Clarendon Press, c1991, c1988.</t>
  </si>
  <si>
    <t>1992-02-26</t>
  </si>
  <si>
    <t>836728175:eng</t>
  </si>
  <si>
    <t>24863635</t>
  </si>
  <si>
    <t>991001033979702656</t>
  </si>
  <si>
    <t>2265316370002656</t>
  </si>
  <si>
    <t>9780198255581</t>
  </si>
  <si>
    <t>30001002244384</t>
  </si>
  <si>
    <t>893460225</t>
  </si>
  <si>
    <t>W 32.6 L675L 1988</t>
  </si>
  <si>
    <t>0                      W  0032600L  675L        1988</t>
  </si>
  <si>
    <t>Law and ethics in the medical office : including bioethical issues / Marcia A. Lewis, Carol D. Warden.</t>
  </si>
  <si>
    <t>Philadelphia : F.A. Davis, c1988.</t>
  </si>
  <si>
    <t>1992-11-18</t>
  </si>
  <si>
    <t>1988-09-17</t>
  </si>
  <si>
    <t>890026555:eng</t>
  </si>
  <si>
    <t>17549755</t>
  </si>
  <si>
    <t>991001423859702656</t>
  </si>
  <si>
    <t>2260486180002656</t>
  </si>
  <si>
    <t>9780803656178</t>
  </si>
  <si>
    <t>30001001183500</t>
  </si>
  <si>
    <t>893460576</t>
  </si>
  <si>
    <t>W 32.6 L675L 1993</t>
  </si>
  <si>
    <t>0                      W  0032600L  675L        1993</t>
  </si>
  <si>
    <t>Medical law, ethics, and bioethics in the medical office / Marcia (Marti) A. Lewis, Carole D. Tamparo.</t>
  </si>
  <si>
    <t>Philadelphia : F.A. Davis, c1993.</t>
  </si>
  <si>
    <t>2000-12-02</t>
  </si>
  <si>
    <t>2595757563:eng</t>
  </si>
  <si>
    <t>27072275</t>
  </si>
  <si>
    <t>991001513709702656</t>
  </si>
  <si>
    <t>2272311500002656</t>
  </si>
  <si>
    <t>9780803656246</t>
  </si>
  <si>
    <t>30001002601377</t>
  </si>
  <si>
    <t>893149297</t>
  </si>
  <si>
    <t>W 32.6 L884L 1942</t>
  </si>
  <si>
    <t>0                      W  0032600L  884L        1942</t>
  </si>
  <si>
    <t>Law in medical and dental practice / by Jack Neal Lott, Jr. and Robert Hanes Gray.</t>
  </si>
  <si>
    <t>Lott, Jack Neal, 1906-</t>
  </si>
  <si>
    <t>Chicago : Foundation Press, c1942.</t>
  </si>
  <si>
    <t>1942</t>
  </si>
  <si>
    <t>1998-09-03</t>
  </si>
  <si>
    <t>2597152:eng</t>
  </si>
  <si>
    <t>3353581</t>
  </si>
  <si>
    <t>991001180499702656</t>
  </si>
  <si>
    <t>2260460640002656</t>
  </si>
  <si>
    <t>30001000308884</t>
  </si>
  <si>
    <t>893831976</t>
  </si>
  <si>
    <t>W 32.6 P174L 1989</t>
  </si>
  <si>
    <t>0                      W  0032600P  174L        1989</t>
  </si>
  <si>
    <t>Law, medicine, and social justice / Larry I. Palmer.</t>
  </si>
  <si>
    <t>Palmer, Larry I., 1944-</t>
  </si>
  <si>
    <t>Louisville, Ky. : Westminster/John Knox Press, c1989.</t>
  </si>
  <si>
    <t>2002-12-04</t>
  </si>
  <si>
    <t>1989-10-09</t>
  </si>
  <si>
    <t>18005122:eng</t>
  </si>
  <si>
    <t>18589036</t>
  </si>
  <si>
    <t>991001317019702656</t>
  </si>
  <si>
    <t>2272589160002656</t>
  </si>
  <si>
    <t>9780664213336</t>
  </si>
  <si>
    <t>30001001753153</t>
  </si>
  <si>
    <t>893363963</t>
  </si>
  <si>
    <t>W 32.6 W425a 1989</t>
  </si>
  <si>
    <t>0                      W  0032600W  425a        1989</t>
  </si>
  <si>
    <t>Abating treatment with critically ill patients : ethical and legal limits to the medical prolongation of life / Robert F. Weir.</t>
  </si>
  <si>
    <t>Weir, Robert F., 1943-</t>
  </si>
  <si>
    <t>New York : Oxford University Press, c1989.</t>
  </si>
  <si>
    <t>1991-04-21</t>
  </si>
  <si>
    <t>1990-01-30</t>
  </si>
  <si>
    <t>836839311:eng</t>
  </si>
  <si>
    <t>19125259</t>
  </si>
  <si>
    <t>991001445729702656</t>
  </si>
  <si>
    <t>2259578470002656</t>
  </si>
  <si>
    <t>9780195045284</t>
  </si>
  <si>
    <t>30001001880451</t>
  </si>
  <si>
    <t>893821221</t>
  </si>
  <si>
    <t>W 33 AA1 A613r 1981</t>
  </si>
  <si>
    <t>0                      W  0033000AA 1                  A  613r        1981</t>
  </si>
  <si>
    <t>The rights of doctors, nurses, and allied health professionals : a health law primer / George J. Annas, Leonard H. Glantz, and Barbara F. Katz.</t>
  </si>
  <si>
    <t>Annas, George J.</t>
  </si>
  <si>
    <t>Cambridge, Mass. : Ballinger, c1981.</t>
  </si>
  <si>
    <t>An American Civil Liberties Union handbook</t>
  </si>
  <si>
    <t>1994-04-30</t>
  </si>
  <si>
    <t>796599363:eng</t>
  </si>
  <si>
    <t>7844842</t>
  </si>
  <si>
    <t>991001180379702656</t>
  </si>
  <si>
    <t>2270596190002656</t>
  </si>
  <si>
    <t>9780884107279</t>
  </si>
  <si>
    <t>30001000308876</t>
  </si>
  <si>
    <t>893450927</t>
  </si>
  <si>
    <t>W 33 AA1 M266 1998</t>
  </si>
  <si>
    <t>0                      W  0033000AA 1                  M  266         1998</t>
  </si>
  <si>
    <t>Managed care : state regulation / Aspen Health Law Center.</t>
  </si>
  <si>
    <t>Gaithersburg, Md. : Aspen Publishers, c1998.</t>
  </si>
  <si>
    <t>Aspen Health Law Center current issues</t>
  </si>
  <si>
    <t>1999-09-28</t>
  </si>
  <si>
    <t>42601794:eng</t>
  </si>
  <si>
    <t>38249129</t>
  </si>
  <si>
    <t>991001338439702656</t>
  </si>
  <si>
    <t>2272283270002656</t>
  </si>
  <si>
    <t>9780834211209</t>
  </si>
  <si>
    <t>30001003790906</t>
  </si>
  <si>
    <t>893451093</t>
  </si>
  <si>
    <t>W 33 AA1 R332 1999</t>
  </si>
  <si>
    <t>0                      W  0033000AA 1                  R  332         1999</t>
  </si>
  <si>
    <t>IPA management : legal and compliance guidelines / Crystal S. Reeves, Kay B. Stanley.</t>
  </si>
  <si>
    <t>Reeves, Crystal S.</t>
  </si>
  <si>
    <t>New York : McGraw-Hill, c1999.</t>
  </si>
  <si>
    <t>The HFMA healthcare financial management series</t>
  </si>
  <si>
    <t>2005-09-06</t>
  </si>
  <si>
    <t>14340546:eng</t>
  </si>
  <si>
    <t>41482372</t>
  </si>
  <si>
    <t>991000397109702656</t>
  </si>
  <si>
    <t>2263882370002656</t>
  </si>
  <si>
    <t>9780071342971</t>
  </si>
  <si>
    <t>30001004978849</t>
  </si>
  <si>
    <t>893151009</t>
  </si>
  <si>
    <t>W 33 AC2 P115c 2004</t>
  </si>
  <si>
    <t>0                      W  0033000AC 2                  P  115c        2004</t>
  </si>
  <si>
    <t>Capping non-economic awards in medical malpractice trials : California jury verdicts under MICRA / Nicholas M. Pace, Daniela Golinelli, Laura Zakaras.</t>
  </si>
  <si>
    <t>Pace, Nicholas M. (Nicholas Michael), 1955-</t>
  </si>
  <si>
    <t>Santa Monica, CA : RAND Institute for Civil Justice, c2004.</t>
  </si>
  <si>
    <t>Rand Corporation monograph series</t>
  </si>
  <si>
    <t>2005-07-17</t>
  </si>
  <si>
    <t>2005-07-14</t>
  </si>
  <si>
    <t>113869056:eng</t>
  </si>
  <si>
    <t>56013068</t>
  </si>
  <si>
    <t>991000441349702656</t>
  </si>
  <si>
    <t>2256867240002656</t>
  </si>
  <si>
    <t>9780833036650</t>
  </si>
  <si>
    <t>30001005000577</t>
  </si>
  <si>
    <t>893461497</t>
  </si>
  <si>
    <t>W 33.1 M489 1998</t>
  </si>
  <si>
    <t>0                      W  0033100M  489         1998</t>
  </si>
  <si>
    <t>Medical professional liability insurance : the informed physician's guide to coverage decisions / American Medical Association, Office of the General Counsel, Division of Health Law.</t>
  </si>
  <si>
    <t>[Chicago, IL] : American Medical Association, Office of the General Counsel, Division of health Law, c1998.</t>
  </si>
  <si>
    <t>2000-08-31</t>
  </si>
  <si>
    <t>42460817:eng</t>
  </si>
  <si>
    <t>38541061</t>
  </si>
  <si>
    <t>991001429439702656</t>
  </si>
  <si>
    <t>2260682780002656</t>
  </si>
  <si>
    <t>9780899709062</t>
  </si>
  <si>
    <t>30001003864412</t>
  </si>
  <si>
    <t>893274145</t>
  </si>
  <si>
    <t>W39 A512c 2002</t>
  </si>
  <si>
    <t>0                      W  0039000A  512c        2002</t>
  </si>
  <si>
    <t>Code of medical ethics : current opinions with annotations / American Medical Association, Council on Ethical and Judicial Affairs ; annotations prepared by the Southern Illinois University Schools of Medicine and Law.</t>
  </si>
  <si>
    <t>American Medical Association. Council on Ethical and Judicial Affairs.</t>
  </si>
  <si>
    <t>[Chicago, Ill.] : AMA Press, c2002</t>
  </si>
  <si>
    <t>2002-2003 ed.</t>
  </si>
  <si>
    <t>2004-02-27</t>
  </si>
  <si>
    <t>2002-11-08</t>
  </si>
  <si>
    <t>1055983:eng</t>
  </si>
  <si>
    <t>50442133</t>
  </si>
  <si>
    <t>991000332319702656</t>
  </si>
  <si>
    <t>2259309190002656</t>
  </si>
  <si>
    <t>9781579472856</t>
  </si>
  <si>
    <t>30001004500338</t>
  </si>
  <si>
    <t>893264133</t>
  </si>
  <si>
    <t>W39 A512c 2004</t>
  </si>
  <si>
    <t>0                      W  0039000A  512c        2004</t>
  </si>
  <si>
    <t>Chicago, Ill. : AMA Press, c2004.</t>
  </si>
  <si>
    <t>2004-2005 ed.</t>
  </si>
  <si>
    <t>2009-06-03</t>
  </si>
  <si>
    <t>2004-10-15</t>
  </si>
  <si>
    <t>56335718</t>
  </si>
  <si>
    <t>991000400989702656</t>
  </si>
  <si>
    <t>2265389690002656</t>
  </si>
  <si>
    <t>30001004924041</t>
  </si>
  <si>
    <t>893447269</t>
  </si>
  <si>
    <t>W 39 F712i 1997</t>
  </si>
  <si>
    <t>0                      W  0039000F  712i        1997</t>
  </si>
  <si>
    <t>Insurance handbook for the medical office / Marilyn Takahashi Fordney.</t>
  </si>
  <si>
    <t>Fordney, Marilyn Takahashi.</t>
  </si>
  <si>
    <t>Philadelphia : W.B. Saunders, c1997.</t>
  </si>
  <si>
    <t>2001-06-14</t>
  </si>
  <si>
    <t>1997-06-30</t>
  </si>
  <si>
    <t>318319:eng</t>
  </si>
  <si>
    <t>35876789</t>
  </si>
  <si>
    <t>991001560579702656</t>
  </si>
  <si>
    <t>2267790190002656</t>
  </si>
  <si>
    <t>9780721669878</t>
  </si>
  <si>
    <t>30001003670694</t>
  </si>
  <si>
    <t>893134715</t>
  </si>
  <si>
    <t>W 40 AA1 R344 1997</t>
  </si>
  <si>
    <t>0                      W  0040000AA 1                  R  344         1997</t>
  </si>
  <si>
    <t>Regulation of the healthcare professions / [edited by] Timothy S. Jost.</t>
  </si>
  <si>
    <t>Chicago, IL : Health Administration Press, c1997.</t>
  </si>
  <si>
    <t>2004-08-31</t>
  </si>
  <si>
    <t>679721:eng</t>
  </si>
  <si>
    <t>36589934</t>
  </si>
  <si>
    <t>991000381319702656</t>
  </si>
  <si>
    <t>2266386360002656</t>
  </si>
  <si>
    <t>9781567930580</t>
  </si>
  <si>
    <t>30001004841252</t>
  </si>
  <si>
    <t>893817062</t>
  </si>
  <si>
    <t>W40 AA1 U2512 2006</t>
  </si>
  <si>
    <t>0                      W  0040000AA 1                  U  2512        2006</t>
  </si>
  <si>
    <t>State Medical Licensure Requirements and Statistics</t>
  </si>
  <si>
    <t>2006 Edition</t>
  </si>
  <si>
    <t>wiu</t>
  </si>
  <si>
    <t>2007-12-21</t>
  </si>
  <si>
    <t>2005-12-22</t>
  </si>
  <si>
    <t>2865387110:eng</t>
  </si>
  <si>
    <t>62321501</t>
  </si>
  <si>
    <t>991000454319702656</t>
  </si>
  <si>
    <t>2268449930002656</t>
  </si>
  <si>
    <t>9781579476816</t>
  </si>
  <si>
    <t>30001004911642</t>
  </si>
  <si>
    <t>893466276</t>
  </si>
  <si>
    <t>W 40.1 AA1 A512u 1991</t>
  </si>
  <si>
    <t>0                      W  0040100AA 1                  A  512u        1991</t>
  </si>
  <si>
    <t>U.S. medical licensure statistics and current licensure requirements / Catherine M. Bidese, editor.</t>
  </si>
  <si>
    <t>Chicago, Ill. : American Medical Association, c1991.</t>
  </si>
  <si>
    <t>1991 ed.</t>
  </si>
  <si>
    <t>433708152:eng</t>
  </si>
  <si>
    <t>23828613</t>
  </si>
  <si>
    <t>991000940399702656</t>
  </si>
  <si>
    <t>2262905350002656</t>
  </si>
  <si>
    <t>9780899704128</t>
  </si>
  <si>
    <t>30001002192500</t>
  </si>
  <si>
    <t>893278506</t>
  </si>
  <si>
    <t>W 44 AA1 C568w 2005</t>
  </si>
  <si>
    <t>0                      W  0044000AA 1                  C  568w        2005</t>
  </si>
  <si>
    <t>Winning your malpractice case : practical advice for physician experts and defendants / James J. Cicero.</t>
  </si>
  <si>
    <t>Cicero, James J.</t>
  </si>
  <si>
    <t>Marblehead, MA : HCPro, c2005.</t>
  </si>
  <si>
    <t>2009-03-20</t>
  </si>
  <si>
    <t>52752397:eng</t>
  </si>
  <si>
    <t>69333342</t>
  </si>
  <si>
    <t>991000535579702656</t>
  </si>
  <si>
    <t>2261810740002656</t>
  </si>
  <si>
    <t>9781578397235</t>
  </si>
  <si>
    <t>30001005127362</t>
  </si>
  <si>
    <t>893157353</t>
  </si>
  <si>
    <t>W 44 AA1 M4888 2005</t>
  </si>
  <si>
    <t>0                      W  0044000AA 1                  M  4888        2005</t>
  </si>
  <si>
    <t>Medical malpractice : how to prevent and survive a suit / edited by Richard Nasca ... [et al.].</t>
  </si>
  <si>
    <t>Brooklandville, Md. : Data Trace Pub. Co, c2005.</t>
  </si>
  <si>
    <t>2009-04-01</t>
  </si>
  <si>
    <t>2007-01-22</t>
  </si>
  <si>
    <t>18320184:eng</t>
  </si>
  <si>
    <t>57193112</t>
  </si>
  <si>
    <t>991000584679702656</t>
  </si>
  <si>
    <t>2266039990002656</t>
  </si>
  <si>
    <t>9781574001020</t>
  </si>
  <si>
    <t>30001005175296</t>
  </si>
  <si>
    <t>893458926</t>
  </si>
  <si>
    <t>W44 AA1 S428h 1999</t>
  </si>
  <si>
    <t>0                      W  0044000AA 1                  S  428h        1999</t>
  </si>
  <si>
    <t>Health care malpractice : a primer on legal issues for professionals / Ronald W. Scott.</t>
  </si>
  <si>
    <t>Scott, Ronald W.</t>
  </si>
  <si>
    <t>2002-10-03</t>
  </si>
  <si>
    <t>815132691:eng</t>
  </si>
  <si>
    <t>39455945</t>
  </si>
  <si>
    <t>991000329999702656</t>
  </si>
  <si>
    <t>2272809670002656</t>
  </si>
  <si>
    <t>9780070541450</t>
  </si>
  <si>
    <t>30001004441012</t>
  </si>
  <si>
    <t>893553429</t>
  </si>
  <si>
    <t>W 44 F532m 1985</t>
  </si>
  <si>
    <t>0                      W  0044000F  532m        1985</t>
  </si>
  <si>
    <t>Malpractice : managing your defense / Raymond M. Fish, Melvin E. Ehrhardt, Betty Fish.</t>
  </si>
  <si>
    <t>Fish, Raymond M.</t>
  </si>
  <si>
    <t>Oradell, N.J. : Medical Economics Books, c1985.</t>
  </si>
  <si>
    <t>1998-11-07</t>
  </si>
  <si>
    <t>1989-07-16</t>
  </si>
  <si>
    <t>3349644:eng</t>
  </si>
  <si>
    <t>10876855</t>
  </si>
  <si>
    <t>991001179909702656</t>
  </si>
  <si>
    <t>2265163040002656</t>
  </si>
  <si>
    <t>9780874893885</t>
  </si>
  <si>
    <t>30001000308793</t>
  </si>
  <si>
    <t>893557671</t>
  </si>
  <si>
    <t>W 44 F532ma 1987</t>
  </si>
  <si>
    <t>0                      W  0044000F  532ma       1987</t>
  </si>
  <si>
    <t>Malpractice depositions : avoiding the traps / Raymond M. Fish, Melvin E. Ehrhardt.</t>
  </si>
  <si>
    <t>Oradell, N.J. : Medical Economics Books, c1987.</t>
  </si>
  <si>
    <t>1987-10-21</t>
  </si>
  <si>
    <t>198416741:eng</t>
  </si>
  <si>
    <t>13582089</t>
  </si>
  <si>
    <t>991001529299702656</t>
  </si>
  <si>
    <t>2272472590002656</t>
  </si>
  <si>
    <t>9780874894172</t>
  </si>
  <si>
    <t>30001000621021</t>
  </si>
  <si>
    <t>893451308</t>
  </si>
  <si>
    <t>W 44 G624e 1983</t>
  </si>
  <si>
    <t>0                      W  0044000G  624e        1983</t>
  </si>
  <si>
    <t>EMS and the law : a legal handbook for EMS personnel / Arnold S. Goldstein.</t>
  </si>
  <si>
    <t>Bowie, Md. : Brady, c1983.</t>
  </si>
  <si>
    <t>43122940:eng</t>
  </si>
  <si>
    <t>9282410</t>
  </si>
  <si>
    <t>991001179759702656</t>
  </si>
  <si>
    <t>2268589640002656</t>
  </si>
  <si>
    <t>9780893034221</t>
  </si>
  <si>
    <t>30001000308785</t>
  </si>
  <si>
    <t>893743667</t>
  </si>
  <si>
    <t>W 44 H727m 1978</t>
  </si>
  <si>
    <t>0                      W  0044000H  727m        1978</t>
  </si>
  <si>
    <t>Medical malpractice law / Angela Roddey Holder ; foreword by Jay Katz.</t>
  </si>
  <si>
    <t>Holder, Angela Roddey.</t>
  </si>
  <si>
    <t>New York : Wiley, c1978.</t>
  </si>
  <si>
    <t>A Wiley medical publication</t>
  </si>
  <si>
    <t>1998-09-13</t>
  </si>
  <si>
    <t>1987-10-02</t>
  </si>
  <si>
    <t>1991-07-15</t>
  </si>
  <si>
    <t>1980365:eng</t>
  </si>
  <si>
    <t>3541830</t>
  </si>
  <si>
    <t>991001784809702656</t>
  </si>
  <si>
    <t>2266355890002656</t>
  </si>
  <si>
    <t>9780471038825</t>
  </si>
  <si>
    <t>30001000308777</t>
  </si>
  <si>
    <t>893638632</t>
  </si>
  <si>
    <t>W 44 I29 1988</t>
  </si>
  <si>
    <t>0                      W  0044000I  29          1988</t>
  </si>
  <si>
    <t>Illinois medical malpractice : a guide for the health sciences / James A. Rapp ... [et al.].</t>
  </si>
  <si>
    <t>St. Louis : Mosby, c1988.</t>
  </si>
  <si>
    <t>1993-12-02</t>
  </si>
  <si>
    <t>1988-02-18</t>
  </si>
  <si>
    <t>12353507:eng</t>
  </si>
  <si>
    <t>16277255</t>
  </si>
  <si>
    <t>991001540539702656</t>
  </si>
  <si>
    <t>2261957340002656</t>
  </si>
  <si>
    <t>9780801640223</t>
  </si>
  <si>
    <t>30001000625006</t>
  </si>
  <si>
    <t>893377324</t>
  </si>
  <si>
    <t>W 44 K53L 1986</t>
  </si>
  <si>
    <t>0                      W  0044000K  53L         1986</t>
  </si>
  <si>
    <t>The law of medical malpractice in a nutshell / by Joseph H. King, Jr.</t>
  </si>
  <si>
    <t>King, Joseph H.</t>
  </si>
  <si>
    <t>St. Paul, Minn. : West Pub. Co., c1986.</t>
  </si>
  <si>
    <t>Nutshell series</t>
  </si>
  <si>
    <t>1991-04-16</t>
  </si>
  <si>
    <t>5483482:eng</t>
  </si>
  <si>
    <t>13010058</t>
  </si>
  <si>
    <t>991000828169702656</t>
  </si>
  <si>
    <t>2268847630002656</t>
  </si>
  <si>
    <t>9780314982001</t>
  </si>
  <si>
    <t>30001002089920</t>
  </si>
  <si>
    <t>893283852</t>
  </si>
  <si>
    <t>W 44 L665s 1970</t>
  </si>
  <si>
    <t>0                      W  0044000L  665s        1970</t>
  </si>
  <si>
    <t>Surgical malpractice : surgical errors and accidents and professional liability to the injured / Moe Levine.</t>
  </si>
  <si>
    <t>Levine, Moe.</t>
  </si>
  <si>
    <t>Washington : Trial Lawyers Service Co., c1970.</t>
  </si>
  <si>
    <t>2001-07-03</t>
  </si>
  <si>
    <t>3902543966:eng</t>
  </si>
  <si>
    <t>856722</t>
  </si>
  <si>
    <t>991001182029702656</t>
  </si>
  <si>
    <t>2268444740002656</t>
  </si>
  <si>
    <t>30001000309189</t>
  </si>
  <si>
    <t>893727321</t>
  </si>
  <si>
    <t>W 44 P445p 1983</t>
  </si>
  <si>
    <t>0                      W  0044000P  445p        1983</t>
  </si>
  <si>
    <t>Perinatal practice and malpractice symposium : full proceedings, December 1983 / sponsored by the University of Medicine and Dentistry of New Jersey-New Jersey Medical School ; in cooperation with the University of Medicine and Dentistry of New Jersey-Office of Continuing Education ... [et al.] ; editor, Leslie Iffy, associate editor, Joseph J. Apuzzio, assistant editor, Laszlo Hopp.</t>
  </si>
  <si>
    <t>Perinatal Practice and Malpractice Symposium (1983 : Morristown, N.J.)</t>
  </si>
  <si>
    <t>New York : Academy Professional Information Services, Inc., [1984?]</t>
  </si>
  <si>
    <t>1996-08-06</t>
  </si>
  <si>
    <t>4197575:eng</t>
  </si>
  <si>
    <t>11535033</t>
  </si>
  <si>
    <t>991001182069702656</t>
  </si>
  <si>
    <t>2260642890002656</t>
  </si>
  <si>
    <t>30001000309197</t>
  </si>
  <si>
    <t>893816173</t>
  </si>
  <si>
    <t>W 44 P893L 1990</t>
  </si>
  <si>
    <t>0                      W  0044000P  893L        1990</t>
  </si>
  <si>
    <t>Legal aspects of health care administration / George D. Pozgar.</t>
  </si>
  <si>
    <t>Rockville, Md. : Aspen Publishers, c1990.</t>
  </si>
  <si>
    <t>1990-10-23</t>
  </si>
  <si>
    <t>21333630</t>
  </si>
  <si>
    <t>991000771819702656</t>
  </si>
  <si>
    <t>2257923010002656</t>
  </si>
  <si>
    <t>9780834201613</t>
  </si>
  <si>
    <t>30001002062281</t>
  </si>
  <si>
    <t>893731186</t>
  </si>
  <si>
    <t>W 44 R813m 1993</t>
  </si>
  <si>
    <t>0                      W  0044000R  813m        1993</t>
  </si>
  <si>
    <t>Malpractice solutions / James Rosenblum.</t>
  </si>
  <si>
    <t>Rosenblum, James Borden.</t>
  </si>
  <si>
    <t>Knoxville, Tenn.? : Whittle Direct Books, c1993.</t>
  </si>
  <si>
    <t>Grand Rounds Press, 1053-6620</t>
  </si>
  <si>
    <t>1993-08-27</t>
  </si>
  <si>
    <t>31330350:eng</t>
  </si>
  <si>
    <t>28685500</t>
  </si>
  <si>
    <t>991001547669702656</t>
  </si>
  <si>
    <t>2255362450002656</t>
  </si>
  <si>
    <t>9781879736139</t>
  </si>
  <si>
    <t>30001002643957</t>
  </si>
  <si>
    <t>893826856</t>
  </si>
  <si>
    <t>W44 W896h 2004</t>
  </si>
  <si>
    <t>0                      W  0044000W  896h        2004</t>
  </si>
  <si>
    <t>Healing words : the power of apology in medicine / Michael S. Woods, Hilda J. Bruckner contributing author and researcher.</t>
  </si>
  <si>
    <t>Woods, Michael S.</t>
  </si>
  <si>
    <t>Oak Park, Ill. : Doctors in Touch, 2004.</t>
  </si>
  <si>
    <t>2009-01-05</t>
  </si>
  <si>
    <t>2007-02-19</t>
  </si>
  <si>
    <t>238722248:eng</t>
  </si>
  <si>
    <t>56900067</t>
  </si>
  <si>
    <t>991001747909702656</t>
  </si>
  <si>
    <t>2270792670002656</t>
  </si>
  <si>
    <t>9780975519608</t>
  </si>
  <si>
    <t>30001005212420</t>
  </si>
  <si>
    <t>893552877</t>
  </si>
  <si>
    <t>W 49 A547a 1997</t>
  </si>
  <si>
    <t>0                      W  0049000A  547a        1997</t>
  </si>
  <si>
    <t>After residency : the young physician's guide to the universe / by Joan L. Anderson.</t>
  </si>
  <si>
    <t>Anderson, Joan L.</t>
  </si>
  <si>
    <t>Birmingham, Mich. : Physicians' Press, c1997.</t>
  </si>
  <si>
    <t>2008-10-22</t>
  </si>
  <si>
    <t>1999-11-16</t>
  </si>
  <si>
    <t>3123184:eng</t>
  </si>
  <si>
    <t>38117313</t>
  </si>
  <si>
    <t>991001409219702656</t>
  </si>
  <si>
    <t>2267014050002656</t>
  </si>
  <si>
    <t>9781890114015</t>
  </si>
  <si>
    <t>30001003830348</t>
  </si>
  <si>
    <t>893643550</t>
  </si>
  <si>
    <t>W49 D963c 2001</t>
  </si>
  <si>
    <t>0                      W  0049000D  963c        2001</t>
  </si>
  <si>
    <t>Consumer health : a guide to Internet information resources / compiled by Cecilia Durkin.</t>
  </si>
  <si>
    <t>Durkin, Cecilia.</t>
  </si>
  <si>
    <t>Chicago, Ill. : Medical Library Association, c2001.</t>
  </si>
  <si>
    <t>MLA BibKit ; 7</t>
  </si>
  <si>
    <t>2003-04-15</t>
  </si>
  <si>
    <t>341281044:eng</t>
  </si>
  <si>
    <t>47290246</t>
  </si>
  <si>
    <t>991000321709702656</t>
  </si>
  <si>
    <t>22101747350002656</t>
  </si>
  <si>
    <t>30001004442879</t>
  </si>
  <si>
    <t>893542254</t>
  </si>
  <si>
    <t>W 49 L154c 1999</t>
  </si>
  <si>
    <t>0                      W  0049000L  154c        1999</t>
  </si>
  <si>
    <t>The consultation guide / Paul W. Ladenson.</t>
  </si>
  <si>
    <t>Ladenson, Paul W.</t>
  </si>
  <si>
    <t>Philadelphia : Williams &amp; Wilkins, c1998.</t>
  </si>
  <si>
    <t>2000-04-14</t>
  </si>
  <si>
    <t>2000-04-13</t>
  </si>
  <si>
    <t>27619639:eng</t>
  </si>
  <si>
    <t>39094266</t>
  </si>
  <si>
    <t>991001445269702656</t>
  </si>
  <si>
    <t>2271508960002656</t>
  </si>
  <si>
    <t>9780683305258</t>
  </si>
  <si>
    <t>30001003884303</t>
  </si>
  <si>
    <t>893561036</t>
  </si>
  <si>
    <t>W 49 N877h 2003</t>
  </si>
  <si>
    <t>0                      W  0049000N  877h        2003</t>
  </si>
  <si>
    <t>Health insurance resources : a guide for people with a chronic disease or disability / Dorothy E. Northrop, Stephen Cooper.</t>
  </si>
  <si>
    <t>Northrop, Dorothy E., 1942-</t>
  </si>
  <si>
    <t>New York : Demos Medical Pub., c2003.</t>
  </si>
  <si>
    <t>2004-11-16</t>
  </si>
  <si>
    <t>2004-08-26</t>
  </si>
  <si>
    <t>797250806:eng</t>
  </si>
  <si>
    <t>50554782</t>
  </si>
  <si>
    <t>991000378699702656</t>
  </si>
  <si>
    <t>2256025690002656</t>
  </si>
  <si>
    <t>9781888799699</t>
  </si>
  <si>
    <t>30001004219715</t>
  </si>
  <si>
    <t>893375496</t>
  </si>
  <si>
    <t>W 50 A182c 1989</t>
  </si>
  <si>
    <t>0                      W  0050000A  182c        1989</t>
  </si>
  <si>
    <t>A casebook of medical ethics / by Terrence F. Ackerman and Carson Strong.</t>
  </si>
  <si>
    <t>Ackerman, Terrence F., 1949-</t>
  </si>
  <si>
    <t>2006-02-09</t>
  </si>
  <si>
    <t>1989-12-14</t>
  </si>
  <si>
    <t>20136995:eng</t>
  </si>
  <si>
    <t>19456397</t>
  </si>
  <si>
    <t>991001381089702656</t>
  </si>
  <si>
    <t>2264086290002656</t>
  </si>
  <si>
    <t>9780195039160</t>
  </si>
  <si>
    <t>30001001798786</t>
  </si>
  <si>
    <t>893821159</t>
  </si>
  <si>
    <t>W 50 A244 1985</t>
  </si>
  <si>
    <t>0                      W  0050000A  244         1985</t>
  </si>
  <si>
    <t>Advance directives in medicine / edited by Chris Hackler, Ray Moseley, and Dorothy E. Vawter.</t>
  </si>
  <si>
    <t>New York : Praeger, c1989.</t>
  </si>
  <si>
    <t>Studies in health and human values ; v. 2</t>
  </si>
  <si>
    <t>2002-04-11</t>
  </si>
  <si>
    <t>431850315:eng</t>
  </si>
  <si>
    <t>19268679</t>
  </si>
  <si>
    <t>991001449239702656</t>
  </si>
  <si>
    <t>2272426380002656</t>
  </si>
  <si>
    <t>9780275932336</t>
  </si>
  <si>
    <t>30001001882309</t>
  </si>
  <si>
    <t>893552514</t>
  </si>
  <si>
    <t>W 50 A333 1953</t>
  </si>
  <si>
    <t>0                      W  0050000A  333         1953</t>
  </si>
  <si>
    <t>Great traditions in ethics : an introduction / [By] Ethel M. Albert, Theodore C. Denise [and] Sheldon P. Peterfreund.</t>
  </si>
  <si>
    <t>Albert, Ethel M. editor.</t>
  </si>
  <si>
    <t>[New York] : American Book Co., [1953]</t>
  </si>
  <si>
    <t>1953</t>
  </si>
  <si>
    <t>3943707659:eng</t>
  </si>
  <si>
    <t>1430259</t>
  </si>
  <si>
    <t>991001182399702656</t>
  </si>
  <si>
    <t>2259142910002656</t>
  </si>
  <si>
    <t>30001000309247</t>
  </si>
  <si>
    <t>893278845</t>
  </si>
  <si>
    <t>W50 A506e 1998</t>
  </si>
  <si>
    <t>0                      W  0050000A  506e        1998</t>
  </si>
  <si>
    <t>Ethics manual / American College of Physicians ; ACP Ethics Committee, Lloyd W. Kitchens, Jr. ... [et al.] ; staff authors and editors, Lois Snyder and Karine Morin.</t>
  </si>
  <si>
    <t>American College of Physicians. Ad Hoc Committee on Medical Ethics.</t>
  </si>
  <si>
    <t>Philadelphia : American College of Physicians, c1998.</t>
  </si>
  <si>
    <t>2004-11-23</t>
  </si>
  <si>
    <t>2004-11-22</t>
  </si>
  <si>
    <t>1151616180:eng</t>
  </si>
  <si>
    <t>38562560</t>
  </si>
  <si>
    <t>991000414129702656</t>
  </si>
  <si>
    <t>2265795690002656</t>
  </si>
  <si>
    <t>9780943126678</t>
  </si>
  <si>
    <t>30001004925667</t>
  </si>
  <si>
    <t>893354284</t>
  </si>
  <si>
    <t>W 50 A5116c 1998</t>
  </si>
  <si>
    <t>0                      W  0050000A  5116c       1998</t>
  </si>
  <si>
    <t>Code of medical ethics : current opinions with annotations : annotations prepared by the Southern Illinois University Schools of Medicine and Law.</t>
  </si>
  <si>
    <t>42289281</t>
  </si>
  <si>
    <t>991000582699702656</t>
  </si>
  <si>
    <t>2267013690002656</t>
  </si>
  <si>
    <t>9780899709604</t>
  </si>
  <si>
    <t>30001005209210</t>
  </si>
  <si>
    <t>893559968</t>
  </si>
  <si>
    <t>W 50 A5126v 1985</t>
  </si>
  <si>
    <t>0                      W  0050000A  5126v       1985</t>
  </si>
  <si>
    <t>Values in conflict : resolving ethical issues in hospital care : report of the Special Committee on Biomedical Ethics.</t>
  </si>
  <si>
    <t>American Hospital Association. Special Committee on Biomedical Ethics.</t>
  </si>
  <si>
    <t>Chicago, Ill. : American Hospital Association, c1985.</t>
  </si>
  <si>
    <t>1997-04-01</t>
  </si>
  <si>
    <t>4962331:eng</t>
  </si>
  <si>
    <t>12217121</t>
  </si>
  <si>
    <t>991001182439702656</t>
  </si>
  <si>
    <t>2266756120002656</t>
  </si>
  <si>
    <t>9780872584334</t>
  </si>
  <si>
    <t>30001000309254</t>
  </si>
  <si>
    <t>893369179</t>
  </si>
  <si>
    <t>W 50 A512c 1986</t>
  </si>
  <si>
    <t>0                      W  0050000A  512c        1986</t>
  </si>
  <si>
    <t>Current opinions of the Council on Ethical and Judicial Affairs of the American Medical Association--1986 : including the principles of medical ethics and rules of the Council on Ethical and Judicial Affairs / prepared by the Council on Ethical and Judicial Affairs ; Nancy W. Dickey, Chairman ... [et al.].</t>
  </si>
  <si>
    <t>Chicago, Ill. : The Association, c1986.</t>
  </si>
  <si>
    <t>1995-06-20</t>
  </si>
  <si>
    <t>1988-10-13</t>
  </si>
  <si>
    <t>10067232:eng</t>
  </si>
  <si>
    <t>15614832</t>
  </si>
  <si>
    <t>991001425629702656</t>
  </si>
  <si>
    <t>2269466700002656</t>
  </si>
  <si>
    <t>30001001184268</t>
  </si>
  <si>
    <t>893826737</t>
  </si>
  <si>
    <t>W 50 A512c 2008</t>
  </si>
  <si>
    <t>0                      W  0050000A  512c        2008</t>
  </si>
  <si>
    <t>Code of medical ethics of the American Medical Association : current opinions with annotations / American Medical Association, Council on Ethical and Judicial Affairs ; annotations prepared by the Southern Illinois University Schools of Medicine and Law.</t>
  </si>
  <si>
    <t>Chicago : AMA Press, c2008.</t>
  </si>
  <si>
    <t>2008-2009 ed.</t>
  </si>
  <si>
    <t>2009-04-02</t>
  </si>
  <si>
    <t>2009-01-27</t>
  </si>
  <si>
    <t>2909608906:eng</t>
  </si>
  <si>
    <t>237214234</t>
  </si>
  <si>
    <t>991001357069702656</t>
  </si>
  <si>
    <t>2265513310002656</t>
  </si>
  <si>
    <t>9781603590020</t>
  </si>
  <si>
    <t>30001005388709</t>
  </si>
  <si>
    <t>893826676</t>
  </si>
  <si>
    <t>W 50 A512E 1982</t>
  </si>
  <si>
    <t>0                      W  0050000A  512E        1982</t>
  </si>
  <si>
    <t>Ethical principles in the conduct of research with human participants / Committee for the Protection of Human Participants in Research.</t>
  </si>
  <si>
    <t>American Psychological Association.</t>
  </si>
  <si>
    <t>Washington, D.C. (1200 17th St., N.W., Washington 20036) : American Psychological Association, c1982</t>
  </si>
  <si>
    <t>2002-04-04</t>
  </si>
  <si>
    <t>1989-02-17</t>
  </si>
  <si>
    <t>4820688054:eng</t>
  </si>
  <si>
    <t>13234252</t>
  </si>
  <si>
    <t>991001123629702656</t>
  </si>
  <si>
    <t>2267655360002656</t>
  </si>
  <si>
    <t>30001001614926</t>
  </si>
  <si>
    <t>893743637</t>
  </si>
  <si>
    <t>W 50 A613s 1993</t>
  </si>
  <si>
    <t>0                      W  0050000A  613s        1993</t>
  </si>
  <si>
    <t>Standard of care : the law of American bioethics / George J. Annas.</t>
  </si>
  <si>
    <t>New York : Oxford University Press, c1993.</t>
  </si>
  <si>
    <t>2002-07-17</t>
  </si>
  <si>
    <t>1993-07-13</t>
  </si>
  <si>
    <t>597586:eng</t>
  </si>
  <si>
    <t>25867841</t>
  </si>
  <si>
    <t>991001653039702656</t>
  </si>
  <si>
    <t>2256120880002656</t>
  </si>
  <si>
    <t>9780195072471</t>
  </si>
  <si>
    <t>30001002569228</t>
  </si>
  <si>
    <t>893821360</t>
  </si>
  <si>
    <t>W 50 A817h 1989</t>
  </si>
  <si>
    <t>0                      W  0050000A  817h        1989</t>
  </si>
  <si>
    <t>Healthcare ethics : a theological analysis / Benedict M. Ashley, Kevin D. O'Rourke.</t>
  </si>
  <si>
    <t>Ashley, Benedict M.</t>
  </si>
  <si>
    <t>St. Louis, MO : Catholic Health Association of the United States, c1989.</t>
  </si>
  <si>
    <t>2006-12-09</t>
  </si>
  <si>
    <t>14696778:eng</t>
  </si>
  <si>
    <t>19389599</t>
  </si>
  <si>
    <t>991001316839702656</t>
  </si>
  <si>
    <t>2261712420002656</t>
  </si>
  <si>
    <t>9780871251589</t>
  </si>
  <si>
    <t>30001001753112</t>
  </si>
  <si>
    <t>893834636</t>
  </si>
  <si>
    <t>W50 A817h 2002</t>
  </si>
  <si>
    <t>0                      W  0050000A  817h        2002</t>
  </si>
  <si>
    <t>Ethics of health care : an introductory textbook / Benedict M. Ashley, Kevin D. O'Rourke.</t>
  </si>
  <si>
    <t>Washington, D.C. : Georgetown University Press, c2002.</t>
  </si>
  <si>
    <t>2004-08-25</t>
  </si>
  <si>
    <t>796489696:eng</t>
  </si>
  <si>
    <t>48966789</t>
  </si>
  <si>
    <t>991000377959702656</t>
  </si>
  <si>
    <t>2270327320002656</t>
  </si>
  <si>
    <t>9780878403752</t>
  </si>
  <si>
    <t>30001004922136</t>
  </si>
  <si>
    <t>893822104</t>
  </si>
  <si>
    <t>W 50 A826h 1986</t>
  </si>
  <si>
    <t>0                      W  0050000A  826h        1986</t>
  </si>
  <si>
    <t>The ethics of health care : a textbook / Benedict M. Ashley, Kevin D. O'Rourke.</t>
  </si>
  <si>
    <t>St. Louis, MO : Catholic Health Association of the United States, c1986.</t>
  </si>
  <si>
    <t>2004-03-14</t>
  </si>
  <si>
    <t>1988-05-01</t>
  </si>
  <si>
    <t>5218108980:eng</t>
  </si>
  <si>
    <t>12949659</t>
  </si>
  <si>
    <t>991001182479702656</t>
  </si>
  <si>
    <t>2255995050002656</t>
  </si>
  <si>
    <t>9780871251114</t>
  </si>
  <si>
    <t>30001000309262</t>
  </si>
  <si>
    <t>893358308</t>
  </si>
  <si>
    <t>W 50 A834 1998</t>
  </si>
  <si>
    <t>0                      W  0050000A  834         1998</t>
  </si>
  <si>
    <t>Asking to die : inside the Dutch debate about euthanasia / edited by David C. Thomasma ... [et al.].</t>
  </si>
  <si>
    <t>Dordrecht ; Boston : Kluwer Academic Publishers, c1998.</t>
  </si>
  <si>
    <t>2010-02-27</t>
  </si>
  <si>
    <t>1998-11-06</t>
  </si>
  <si>
    <t>793907907:eng</t>
  </si>
  <si>
    <t>39313504</t>
  </si>
  <si>
    <t>991001565689702656</t>
  </si>
  <si>
    <t>2269345260002656</t>
  </si>
  <si>
    <t>9780792351856</t>
  </si>
  <si>
    <t>30001004036481</t>
  </si>
  <si>
    <t>893162158</t>
  </si>
  <si>
    <t>W 50 B245m 1990</t>
  </si>
  <si>
    <t>0                      W  0050000B  245m        1990</t>
  </si>
  <si>
    <t>Medical ethics in practice / Terry R. Bard.</t>
  </si>
  <si>
    <t>Bard, Terry R.</t>
  </si>
  <si>
    <t>New York : Hemisphere Pub. Corp., c1990.</t>
  </si>
  <si>
    <t>Series in death education, aging, and health care, 0275-3510</t>
  </si>
  <si>
    <t>1997-04-26</t>
  </si>
  <si>
    <t>1991-01-10</t>
  </si>
  <si>
    <t>3009224:eng</t>
  </si>
  <si>
    <t>20826311</t>
  </si>
  <si>
    <t>991000768569702656</t>
  </si>
  <si>
    <t>2261094080002656</t>
  </si>
  <si>
    <t>9781560320562</t>
  </si>
  <si>
    <t>30001002061622</t>
  </si>
  <si>
    <t>893815413</t>
  </si>
  <si>
    <t>W 50 B358 1975</t>
  </si>
  <si>
    <t>0                      W  0050000B  358         1975</t>
  </si>
  <si>
    <t>Baylor law review : symposium issue - euthanasia.</t>
  </si>
  <si>
    <t>-- Waco, Texas : Baylor University Law School, 1975.</t>
  </si>
  <si>
    <t>txu</t>
  </si>
  <si>
    <t>1991-10-09</t>
  </si>
  <si>
    <t>15264024:eng</t>
  </si>
  <si>
    <t>5049843</t>
  </si>
  <si>
    <t>991001182669702656</t>
  </si>
  <si>
    <t>2254987780002656</t>
  </si>
  <si>
    <t>30001000309270</t>
  </si>
  <si>
    <t>893284531</t>
  </si>
  <si>
    <t>W 50 B358r 1984</t>
  </si>
  <si>
    <t>0                      W  0050000B  358r        1984</t>
  </si>
  <si>
    <t>Reproductive ethics / Michael D. Bayles.</t>
  </si>
  <si>
    <t>Bayles, Michael D.</t>
  </si>
  <si>
    <t>Englewood Cliffs, N.J. : Prentice-Hall, c1984.</t>
  </si>
  <si>
    <t>Prentice-Hall series in the philosophy of medicine</t>
  </si>
  <si>
    <t>2005-10-20</t>
  </si>
  <si>
    <t>43542084:eng</t>
  </si>
  <si>
    <t>9896581</t>
  </si>
  <si>
    <t>991001182719702656</t>
  </si>
  <si>
    <t>2264317670002656</t>
  </si>
  <si>
    <t>9780137739042</t>
  </si>
  <si>
    <t>30001000309296</t>
  </si>
  <si>
    <t>893168054</t>
  </si>
  <si>
    <t>W 50 B372m 1984</t>
  </si>
  <si>
    <t>0                      W  0050000B  372m        1984</t>
  </si>
  <si>
    <t>Medical ethics, the moral responsibilities of physicians / Tom L. Beauchamp, Laurence B. McCullough.</t>
  </si>
  <si>
    <t>Beauchamp, Tom L.</t>
  </si>
  <si>
    <t>Occupational ethics series</t>
  </si>
  <si>
    <t>2000-02-20</t>
  </si>
  <si>
    <t>366139856:eng</t>
  </si>
  <si>
    <t>10072140</t>
  </si>
  <si>
    <t>991000753659702656</t>
  </si>
  <si>
    <t>2264987560002656</t>
  </si>
  <si>
    <t>9780135726525</t>
  </si>
  <si>
    <t>30001000051724</t>
  </si>
  <si>
    <t>893540414</t>
  </si>
  <si>
    <t>W 50 B414r 1970</t>
  </si>
  <si>
    <t>0                      W  0050000B  414r        1970</t>
  </si>
  <si>
    <t>Research and the individual : human studies / by Henry K. Beecher.</t>
  </si>
  <si>
    <t>Beecher, Henry K. (Henry Knowles), 1904-1976.</t>
  </si>
  <si>
    <t>Boston : Little, Brown, c1970.</t>
  </si>
  <si>
    <t>836644911:eng</t>
  </si>
  <si>
    <t>61789</t>
  </si>
  <si>
    <t>991001182759702656</t>
  </si>
  <si>
    <t>2255240690002656</t>
  </si>
  <si>
    <t>30001000309304</t>
  </si>
  <si>
    <t>893740851</t>
  </si>
  <si>
    <t>W 50 B432f 1993</t>
  </si>
  <si>
    <t>0                      W  0050000B  432f        1993</t>
  </si>
  <si>
    <t>First, do no harm : a summer of life and death decisions at a Texas hospital / Lisa Belkin.</t>
  </si>
  <si>
    <t>Belkin, Lisa, 1960-</t>
  </si>
  <si>
    <t>New York : Simon &amp; Schuster, c1993.</t>
  </si>
  <si>
    <t>1997-10-28</t>
  </si>
  <si>
    <t>1993-02-03</t>
  </si>
  <si>
    <t>1974868:eng</t>
  </si>
  <si>
    <t>26673411</t>
  </si>
  <si>
    <t>991001428609702656</t>
  </si>
  <si>
    <t>2270080770002656</t>
  </si>
  <si>
    <t>9780671685386</t>
  </si>
  <si>
    <t>30001002527846</t>
  </si>
  <si>
    <t>893455800</t>
  </si>
  <si>
    <t>W 50 B615 1989</t>
  </si>
  <si>
    <t>0                      W  0050000B  615         1989</t>
  </si>
  <si>
    <t>Biomedical ethics reviews, 1988 : AIDS and ethics / edited by James M. Humber and Robert F. Almeder.</t>
  </si>
  <si>
    <t>Clifton, N.J. : Humana Press, c1989.</t>
  </si>
  <si>
    <t>Biomedical ethics reviews ; 1988</t>
  </si>
  <si>
    <t>1993-04-13</t>
  </si>
  <si>
    <t>1989-02-13</t>
  </si>
  <si>
    <t>2558527652:eng</t>
  </si>
  <si>
    <t>19870285</t>
  </si>
  <si>
    <t>991001122769702656</t>
  </si>
  <si>
    <t>2256666960002656</t>
  </si>
  <si>
    <t>9780896031531</t>
  </si>
  <si>
    <t>30001001614785</t>
  </si>
  <si>
    <t>893450889</t>
  </si>
  <si>
    <t>W 50 B6153 1991</t>
  </si>
  <si>
    <t>0                      W  0050000B  6153        1991</t>
  </si>
  <si>
    <t>Biomedical ethics / [edited by] Thomas A. Mappes, Jane S. Zembaty.</t>
  </si>
  <si>
    <t>New York : McGraw-Hill, c1991.</t>
  </si>
  <si>
    <t>2003-08-28</t>
  </si>
  <si>
    <t>1993-01-15</t>
  </si>
  <si>
    <t>480748930:eng</t>
  </si>
  <si>
    <t>21483682</t>
  </si>
  <si>
    <t>991001432829702656</t>
  </si>
  <si>
    <t>2261508750002656</t>
  </si>
  <si>
    <t>9780070401266</t>
  </si>
  <si>
    <t>30001002530113</t>
  </si>
  <si>
    <t>893134570</t>
  </si>
  <si>
    <t>W 50 B6153 1996</t>
  </si>
  <si>
    <t>0                      W  0050000B  6153        1996</t>
  </si>
  <si>
    <t>Biomedical ethics.</t>
  </si>
  <si>
    <t>New York : McGraw-Hill, c1996.</t>
  </si>
  <si>
    <t>4th ed. / [edited by] Thomas A. Mappes, David DeGrazia.</t>
  </si>
  <si>
    <t>2005-09-02</t>
  </si>
  <si>
    <t>1999-10-08</t>
  </si>
  <si>
    <t>32590843</t>
  </si>
  <si>
    <t>991000782339702656</t>
  </si>
  <si>
    <t>2272070400002656</t>
  </si>
  <si>
    <t>9780070401419</t>
  </si>
  <si>
    <t>30001004069979</t>
  </si>
  <si>
    <t>893368549</t>
  </si>
  <si>
    <t>W 50 B6156 1987</t>
  </si>
  <si>
    <t>0                      W  0050000B  6156        1987</t>
  </si>
  <si>
    <t>Biomedical ethics : opposing viewpoints / Bonnie Szumski, Susan Bursell, &amp; Julie S. Bach, book editors.</t>
  </si>
  <si>
    <t>St. Paul, Minn. : Greenhaven Press, c1987.</t>
  </si>
  <si>
    <t>Opposing viewpoints series</t>
  </si>
  <si>
    <t>2004-03-23</t>
  </si>
  <si>
    <t>918874953:eng</t>
  </si>
  <si>
    <t>14966400</t>
  </si>
  <si>
    <t>991000761499702656</t>
  </si>
  <si>
    <t>2264153600002656</t>
  </si>
  <si>
    <t>9780899083964</t>
  </si>
  <si>
    <t>30001000056277</t>
  </si>
  <si>
    <t>893726754</t>
  </si>
  <si>
    <t>W 50 B6156 2003</t>
  </si>
  <si>
    <t>0                      W  0050000B  6156        2003</t>
  </si>
  <si>
    <t>Biomedical ethics / Roman Espejo, book editor.</t>
  </si>
  <si>
    <t>Farmington Hills, MI : Greenhaven Press, c2003.</t>
  </si>
  <si>
    <t>Opposing viewpoints</t>
  </si>
  <si>
    <t>2004-09-13</t>
  </si>
  <si>
    <t>2004-09-07</t>
  </si>
  <si>
    <t>56795927:eng</t>
  </si>
  <si>
    <t>49259861</t>
  </si>
  <si>
    <t>991000383449702656</t>
  </si>
  <si>
    <t>2265293100002656</t>
  </si>
  <si>
    <t>9780737712193</t>
  </si>
  <si>
    <t>30001004920411</t>
  </si>
  <si>
    <t>893163396</t>
  </si>
  <si>
    <t>W 50 B642r 1984</t>
  </si>
  <si>
    <t>0                      W  0050000B  642r        1984</t>
  </si>
  <si>
    <t>Redefining human life : reproductive technologies and social policy / Robert H. Blank.</t>
  </si>
  <si>
    <t>Blank, Robert H.</t>
  </si>
  <si>
    <t>Boulder, Colo. : Westview Press, c1984.</t>
  </si>
  <si>
    <t>Westview special studies in science, technology, and public policy/society</t>
  </si>
  <si>
    <t>2001-11-05</t>
  </si>
  <si>
    <t>836633348:eng</t>
  </si>
  <si>
    <t>10451468</t>
  </si>
  <si>
    <t>991001183059702656</t>
  </si>
  <si>
    <t>2260827930002656</t>
  </si>
  <si>
    <t>9780865316652</t>
  </si>
  <si>
    <t>30001000309379</t>
  </si>
  <si>
    <t>893834596</t>
  </si>
  <si>
    <t>W50 B821h 2001</t>
  </si>
  <si>
    <t>0                      W  0050000B  821h        2001</t>
  </si>
  <si>
    <t>Healthcare ethics in a diverse society / Michael C. Brannigan, Judith A. Boss.</t>
  </si>
  <si>
    <t>Brannigan, Michael C., 1948-</t>
  </si>
  <si>
    <t>Mountain View, Calif. : Mayfield Pub. Co., c2001.</t>
  </si>
  <si>
    <t>2007-01-09</t>
  </si>
  <si>
    <t>2004-06-07</t>
  </si>
  <si>
    <t>33672354:eng</t>
  </si>
  <si>
    <t>44420470</t>
  </si>
  <si>
    <t>991000373759702656</t>
  </si>
  <si>
    <t>2255165690002656</t>
  </si>
  <si>
    <t>9781559349765</t>
  </si>
  <si>
    <t>30001004921328</t>
  </si>
  <si>
    <t>893275008</t>
  </si>
  <si>
    <t>W 50 B862h 1981</t>
  </si>
  <si>
    <t>0                      W  0050000B  862h        1981</t>
  </si>
  <si>
    <t>The handbook of medical ethics.</t>
  </si>
  <si>
    <t>British Medical Association.</t>
  </si>
  <si>
    <t>London : British Medical Association, c1981.</t>
  </si>
  <si>
    <t>1998-09-29</t>
  </si>
  <si>
    <t>54618296:eng</t>
  </si>
  <si>
    <t>10324844</t>
  </si>
  <si>
    <t>991001183099702656</t>
  </si>
  <si>
    <t>2272596160002656</t>
  </si>
  <si>
    <t>9780727900777</t>
  </si>
  <si>
    <t>30001000309387</t>
  </si>
  <si>
    <t>893168055</t>
  </si>
  <si>
    <t>W 50 B918d 1990</t>
  </si>
  <si>
    <t>0                      W  0050000B  918d        1990</t>
  </si>
  <si>
    <t>Deciding for others : the ethics of surrogate decision making / Allen E. Buchanan and Dan W. Brock.</t>
  </si>
  <si>
    <t>Buchanan, Allen E., 1948-</t>
  </si>
  <si>
    <t>Cambridge [England] ; New York : Cambridge University Press, c1990, reprinted 1995.</t>
  </si>
  <si>
    <t>Studies in philosophy and health policy</t>
  </si>
  <si>
    <t>2002-03-26</t>
  </si>
  <si>
    <t>1998-04-14</t>
  </si>
  <si>
    <t>836898974:eng</t>
  </si>
  <si>
    <t>19670049</t>
  </si>
  <si>
    <t>991001641599702656</t>
  </si>
  <si>
    <t>2266252840002656</t>
  </si>
  <si>
    <t>9780521311960</t>
  </si>
  <si>
    <t>30001004051274</t>
  </si>
  <si>
    <t>893649339</t>
  </si>
  <si>
    <t>W 50 B993 1986</t>
  </si>
  <si>
    <t>0                      W  0050000B  993         1986</t>
  </si>
  <si>
    <t>By no extraordinary means : the choice to forgo life-sustaining food and water / edited by Joanne Lynn.</t>
  </si>
  <si>
    <t>Bloomington : Indiana University Press, c1986.</t>
  </si>
  <si>
    <t>Medical ethics series</t>
  </si>
  <si>
    <t>1988-12-14</t>
  </si>
  <si>
    <t>797109483:eng</t>
  </si>
  <si>
    <t>13217895</t>
  </si>
  <si>
    <t>991001105469702656</t>
  </si>
  <si>
    <t>2261990350002656</t>
  </si>
  <si>
    <t>9780253312877</t>
  </si>
  <si>
    <t>30001001610833</t>
  </si>
  <si>
    <t>893820909</t>
  </si>
  <si>
    <t>W 50 C132n</t>
  </si>
  <si>
    <t>0                      W  0050000C  132n</t>
  </si>
  <si>
    <t>New problems in medical ethics / edited in English by Peter Flood ; translated by Malachy Gerard Carroll.</t>
  </si>
  <si>
    <t>Cahiers Laënnec.</t>
  </si>
  <si>
    <t>Cork, Ire. : Mercier Press, c1962.</t>
  </si>
  <si>
    <t>1962</t>
  </si>
  <si>
    <t xml:space="preserve">ie </t>
  </si>
  <si>
    <t>1992-09-21</t>
  </si>
  <si>
    <t>53999634:eng</t>
  </si>
  <si>
    <t>4757659</t>
  </si>
  <si>
    <t>991001183239702656</t>
  </si>
  <si>
    <t>2263298860002656</t>
  </si>
  <si>
    <t>30001000309452</t>
  </si>
  <si>
    <t>893278846</t>
  </si>
  <si>
    <t>30001000309395</t>
  </si>
  <si>
    <t>893278847</t>
  </si>
  <si>
    <t>W 50 C187p 1992</t>
  </si>
  <si>
    <t>0                      W  0050000C  187p        1992</t>
  </si>
  <si>
    <t>Practical medical ethics / Alastair Campbell, Grant Gillett, Gareth Jones.</t>
  </si>
  <si>
    <t>Campbell, Alastair V.</t>
  </si>
  <si>
    <t>Auckland ; New York : Oxford University Press, c1992.</t>
  </si>
  <si>
    <t xml:space="preserve">nz </t>
  </si>
  <si>
    <t>2004-04-12</t>
  </si>
  <si>
    <t>3857320183:eng</t>
  </si>
  <si>
    <t>27265295</t>
  </si>
  <si>
    <t>991001480699702656</t>
  </si>
  <si>
    <t>2261851630002656</t>
  </si>
  <si>
    <t>9780195582345</t>
  </si>
  <si>
    <t>30001002569186</t>
  </si>
  <si>
    <t>893561046</t>
  </si>
  <si>
    <t>W50 C187p 2005</t>
  </si>
  <si>
    <t>0                      W  0050000C  187p        2005</t>
  </si>
  <si>
    <t>Medical ethics / Alastair Campbell, Grant Gillett, and Gareth Jones.</t>
  </si>
  <si>
    <t>South Melbourne, Vic. ; New York : Oxford University Press, 2005.</t>
  </si>
  <si>
    <t>2010-09-15</t>
  </si>
  <si>
    <t>2006-04-10</t>
  </si>
  <si>
    <t>987709:eng</t>
  </si>
  <si>
    <t>61301736</t>
  </si>
  <si>
    <t>991000473679702656</t>
  </si>
  <si>
    <t>2258099680002656</t>
  </si>
  <si>
    <t>9780195584875</t>
  </si>
  <si>
    <t>30001004914331</t>
  </si>
  <si>
    <t>893447368</t>
  </si>
  <si>
    <t>W 50 C338 1989</t>
  </si>
  <si>
    <t>0                      W  0050000C  338         1989</t>
  </si>
  <si>
    <t>Cases in bioethics : selections from the Hastings Center report / edited by Carol Levine.</t>
  </si>
  <si>
    <t>New York : St. Martin's Press, c1989.</t>
  </si>
  <si>
    <t>2005-04-12</t>
  </si>
  <si>
    <t>1989-09-11</t>
  </si>
  <si>
    <t>157461854:eng</t>
  </si>
  <si>
    <t>21231876</t>
  </si>
  <si>
    <t>991000496779702656</t>
  </si>
  <si>
    <t>2259028670002656</t>
  </si>
  <si>
    <t>9780312012786</t>
  </si>
  <si>
    <t>30001001753682</t>
  </si>
  <si>
    <t>893139233</t>
  </si>
  <si>
    <t>W 50 C361d 1980</t>
  </si>
  <si>
    <t>0                      W  0050000C  361d        1980</t>
  </si>
  <si>
    <t>Declaration on euthanasia / Vatican Congregation for the Doctrine of the Faith.</t>
  </si>
  <si>
    <t>Catholic Church. Congregatio pro Doctrina Fidei.</t>
  </si>
  <si>
    <t>Washington, D.C. : Publications Office, United States Catholic Conference, c1980.</t>
  </si>
  <si>
    <t>2004-12-06</t>
  </si>
  <si>
    <t>3704658:eng</t>
  </si>
  <si>
    <t>6808603</t>
  </si>
  <si>
    <t>991001183609702656</t>
  </si>
  <si>
    <t>2260750150002656</t>
  </si>
  <si>
    <t>30001000309494</t>
  </si>
  <si>
    <t>893632791</t>
  </si>
  <si>
    <t>W50 C365 2001</t>
  </si>
  <si>
    <t>0                      W  0050000C  365         2001</t>
  </si>
  <si>
    <t>Catholic health care ethics : a manual for ethics committees / Peter J. Cataldo and Albert S. Moraczewski, editors ; with a foreword by Edmund D. Pellegrino.</t>
  </si>
  <si>
    <t>Boston, Mass. : National Catholic Bioethics Center, c2001.</t>
  </si>
  <si>
    <t>2009-11-06</t>
  </si>
  <si>
    <t>2002-06-28</t>
  </si>
  <si>
    <t>36314512:eng</t>
  </si>
  <si>
    <t>47521378</t>
  </si>
  <si>
    <t>991000305839702656</t>
  </si>
  <si>
    <t>2264228070002656</t>
  </si>
  <si>
    <t>9780935372441</t>
  </si>
  <si>
    <t>30001004236784</t>
  </si>
  <si>
    <t>893553380</t>
  </si>
  <si>
    <t>W 50 C397 1996</t>
  </si>
  <si>
    <t>0                      W  0050000C  397         1996</t>
  </si>
  <si>
    <t>The Center for Bioethics and Human Dignity presents Dignity and dying : a Christian appraisal / edited by John F. Kilner, Arlene B. Miller, and Edmund D. Pellegrino.</t>
  </si>
  <si>
    <t>[Carlisle, U.K.] : Paternoster Press ; Grand Rapids, Mich. : W.B. Eerdmans Pub. Co., c1996.</t>
  </si>
  <si>
    <t>Horizons in bioethics series</t>
  </si>
  <si>
    <t>1996-10-10</t>
  </si>
  <si>
    <t>3901605824:eng</t>
  </si>
  <si>
    <t>34710749</t>
  </si>
  <si>
    <t>991000848549702656</t>
  </si>
  <si>
    <t>2259997230002656</t>
  </si>
  <si>
    <t>30001003472943</t>
  </si>
  <si>
    <t>893651773</t>
  </si>
  <si>
    <t>W 50 C465p 1984</t>
  </si>
  <si>
    <t>0                      W  0050000C  465p        1984</t>
  </si>
  <si>
    <t>Physicians, law, and ethics / Carleton B. Chapman.</t>
  </si>
  <si>
    <t>Chapman, Carleton B.</t>
  </si>
  <si>
    <t>New York : New York University Press, c1984.</t>
  </si>
  <si>
    <t>3334900:eng</t>
  </si>
  <si>
    <t>10430283</t>
  </si>
  <si>
    <t>991001183529702656</t>
  </si>
  <si>
    <t>2269299470002656</t>
  </si>
  <si>
    <t>9780814713921</t>
  </si>
  <si>
    <t>30001000309502</t>
  </si>
  <si>
    <t>893821026</t>
  </si>
  <si>
    <t>W 50 C536w 1982</t>
  </si>
  <si>
    <t>0                      W  0050000C  536w        1982</t>
  </si>
  <si>
    <t>Who should decide? : paternalism in health care / James F. Childress.</t>
  </si>
  <si>
    <t>Childress, James F.</t>
  </si>
  <si>
    <t>New York : Oxford University Press, c1982.</t>
  </si>
  <si>
    <t>2004-04-15</t>
  </si>
  <si>
    <t>836693753:eng</t>
  </si>
  <si>
    <t>8452099</t>
  </si>
  <si>
    <t>991001183289702656</t>
  </si>
  <si>
    <t>2271501150002656</t>
  </si>
  <si>
    <t>30001000309510</t>
  </si>
  <si>
    <t>893284533</t>
  </si>
  <si>
    <t>W 50 C545 1992</t>
  </si>
  <si>
    <t>0                      W  0050000C  545         1992</t>
  </si>
  <si>
    <t>Choices and conflict : explorations in health care ethics / Emily Friedman, editor.</t>
  </si>
  <si>
    <t>Chicago, Ill. : American Hospital Pub., c1992.</t>
  </si>
  <si>
    <t>1992-11-10</t>
  </si>
  <si>
    <t>28420698:eng</t>
  </si>
  <si>
    <t>25547801</t>
  </si>
  <si>
    <t>991001346989702656</t>
  </si>
  <si>
    <t>2261691820002656</t>
  </si>
  <si>
    <t>9781556480829</t>
  </si>
  <si>
    <t>30001002457614</t>
  </si>
  <si>
    <t>893638254</t>
  </si>
  <si>
    <t>W 50 C566c 1966</t>
  </si>
  <si>
    <t>0                      W  0050000C  566c        1966</t>
  </si>
  <si>
    <t>Ethics in medical progress : with special reference to transplantation / edited by G.E.W. Wolstenholme and Maeve O'Connor.</t>
  </si>
  <si>
    <t>Ciba Foundation Symposium: Ethics in Medical Progress (1966 : London, England)</t>
  </si>
  <si>
    <t>Boston : Little, Brown, 1966.</t>
  </si>
  <si>
    <t>1966</t>
  </si>
  <si>
    <t>1991-04-03</t>
  </si>
  <si>
    <t>2067815290:eng</t>
  </si>
  <si>
    <t>528771</t>
  </si>
  <si>
    <t>991001183729702656</t>
  </si>
  <si>
    <t>2263608500002656</t>
  </si>
  <si>
    <t>30001000309536</t>
  </si>
  <si>
    <t>893161745</t>
  </si>
  <si>
    <t>W 50 C614 1998</t>
  </si>
  <si>
    <t>0                      W  0050000C  614         1998</t>
  </si>
  <si>
    <t>Classic works in medical ethics : core philosophical readings / edited by Gregory E. Pence.</t>
  </si>
  <si>
    <t>Boston, Mass. : McGraw-Hill, c1998.</t>
  </si>
  <si>
    <t>2009-05-19</t>
  </si>
  <si>
    <t>890035688:eng</t>
  </si>
  <si>
    <t>36501211</t>
  </si>
  <si>
    <t>991000580949702656</t>
  </si>
  <si>
    <t>2267860480002656</t>
  </si>
  <si>
    <t>9780070381155</t>
  </si>
  <si>
    <t>30001005208741</t>
  </si>
  <si>
    <t>893286573</t>
  </si>
  <si>
    <t>W 50 C626m 1982</t>
  </si>
  <si>
    <t>0                      W  0050000C  626m        1982</t>
  </si>
  <si>
    <t>Medical genetics casebook : a clinical introduction to medical ethics systems theory / by Colleen D. Clements.</t>
  </si>
  <si>
    <t>Clements, Colleen D.</t>
  </si>
  <si>
    <t>Clifton, N.J. : Humana Press, c1982.</t>
  </si>
  <si>
    <t>Contemporary issues in biomedicine, ethics, and society</t>
  </si>
  <si>
    <t>1998-02-18</t>
  </si>
  <si>
    <t>552669:eng</t>
  </si>
  <si>
    <t>8493204</t>
  </si>
  <si>
    <t>991001183769702656</t>
  </si>
  <si>
    <t>2271692700002656</t>
  </si>
  <si>
    <t>9780896030336</t>
  </si>
  <si>
    <t>30001000309544</t>
  </si>
  <si>
    <t>893632793</t>
  </si>
  <si>
    <t>W 50 C6395 1986</t>
  </si>
  <si>
    <t>0                      W  0050000C  6395        1986</t>
  </si>
  <si>
    <t>Clinical ethics : theory and practice / edited by Barry Hoffmaster, Benjamin Freedman, and Gwen Fraser.</t>
  </si>
  <si>
    <t>1993-04-12</t>
  </si>
  <si>
    <t>890073732:eng</t>
  </si>
  <si>
    <t>18417366</t>
  </si>
  <si>
    <t>991001355939702656</t>
  </si>
  <si>
    <t>2257483590002656</t>
  </si>
  <si>
    <t>9780896031388</t>
  </si>
  <si>
    <t>30001001796004</t>
  </si>
  <si>
    <t>893557898</t>
  </si>
  <si>
    <t>W  50 C669 2001</t>
  </si>
  <si>
    <t>0                      W  0050000C  669         2001</t>
  </si>
  <si>
    <t>Code of ethics for nurses with interpretive statements.</t>
  </si>
  <si>
    <t>Washington, D.C. : American Nurses Association, 2001.</t>
  </si>
  <si>
    <t>ANA pub ; no. CEN21</t>
  </si>
  <si>
    <t>2005-07-11</t>
  </si>
  <si>
    <t>2002-01-22</t>
  </si>
  <si>
    <t>998767:eng</t>
  </si>
  <si>
    <t>47659433</t>
  </si>
  <si>
    <t>991001711419702656</t>
  </si>
  <si>
    <t>22101747330002656</t>
  </si>
  <si>
    <t>9781558101760</t>
  </si>
  <si>
    <t>30001004566479</t>
  </si>
  <si>
    <t>893834746</t>
  </si>
  <si>
    <t>W 50 C714c 1977</t>
  </si>
  <si>
    <t>0                      W  0050000C  714c        1977</t>
  </si>
  <si>
    <t>Contemporary issues in biomedical ethics / edited by John W. Davis, Barry Hoffmaster, and Sarah Shorten.</t>
  </si>
  <si>
    <t>Colloquium on Biomedical Ethics (1977 : University of Western Ontario)</t>
  </si>
  <si>
    <t>Clifton, NJ : Humana Press, c1978.</t>
  </si>
  <si>
    <t>1997-04-27</t>
  </si>
  <si>
    <t>356299738:eng</t>
  </si>
  <si>
    <t>5630291</t>
  </si>
  <si>
    <t>991001183909702656</t>
  </si>
  <si>
    <t>2267103950002656</t>
  </si>
  <si>
    <t>9780896030022</t>
  </si>
  <si>
    <t>30001000309551</t>
  </si>
  <si>
    <t>893460330</t>
  </si>
  <si>
    <t>W 50 C733f 1977    OCMA</t>
  </si>
  <si>
    <t>0                      W  0050000C  733f        1977                                        OCMA</t>
  </si>
  <si>
    <t>From opposition to dialogue : new directions in Catholic thought toward the legalization of voluntary euthanasia / by Robert Joseph Comiskey.</t>
  </si>
  <si>
    <t>Comiskey, Robert Joseph, 1940-</t>
  </si>
  <si>
    <t>-- Ann Arbor, Mich. : University Microfilms International, 1978</t>
  </si>
  <si>
    <t>2000-04-02</t>
  </si>
  <si>
    <t>14725358:eng</t>
  </si>
  <si>
    <t>4384069</t>
  </si>
  <si>
    <t>991001184819702656</t>
  </si>
  <si>
    <t>2260942900002656</t>
  </si>
  <si>
    <t>30001000309742</t>
  </si>
  <si>
    <t>893552212</t>
  </si>
  <si>
    <t>W 50 C761 1999</t>
  </si>
  <si>
    <t>0                      W  0050000C  761         1999</t>
  </si>
  <si>
    <t>Contemporary issues in bioethics / edited by Tom L. Beauchamp &amp; LeRoy Walters.</t>
  </si>
  <si>
    <t>Belmont, CA : Wadsworth Pub., c1999.</t>
  </si>
  <si>
    <t>2005-10-18</t>
  </si>
  <si>
    <t>1999-02-03</t>
  </si>
  <si>
    <t>364468255:eng</t>
  </si>
  <si>
    <t>40251617</t>
  </si>
  <si>
    <t>991000874769702656</t>
  </si>
  <si>
    <t>2256851630002656</t>
  </si>
  <si>
    <t>9780534504762</t>
  </si>
  <si>
    <t>30001004158848</t>
  </si>
  <si>
    <t>893826126</t>
  </si>
  <si>
    <t>W50 C761 2003</t>
  </si>
  <si>
    <t>0                      W  0050000C  761         2003</t>
  </si>
  <si>
    <t>Belmont, CA : Wadsworth--Thompson Learning, c2003.</t>
  </si>
  <si>
    <t>50685785</t>
  </si>
  <si>
    <t>991001719799702656</t>
  </si>
  <si>
    <t>2272412640002656</t>
  </si>
  <si>
    <t>9780534584429</t>
  </si>
  <si>
    <t>30001004501641</t>
  </si>
  <si>
    <t>893121789</t>
  </si>
  <si>
    <t>W 50 C785 1985</t>
  </si>
  <si>
    <t>0                      W  0050000C  785         1985</t>
  </si>
  <si>
    <t>Bioethics : a casebook / Mark Coppenger.</t>
  </si>
  <si>
    <t>Coppenger, Mark T.</t>
  </si>
  <si>
    <t>Englewood Cliffs, N.J. : Prentice-Hall, c1985.</t>
  </si>
  <si>
    <t>2003-04-24</t>
  </si>
  <si>
    <t>1987-08-20</t>
  </si>
  <si>
    <t>889681298:eng</t>
  </si>
  <si>
    <t>11067433</t>
  </si>
  <si>
    <t>991001184179702656</t>
  </si>
  <si>
    <t>2261091190002656</t>
  </si>
  <si>
    <t>9780130782397</t>
  </si>
  <si>
    <t>30001000309627</t>
  </si>
  <si>
    <t>893161746</t>
  </si>
  <si>
    <t>W 50 C886e 1986</t>
  </si>
  <si>
    <t>0                      W  0050000C  886e        1986</t>
  </si>
  <si>
    <t>Ethics committees : a practical approach / Robert Paul Craig, Carl L. Middleton, Laurence O'Connell.</t>
  </si>
  <si>
    <t>Craig, Robert P.</t>
  </si>
  <si>
    <t>1997-11-23</t>
  </si>
  <si>
    <t>198932824:eng</t>
  </si>
  <si>
    <t>12836124</t>
  </si>
  <si>
    <t>991001184329702656</t>
  </si>
  <si>
    <t>2266468390002656</t>
  </si>
  <si>
    <t>9780871251107</t>
  </si>
  <si>
    <t>30001000309635</t>
  </si>
  <si>
    <t>893541096</t>
  </si>
  <si>
    <t>W 50 C891s 1975</t>
  </si>
  <si>
    <t>0                      W  0050000C  891s        1975</t>
  </si>
  <si>
    <t>The sanctity of social life : physicians' treatment of critically ill patients / Diana Crane.</t>
  </si>
  <si>
    <t>Crane, Diana, 1933-</t>
  </si>
  <si>
    <t>New Brunswick, N.J. : Transaction Books, [1977] c1975.</t>
  </si>
  <si>
    <t>1st paperback ed. with new pref.</t>
  </si>
  <si>
    <t>1989-03-23</t>
  </si>
  <si>
    <t>517680:eng</t>
  </si>
  <si>
    <t>3205103</t>
  </si>
  <si>
    <t>991000170379702656</t>
  </si>
  <si>
    <t>2269360830002656</t>
  </si>
  <si>
    <t>9780878556489</t>
  </si>
  <si>
    <t>30001000309643</t>
  </si>
  <si>
    <t>893553238</t>
  </si>
  <si>
    <t>W 50 C932 1990</t>
  </si>
  <si>
    <t>0                      W  0050000C  932         1990</t>
  </si>
  <si>
    <t>The Crisis in health care / edited by Nancy F. McKenzie.</t>
  </si>
  <si>
    <t>New York, N.Y. : New American Library, c1990.</t>
  </si>
  <si>
    <t>2005-09-07</t>
  </si>
  <si>
    <t>140823260:eng</t>
  </si>
  <si>
    <t>20797435</t>
  </si>
  <si>
    <t>991000768829702656</t>
  </si>
  <si>
    <t>2266168420002656</t>
  </si>
  <si>
    <t>9780452010284</t>
  </si>
  <si>
    <t>30001002061648</t>
  </si>
  <si>
    <t>893373672</t>
  </si>
  <si>
    <t>W 50 C951 1989</t>
  </si>
  <si>
    <t>0                      W  0050000C  951         1989</t>
  </si>
  <si>
    <t>Cross cultural perspectives in medical ethics / Robert M. Veatch, [editor].</t>
  </si>
  <si>
    <t>Boston, MA : Jones and Bartlett, c1989.</t>
  </si>
  <si>
    <t>889561136:eng</t>
  </si>
  <si>
    <t>18628714</t>
  </si>
  <si>
    <t>991001105589702656</t>
  </si>
  <si>
    <t>2268219250002656</t>
  </si>
  <si>
    <t>30001001610874</t>
  </si>
  <si>
    <t>893284405</t>
  </si>
  <si>
    <t>W 50 C976p 1973</t>
  </si>
  <si>
    <t>0                      W  0050000C  976p        1973</t>
  </si>
  <si>
    <t>Politics, medicine, and Christian ethics : a dialogue with Paul Ramsey / Charles E. Curran.</t>
  </si>
  <si>
    <t>Curran, Charles E.</t>
  </si>
  <si>
    <t>Philadelphia : Fortress Press, [1973]</t>
  </si>
  <si>
    <t>1622221:eng</t>
  </si>
  <si>
    <t>704669</t>
  </si>
  <si>
    <t>991001184349702656</t>
  </si>
  <si>
    <t>2259166830002656</t>
  </si>
  <si>
    <t>9780800605001</t>
  </si>
  <si>
    <t>30001000309650</t>
  </si>
  <si>
    <t>893460331</t>
  </si>
  <si>
    <t>W 50 D183s 1995</t>
  </si>
  <si>
    <t>0                      W  0050000D  183s        1995</t>
  </si>
  <si>
    <t>Seeking fair treatment : from the AIDS epidemic to national health care reform / Norman Daniels.</t>
  </si>
  <si>
    <t>Daniels, Norman, 1942-</t>
  </si>
  <si>
    <t>New York : Oxford University Press, c1995.</t>
  </si>
  <si>
    <t>2003-04-17</t>
  </si>
  <si>
    <t>1995-05-02</t>
  </si>
  <si>
    <t>793979106:eng</t>
  </si>
  <si>
    <t>31516981</t>
  </si>
  <si>
    <t>991001399539702656</t>
  </si>
  <si>
    <t>2270709970002656</t>
  </si>
  <si>
    <t>9780195057126</t>
  </si>
  <si>
    <t>30001003147529</t>
  </si>
  <si>
    <t>893460530</t>
  </si>
  <si>
    <t>W 50 D2863p 1994</t>
  </si>
  <si>
    <t>0                      W  0050000D  2863p       1994</t>
  </si>
  <si>
    <t>A primer for health care ethics : essays for a pluralistic society / Jean deBlois, Patrick Norris, Kevin O'Rourke.</t>
  </si>
  <si>
    <t>DeBlois, Jean.</t>
  </si>
  <si>
    <t>Washington, D.C. : Georgetown University Press, c1994.</t>
  </si>
  <si>
    <t>1997-11-14</t>
  </si>
  <si>
    <t>31882232:eng</t>
  </si>
  <si>
    <t>30110526</t>
  </si>
  <si>
    <t>991001198989702656</t>
  </si>
  <si>
    <t>2255606310002656</t>
  </si>
  <si>
    <t>9780878405626</t>
  </si>
  <si>
    <t>30001003654102</t>
  </si>
  <si>
    <t>893369216</t>
  </si>
  <si>
    <t>W 50 D294 1979</t>
  </si>
  <si>
    <t>0                      W  0050000D  294         1979</t>
  </si>
  <si>
    <t>Decision making in medicine : the practice of its ethics / edited by Gordon Scorer and Antony Wing.</t>
  </si>
  <si>
    <t>London : Edward Arnold, 1979.</t>
  </si>
  <si>
    <t>1999-07-28</t>
  </si>
  <si>
    <t>21948801:eng</t>
  </si>
  <si>
    <t>6356015</t>
  </si>
  <si>
    <t>991001184509702656</t>
  </si>
  <si>
    <t>2269600060002656</t>
  </si>
  <si>
    <t>9780713143423</t>
  </si>
  <si>
    <t>30001000309700</t>
  </si>
  <si>
    <t>893831981</t>
  </si>
  <si>
    <t>W 50 D6367 1989</t>
  </si>
  <si>
    <t>0                      W  0050000D  6367        1989</t>
  </si>
  <si>
    <t>Doctors' decisions : ethical conflicts in medical practice / edited by G.R. Dunstan and E.A. Shinebourne.</t>
  </si>
  <si>
    <t>Oxford ; New York : Oxford University Press, c1989.</t>
  </si>
  <si>
    <t>1991-11-16</t>
  </si>
  <si>
    <t>1990-09-28</t>
  </si>
  <si>
    <t>836730054:eng</t>
  </si>
  <si>
    <t>18588287</t>
  </si>
  <si>
    <t>991001455039702656</t>
  </si>
  <si>
    <t>2272553400002656</t>
  </si>
  <si>
    <t>9780192616319</t>
  </si>
  <si>
    <t>30001001884875</t>
  </si>
  <si>
    <t>893541426</t>
  </si>
  <si>
    <t>W 50 D637 1980</t>
  </si>
  <si>
    <t>0                      W  0050000D  637         1980</t>
  </si>
  <si>
    <t>Doctors, patients, and society : power and authority in medical care / edited by Martin S. Staum and Donald E. Larsen ; essays by David J. Roy ... [et al.].</t>
  </si>
  <si>
    <t>Waterloo, Ont., Canada : Published by Wilfrid Laurier University Press for the Calgary Institute for the Humanities, c1981.</t>
  </si>
  <si>
    <t xml:space="preserve">ja </t>
  </si>
  <si>
    <t>1990-12-02</t>
  </si>
  <si>
    <t>855536710:eng</t>
  </si>
  <si>
    <t>9255090</t>
  </si>
  <si>
    <t>991001184849702656</t>
  </si>
  <si>
    <t>2263881410002656</t>
  </si>
  <si>
    <t>9780889201118</t>
  </si>
  <si>
    <t>30001000309734</t>
  </si>
  <si>
    <t>893284535</t>
  </si>
  <si>
    <t>W 50 D655m 1983</t>
  </si>
  <si>
    <t>0                      W  0050000D  655m        1983</t>
  </si>
  <si>
    <t>Medical ethics / Peter Doherty.</t>
  </si>
  <si>
    <t>Doherty, Peter.</t>
  </si>
  <si>
    <t>Bristol : Guild of Catholic Doctors, c1983.</t>
  </si>
  <si>
    <t>2000-09-06</t>
  </si>
  <si>
    <t>3756663987:eng</t>
  </si>
  <si>
    <t>10430087</t>
  </si>
  <si>
    <t>991001184969702656</t>
  </si>
  <si>
    <t>2261296650002656</t>
  </si>
  <si>
    <t>30001000309759</t>
  </si>
  <si>
    <t>893736299</t>
  </si>
  <si>
    <t>W 50 D751e 1969</t>
  </si>
  <si>
    <t>0                      W  0050000D  751e        1969</t>
  </si>
  <si>
    <t>Euthanasia and the right to death : the case for voluntary euthanasia / edited by A. B. Downing.</t>
  </si>
  <si>
    <t>London : Owen, 1969.</t>
  </si>
  <si>
    <t>Contemporary issues series ; 2</t>
  </si>
  <si>
    <t>2000-10-01</t>
  </si>
  <si>
    <t>836625496:eng</t>
  </si>
  <si>
    <t>27493</t>
  </si>
  <si>
    <t>991001184999702656</t>
  </si>
  <si>
    <t>2262624990002656</t>
  </si>
  <si>
    <t>9780720628302</t>
  </si>
  <si>
    <t>30001000309767</t>
  </si>
  <si>
    <t>893455538</t>
  </si>
  <si>
    <t>W 50 D814e 1992</t>
  </si>
  <si>
    <t>0                      W  0050000D  814e        1992</t>
  </si>
  <si>
    <t>Ethics on call : a medical ethicist shows how to take charge of life-and-death choices / Nancy Neveloff Dubler and David Nimmons.</t>
  </si>
  <si>
    <t>Dubler, Nancy N.</t>
  </si>
  <si>
    <t>New York : Harmony Books, c1992.</t>
  </si>
  <si>
    <t>1994-05-22</t>
  </si>
  <si>
    <t>228280562:eng</t>
  </si>
  <si>
    <t>24908151</t>
  </si>
  <si>
    <t>991001344939702656</t>
  </si>
  <si>
    <t>2267078580002656</t>
  </si>
  <si>
    <t>9780517583999</t>
  </si>
  <si>
    <t>30001002456855</t>
  </si>
  <si>
    <t>893451097</t>
  </si>
  <si>
    <t>W 50 D981w 1988</t>
  </si>
  <si>
    <t>0                      W  0050000D  981w        1988</t>
  </si>
  <si>
    <t>Worse than the disease : pitfalls of medical progress / Diana B. Dutton, with contributions by Thomas A. Preston, Nancy E. Pfund.</t>
  </si>
  <si>
    <t>Dutton, Diana Barbara.</t>
  </si>
  <si>
    <t>Cambridge ; New York : Cambridge University Press, 1988.</t>
  </si>
  <si>
    <t>1998-11-14</t>
  </si>
  <si>
    <t>1989-07-11</t>
  </si>
  <si>
    <t>836740148:eng</t>
  </si>
  <si>
    <t>17234197</t>
  </si>
  <si>
    <t>991001253079702656</t>
  </si>
  <si>
    <t>2255361870002656</t>
  </si>
  <si>
    <t>9780521340236</t>
  </si>
  <si>
    <t>30001001679507</t>
  </si>
  <si>
    <t>893541161</t>
  </si>
  <si>
    <t>W50 E23e 1999</t>
  </si>
  <si>
    <t>0                      W  0050000E  23e         1999</t>
  </si>
  <si>
    <t>The ethics of health care : a guide for clinical practice / Raymond S. Edge, John Randall Groves.</t>
  </si>
  <si>
    <t>Edge, Raymond S.</t>
  </si>
  <si>
    <t>Albany, N.Y. : Delmar Publishers, c1998.</t>
  </si>
  <si>
    <t>2005-11-07</t>
  </si>
  <si>
    <t>2007-03-13</t>
  </si>
  <si>
    <t>2001-01-11</t>
  </si>
  <si>
    <t>358560:eng</t>
  </si>
  <si>
    <t>39368340</t>
  </si>
  <si>
    <t>991001571399702656</t>
  </si>
  <si>
    <t>2258009610002656</t>
  </si>
  <si>
    <t>9780766805187</t>
  </si>
  <si>
    <t>30001004231843</t>
  </si>
  <si>
    <t>893358721</t>
  </si>
  <si>
    <t>1998-12-17</t>
  </si>
  <si>
    <t>30001004036697</t>
  </si>
  <si>
    <t>893364273</t>
  </si>
  <si>
    <t>W 50 E57f 1986</t>
  </si>
  <si>
    <t>0                      W  0050000E  57f         1986</t>
  </si>
  <si>
    <t>The foundations of bioethics / by H. Tristram Engelhardt, Jr.</t>
  </si>
  <si>
    <t>Engelhardt, H. Tristram (Hugo Tristram), Jr., 1941-2018.</t>
  </si>
  <si>
    <t>New York : Oxford University Press, c1986.</t>
  </si>
  <si>
    <t>2005-02-12</t>
  </si>
  <si>
    <t>4315710:eng</t>
  </si>
  <si>
    <t>11548300</t>
  </si>
  <si>
    <t>991001185069702656</t>
  </si>
  <si>
    <t>2269153890002656</t>
  </si>
  <si>
    <t>9780195036084</t>
  </si>
  <si>
    <t>30001000309791</t>
  </si>
  <si>
    <t>893121251</t>
  </si>
  <si>
    <t>W50 E8213 2001</t>
  </si>
  <si>
    <t>0                      W  0050000E  8213        2001</t>
  </si>
  <si>
    <t>Ethical deliberation in multi-professional health care teams / edited by Hubert Doucet, Jean-Marc Larouche, Kenneth R. Melchin.</t>
  </si>
  <si>
    <t>Ottawa : University of Ottawa Press, c2001.</t>
  </si>
  <si>
    <t>onc</t>
  </si>
  <si>
    <t>2007-08-22</t>
  </si>
  <si>
    <t>2005-02-03</t>
  </si>
  <si>
    <t>766890594:eng</t>
  </si>
  <si>
    <t>46908230</t>
  </si>
  <si>
    <t>991000426169702656</t>
  </si>
  <si>
    <t>2259018930002656</t>
  </si>
  <si>
    <t>9780776605258</t>
  </si>
  <si>
    <t>30001004927275</t>
  </si>
  <si>
    <t>893728418</t>
  </si>
  <si>
    <t>W 50 E822 1981</t>
  </si>
  <si>
    <t>0                      W  0050000E  822         1981</t>
  </si>
  <si>
    <t>Ethical dimensions of clinical medicine / edited by Dennis A. Robbins and Allen R. Dyer.</t>
  </si>
  <si>
    <t>Springfield, Ill. : Thomas, c1981.</t>
  </si>
  <si>
    <t>1989-04-26</t>
  </si>
  <si>
    <t>472376:eng</t>
  </si>
  <si>
    <t>7278372</t>
  </si>
  <si>
    <t>991001185269702656</t>
  </si>
  <si>
    <t>2256463440002656</t>
  </si>
  <si>
    <t>9780398045036</t>
  </si>
  <si>
    <t>30001000309833</t>
  </si>
  <si>
    <t>893821027</t>
  </si>
  <si>
    <t>W 50 E823 1988</t>
  </si>
  <si>
    <t>0                      W  0050000E  823         1988</t>
  </si>
  <si>
    <t>Ethical issues in caring / edited by Gavin Fairbairn, Susan Fairbairn.</t>
  </si>
  <si>
    <t>Aldershot ; Brookfield USA : Avebury ; Brookfield, Vt., USA : Gower, c1988.</t>
  </si>
  <si>
    <t>1989-09-27</t>
  </si>
  <si>
    <t>363947416:eng</t>
  </si>
  <si>
    <t>17774651</t>
  </si>
  <si>
    <t>991001323129702656</t>
  </si>
  <si>
    <t>2262613870002656</t>
  </si>
  <si>
    <t>9780566052668</t>
  </si>
  <si>
    <t>30001001754185</t>
  </si>
  <si>
    <t>893816304</t>
  </si>
  <si>
    <t>W 50 E825 1996</t>
  </si>
  <si>
    <t>0                      W  0050000E  825         1996</t>
  </si>
  <si>
    <t>Ethical issues in death and dying / edited by Tom L. Beauchamp, Robert M. Veatch.</t>
  </si>
  <si>
    <t>Upper Saddle River, N.J. : Prentice Hall, c1996.</t>
  </si>
  <si>
    <t>2004-10-03</t>
  </si>
  <si>
    <t>351184767:eng</t>
  </si>
  <si>
    <t>32590768</t>
  </si>
  <si>
    <t>991001139559702656</t>
  </si>
  <si>
    <t>2272076470002656</t>
  </si>
  <si>
    <t>9780132827324</t>
  </si>
  <si>
    <t>30001003629120</t>
  </si>
  <si>
    <t>893460304</t>
  </si>
  <si>
    <t>W 50 E84 1983</t>
  </si>
  <si>
    <t>0                      W  0050000E  84          1983</t>
  </si>
  <si>
    <t>Ethics and animals / edited by Harlan B. Miller and William H. Williams.</t>
  </si>
  <si>
    <t>Clifton, N.J. : Humana Press, c1983.</t>
  </si>
  <si>
    <t>1993-12-07</t>
  </si>
  <si>
    <t>355404367:eng</t>
  </si>
  <si>
    <t>9066381</t>
  </si>
  <si>
    <t>991001185149702656</t>
  </si>
  <si>
    <t>2269823620002656</t>
  </si>
  <si>
    <t>9780896030367</t>
  </si>
  <si>
    <t>30001000309825</t>
  </si>
  <si>
    <t>893552213</t>
  </si>
  <si>
    <t>W 50 E84 1988</t>
  </si>
  <si>
    <t>0                      W  0050000E  84          1988</t>
  </si>
  <si>
    <t>The Ethics of care and the ethics of cure : synthesis in chronicity / Jean Watson and Marilyn A. Ray, editors.</t>
  </si>
  <si>
    <t>[Denver] : University of Colorado Center for Human Caring ; New York : National League for Nursing, c1988.</t>
  </si>
  <si>
    <t>NLN pub. no. 15-2237</t>
  </si>
  <si>
    <t>1998-01-12</t>
  </si>
  <si>
    <t>1988-12-06</t>
  </si>
  <si>
    <t>423070696:eng</t>
  </si>
  <si>
    <t>20724249</t>
  </si>
  <si>
    <t>991001107069702656</t>
  </si>
  <si>
    <t>2270709040002656</t>
  </si>
  <si>
    <t>9780887374180</t>
  </si>
  <si>
    <t>30001001611310</t>
  </si>
  <si>
    <t>893557594</t>
  </si>
  <si>
    <t>W 50 E84 1990</t>
  </si>
  <si>
    <t>0                      W  0050000E  84          1990</t>
  </si>
  <si>
    <t>Ethics at the bedside / edited by Charles M. Culver.</t>
  </si>
  <si>
    <t>Hanover : University Press of New England, c1990.</t>
  </si>
  <si>
    <t>nhu</t>
  </si>
  <si>
    <t>1999-12-01</t>
  </si>
  <si>
    <t>1990-11-16</t>
  </si>
  <si>
    <t>375876:eng</t>
  </si>
  <si>
    <t>21764482</t>
  </si>
  <si>
    <t>991000763199702656</t>
  </si>
  <si>
    <t>2263336640002656</t>
  </si>
  <si>
    <t>9780874515299</t>
  </si>
  <si>
    <t>30001002060533</t>
  </si>
  <si>
    <t>893450221</t>
  </si>
  <si>
    <t>W 50 E842 1989</t>
  </si>
  <si>
    <t>0                      W  0050000E  842         1989</t>
  </si>
  <si>
    <t>Ethics consultation in health care / edited by John C. Fletcher, Norman Quist, and Albert R. Jonsen.</t>
  </si>
  <si>
    <t>Ann Arbor, Mich. : Health Administration Press, c1989.</t>
  </si>
  <si>
    <t>2000-11-06</t>
  </si>
  <si>
    <t>1989-12-06</t>
  </si>
  <si>
    <t>432002739:eng</t>
  </si>
  <si>
    <t>19814399</t>
  </si>
  <si>
    <t>991001377599702656</t>
  </si>
  <si>
    <t>2259317610002656</t>
  </si>
  <si>
    <t>9780910701396</t>
  </si>
  <si>
    <t>30001001798463</t>
  </si>
  <si>
    <t>893651999</t>
  </si>
  <si>
    <t>W 50 E8432 1989</t>
  </si>
  <si>
    <t>0                      W  0050000E  8432        1989</t>
  </si>
  <si>
    <t>Ethics in medicine : individual integrity versus demands of society : proceedings of the third world congress / editors, Peter Allebeck, Bengt Jansson.</t>
  </si>
  <si>
    <t>New York : Raven Press, c1990.</t>
  </si>
  <si>
    <t>Karolinska Institute Nobel conference series</t>
  </si>
  <si>
    <t>2000-08-30</t>
  </si>
  <si>
    <t>1990-11-02</t>
  </si>
  <si>
    <t>889901859:eng</t>
  </si>
  <si>
    <t>21296731</t>
  </si>
  <si>
    <t>991000774799702656</t>
  </si>
  <si>
    <t>2271100140002656</t>
  </si>
  <si>
    <t>9780881676600</t>
  </si>
  <si>
    <t>30001002062927</t>
  </si>
  <si>
    <t>893651563</t>
  </si>
  <si>
    <t>W 50 E848 1988</t>
  </si>
  <si>
    <t>0                      W  0050000E  848         1988</t>
  </si>
  <si>
    <t>Ethics, technology, and medicine / edited by David Braine and Harry Lesser.</t>
  </si>
  <si>
    <t>Aldershot ; Brookfield, USA : Avebury, c1988.</t>
  </si>
  <si>
    <t>Avebury series in philosophy</t>
  </si>
  <si>
    <t>1999-04-01</t>
  </si>
  <si>
    <t>351776609:eng</t>
  </si>
  <si>
    <t>17805771</t>
  </si>
  <si>
    <t>991001323079702656</t>
  </si>
  <si>
    <t>2261823840002656</t>
  </si>
  <si>
    <t>9780566052491</t>
  </si>
  <si>
    <t>30001001754169</t>
  </si>
  <si>
    <t>893541254</t>
  </si>
  <si>
    <t>W 50 E84c 1983</t>
  </si>
  <si>
    <t>0                      W  0050000E  84c         1983</t>
  </si>
  <si>
    <t>Ethics committees : a challenge for Catholic health care / edited by Margaret John Kelly and Donald G. McCarthy.</t>
  </si>
  <si>
    <t>St. Louis, MO : Pope John XXIII Medical-Moral Research and Education Center : Catholic Health Association of the United States, c1984.</t>
  </si>
  <si>
    <t>3589937:eng</t>
  </si>
  <si>
    <t>10780872</t>
  </si>
  <si>
    <t>991001184549702656</t>
  </si>
  <si>
    <t>2255176000002656</t>
  </si>
  <si>
    <t>9780871250964</t>
  </si>
  <si>
    <t>30001000309684</t>
  </si>
  <si>
    <t>893148950</t>
  </si>
  <si>
    <t>W50 E86 2005</t>
  </si>
  <si>
    <t>0                      W  0050000E  86          2005</t>
  </si>
  <si>
    <t>Expanding horizons in bioethics / edited by Arthur W. Galston and Christiana Z. Peppard.</t>
  </si>
  <si>
    <t>Dordrecht : Springer, 2005.</t>
  </si>
  <si>
    <t>2006-03-17</t>
  </si>
  <si>
    <t>2006-03-13</t>
  </si>
  <si>
    <t>1083022584:eng</t>
  </si>
  <si>
    <t>60519951</t>
  </si>
  <si>
    <t>991000466739702656</t>
  </si>
  <si>
    <t>2269142700002656</t>
  </si>
  <si>
    <t>9781402030611</t>
  </si>
  <si>
    <t>30001004913143</t>
  </si>
  <si>
    <t>893639248</t>
  </si>
  <si>
    <t>W 50 E902 1984</t>
  </si>
  <si>
    <t>0                      W  0050000E  902         1984</t>
  </si>
  <si>
    <t>Euthanasia and the newborn : conflicts regarding saving lives / edited by Richard C. McMillan, H. Tristram Engelhardt, Jr., and Stuart F. Spicker.</t>
  </si>
  <si>
    <t>Dordrecht ; Boston : D. Reidel Pub. Co. ; Norwell, MA, U.S.A. : Sold and distributed in the U.S.A. and Canada by Kluwer Academic Publishers, c1987.</t>
  </si>
  <si>
    <t>Philosophy and medicine ; v. 24</t>
  </si>
  <si>
    <t>1997-03-18</t>
  </si>
  <si>
    <t>1989-07-10</t>
  </si>
  <si>
    <t>836702874:eng</t>
  </si>
  <si>
    <t>15084710</t>
  </si>
  <si>
    <t>991001185319702656</t>
  </si>
  <si>
    <t>2257093680002656</t>
  </si>
  <si>
    <t>9789027722997</t>
  </si>
  <si>
    <t>30001000309866</t>
  </si>
  <si>
    <t>893161747</t>
  </si>
  <si>
    <t>W 50 E91 1988</t>
  </si>
  <si>
    <t>0                      W  0050000E  91          1988</t>
  </si>
  <si>
    <t>Euthanasia of the companion animal : the impact on pet owners, veterinarians, and society / edited by William J. Kay ... [et. al.].</t>
  </si>
  <si>
    <t>Philadelphia, Pa. : The Charles Press, Publishers, c1988</t>
  </si>
  <si>
    <t>1989-02-22</t>
  </si>
  <si>
    <t>1082452:eng</t>
  </si>
  <si>
    <t>19553468</t>
  </si>
  <si>
    <t>991001105999702656</t>
  </si>
  <si>
    <t>2256242380002656</t>
  </si>
  <si>
    <t>9780914783244</t>
  </si>
  <si>
    <t>30001001611005</t>
  </si>
  <si>
    <t>893450878</t>
  </si>
  <si>
    <t>W50 F224c 2002</t>
  </si>
  <si>
    <t>0                      W  0050000F  224c        2002</t>
  </si>
  <si>
    <t>Compassionate respect : a feminist approach to medical ethics and other questions / Margaret A. Farley.</t>
  </si>
  <si>
    <t>Farley, Margaret A.</t>
  </si>
  <si>
    <t>New York : Paulist Press, c2002.</t>
  </si>
  <si>
    <t>Madeleva lecture in spirituality ; 2002</t>
  </si>
  <si>
    <t>2004-04-29</t>
  </si>
  <si>
    <t>891825777:eng</t>
  </si>
  <si>
    <t>50447998</t>
  </si>
  <si>
    <t>991000369909702656</t>
  </si>
  <si>
    <t>2271435430002656</t>
  </si>
  <si>
    <t>9780809141159</t>
  </si>
  <si>
    <t>30001004920429</t>
  </si>
  <si>
    <t>893558790</t>
  </si>
  <si>
    <t>W 50 F623 1883F</t>
  </si>
  <si>
    <t>0                      W  0050000F  623         1883F</t>
  </si>
  <si>
    <t>Medical ethics and etiquette : the code of ethics adopted by the American Medical Association / with commentaries by Austin Flint.</t>
  </si>
  <si>
    <t>-- Ann Arbor, Michigan : University Microfilms International, c1979.</t>
  </si>
  <si>
    <t>1995-12-11</t>
  </si>
  <si>
    <t>314821052:eng</t>
  </si>
  <si>
    <t>5022074</t>
  </si>
  <si>
    <t>991001185449702656</t>
  </si>
  <si>
    <t>2258057170002656</t>
  </si>
  <si>
    <t>30001000309882</t>
  </si>
  <si>
    <t>893450929</t>
  </si>
  <si>
    <t>W 50 F793r 1980</t>
  </si>
  <si>
    <t>0                      W  0050000F  793r        1980</t>
  </si>
  <si>
    <t>Returning to Eden : animal rights and human responsibility / Michael W. Fox.</t>
  </si>
  <si>
    <t>Fox, Michael W., 1937-</t>
  </si>
  <si>
    <t>New York : Viking Press, c1980.</t>
  </si>
  <si>
    <t>1990-11-23</t>
  </si>
  <si>
    <t>5461340:eng</t>
  </si>
  <si>
    <t>6278459</t>
  </si>
  <si>
    <t>991001185489702656</t>
  </si>
  <si>
    <t>2266876380002656</t>
  </si>
  <si>
    <t>9780670127221</t>
  </si>
  <si>
    <t>30001000309908</t>
  </si>
  <si>
    <t>893134328</t>
  </si>
  <si>
    <t>W 50 F8255b 1983</t>
  </si>
  <si>
    <t>0                      W  0050000F  8255b       1983</t>
  </si>
  <si>
    <t>Biomedical ethics : the decision making processes / Robert T. Francoeur.</t>
  </si>
  <si>
    <t>Francoeur, Robert T.</t>
  </si>
  <si>
    <t>New York : Wiley, c1983.</t>
  </si>
  <si>
    <t>2001-04-04</t>
  </si>
  <si>
    <t>42858949:eng</t>
  </si>
  <si>
    <t>9488682</t>
  </si>
  <si>
    <t>991001185719702656</t>
  </si>
  <si>
    <t>2264905270002656</t>
  </si>
  <si>
    <t>9780471098270</t>
  </si>
  <si>
    <t>30001000309916</t>
  </si>
  <si>
    <t>893831983</t>
  </si>
  <si>
    <t>W 50 F855t 1987</t>
  </si>
  <si>
    <t>0                      W  0050000F  855t        1987</t>
  </si>
  <si>
    <t>Tough decisions : a casebook in medical ethics / John M. Freeman, Kevin McDonnell.</t>
  </si>
  <si>
    <t>Freeman, John Mark.</t>
  </si>
  <si>
    <t>1998-09-21</t>
  </si>
  <si>
    <t>10177311273:eng</t>
  </si>
  <si>
    <t>14932241</t>
  </si>
  <si>
    <t>991001535199702656</t>
  </si>
  <si>
    <t>2264050810002656</t>
  </si>
  <si>
    <t>9780195042559</t>
  </si>
  <si>
    <t>30001000622656</t>
  </si>
  <si>
    <t>893834716</t>
  </si>
  <si>
    <t>W 50 F911r 1996</t>
  </si>
  <si>
    <t>0                      W  0050000F  911r        1996</t>
  </si>
  <si>
    <t>The right thing : ten years of ethics columns from the Healthcare forum journal / Emily Friedman.</t>
  </si>
  <si>
    <t>Friedman, Emily.</t>
  </si>
  <si>
    <t>San Francisco : Jossey-Bass Publishers, c1996.</t>
  </si>
  <si>
    <t>1997-06-04</t>
  </si>
  <si>
    <t>1869915409:eng</t>
  </si>
  <si>
    <t>34192442</t>
  </si>
  <si>
    <t>991001250019702656</t>
  </si>
  <si>
    <t>2259983940002656</t>
  </si>
  <si>
    <t>9780787902254</t>
  </si>
  <si>
    <t>30001003682624</t>
  </si>
  <si>
    <t>893161801</t>
  </si>
  <si>
    <t>W 50 G239h 1998</t>
  </si>
  <si>
    <t>0                      W  0050000G  239h        1998</t>
  </si>
  <si>
    <t>Health care ethics : principles and problems / Thomas M. Garrett, Harold W. Baillie, Rosellen M. Garrett.</t>
  </si>
  <si>
    <t>Garrett, Thomas M., 1924-1997.</t>
  </si>
  <si>
    <t>Upper Saddle River, N.J. : Prentice Hall, c1998.</t>
  </si>
  <si>
    <t>2008-08-15</t>
  </si>
  <si>
    <t>16481443:eng</t>
  </si>
  <si>
    <t>37282488</t>
  </si>
  <si>
    <t>991001564029702656</t>
  </si>
  <si>
    <t>2257349440002656</t>
  </si>
  <si>
    <t>9780138566340</t>
  </si>
  <si>
    <t>30001003664960</t>
  </si>
  <si>
    <t>893374740</t>
  </si>
  <si>
    <t>W 50 G548c 1985</t>
  </si>
  <si>
    <t>0                      W  0050000G  548c        1985</t>
  </si>
  <si>
    <t>Caring for the special child : ethical decision making / John Glaser.</t>
  </si>
  <si>
    <t>Glaser, Jack.</t>
  </si>
  <si>
    <t>Kansas City, MO : Leaven Press, c1985.</t>
  </si>
  <si>
    <t>1999-11-22</t>
  </si>
  <si>
    <t>4255751:eng</t>
  </si>
  <si>
    <t>11850856</t>
  </si>
  <si>
    <t>991001206629702656</t>
  </si>
  <si>
    <t>2264107800002656</t>
  </si>
  <si>
    <t>9780934134149</t>
  </si>
  <si>
    <t>30001000320087</t>
  </si>
  <si>
    <t>893363887</t>
  </si>
  <si>
    <t>W 50 G566c 1977</t>
  </si>
  <si>
    <t>0                      W  0050000G  566c        1977</t>
  </si>
  <si>
    <t>Causing death and saving lives / Jonathan Glover.</t>
  </si>
  <si>
    <t>Glover, Jonathan.</t>
  </si>
  <si>
    <t>Harmondsworth ; New York [etc.] : Penguin, 1982 printing, c1977.</t>
  </si>
  <si>
    <t>Pelican books</t>
  </si>
  <si>
    <t>1998-04-22</t>
  </si>
  <si>
    <t>14684558:eng</t>
  </si>
  <si>
    <t>4468071</t>
  </si>
  <si>
    <t>991001185759702656</t>
  </si>
  <si>
    <t>2256745620002656</t>
  </si>
  <si>
    <t>9780140220032</t>
  </si>
  <si>
    <t>30001000309924</t>
  </si>
  <si>
    <t>893727322</t>
  </si>
  <si>
    <t>W 50 G585c 1957</t>
  </si>
  <si>
    <t>0                      W  0050000G  585c        1957</t>
  </si>
  <si>
    <t>Hospital ethics : a commentary on the moral code of Catholic hospitals / by Rev. Edgar Godin and Rev. J.P.E. O'Hanley.</t>
  </si>
  <si>
    <t>Godin, Edgar.</t>
  </si>
  <si>
    <t>Bathurst, N.B. : Hotel Dieu Hospital, 1957.</t>
  </si>
  <si>
    <t>nkc</t>
  </si>
  <si>
    <t>2001-09-02</t>
  </si>
  <si>
    <t>4435522237:eng</t>
  </si>
  <si>
    <t>2774517</t>
  </si>
  <si>
    <t>991001185799702656</t>
  </si>
  <si>
    <t>2272433610002656</t>
  </si>
  <si>
    <t>30001000309932</t>
  </si>
  <si>
    <t>893557673</t>
  </si>
  <si>
    <t>W 50 G728e 1985</t>
  </si>
  <si>
    <t>0                      W  0050000G  728e        1985</t>
  </si>
  <si>
    <t>Ethical analysis of clinical medicine : a guide to self-evaluation / Glenn C. Graber, Alfred D. Beasley, John A. Eaddy.</t>
  </si>
  <si>
    <t>Graber, Glenn C.</t>
  </si>
  <si>
    <t>Baltimore : Urban &amp; Schwarzenberg, c1985.</t>
  </si>
  <si>
    <t>2003-09-12</t>
  </si>
  <si>
    <t>289716193:eng</t>
  </si>
  <si>
    <t>11785085</t>
  </si>
  <si>
    <t>991001185989702656</t>
  </si>
  <si>
    <t>2267522230002656</t>
  </si>
  <si>
    <t>9780806707013</t>
  </si>
  <si>
    <t>30001000309965</t>
  </si>
  <si>
    <t>893546433</t>
  </si>
  <si>
    <t>W 50 G946 1987</t>
  </si>
  <si>
    <t>0                      W  0050000G  946         1987</t>
  </si>
  <si>
    <t>Guidelines on the termination of life-sustaining treatment and the care of the dying : a report of the Hastings Center.</t>
  </si>
  <si>
    <t>Briarcliff, N.Y. : The Center, c1987.</t>
  </si>
  <si>
    <t>1998-12-14</t>
  </si>
  <si>
    <t>1987-12-10</t>
  </si>
  <si>
    <t>890041276:eng</t>
  </si>
  <si>
    <t>16683299</t>
  </si>
  <si>
    <t>991001533249702656</t>
  </si>
  <si>
    <t>2257157440002656</t>
  </si>
  <si>
    <t>9780916558239</t>
  </si>
  <si>
    <t>30001000622177</t>
  </si>
  <si>
    <t>893638417</t>
  </si>
  <si>
    <t>W 50 H112k 1989</t>
  </si>
  <si>
    <t>0                      W  0050000H  112k        1989</t>
  </si>
  <si>
    <t>Keeping up the good work : a practitioner's guide to mental health ethics / Leonard J. Haas, John L. Malouf.</t>
  </si>
  <si>
    <t>Haas, Leonard J.</t>
  </si>
  <si>
    <t>Sarasota, Fla. : Professional Resource Exchange, c1989.</t>
  </si>
  <si>
    <t>flu</t>
  </si>
  <si>
    <t>1997-12-01</t>
  </si>
  <si>
    <t>1989-08-17</t>
  </si>
  <si>
    <t>22864369:eng</t>
  </si>
  <si>
    <t>21198231</t>
  </si>
  <si>
    <t>991001313599702656</t>
  </si>
  <si>
    <t>2263867540002656</t>
  </si>
  <si>
    <t>9780943158280</t>
  </si>
  <si>
    <t>30001001751926</t>
  </si>
  <si>
    <t>893168129</t>
  </si>
  <si>
    <t>W 50 H178h 1990</t>
  </si>
  <si>
    <t>0                      W  0050000H  178h        1990</t>
  </si>
  <si>
    <t>Health care law and ethics in a nutshell / by Mark A. Hall and Ira M. Ellman.</t>
  </si>
  <si>
    <t>Hall, Mark A. (Mark Anthony), 1884-1970.</t>
  </si>
  <si>
    <t>St. Paul, Minn. : West Pub. Co., c1990.</t>
  </si>
  <si>
    <t>mnu</t>
  </si>
  <si>
    <t>West nutshell series</t>
  </si>
  <si>
    <t>1991-05-21</t>
  </si>
  <si>
    <t>16470955:eng</t>
  </si>
  <si>
    <t>20422457</t>
  </si>
  <si>
    <t>991001681299702656</t>
  </si>
  <si>
    <t>2264999860002656</t>
  </si>
  <si>
    <t>9780314676450</t>
  </si>
  <si>
    <t>30001001796533</t>
  </si>
  <si>
    <t>893816522</t>
  </si>
  <si>
    <t>W 50 H4344 1994</t>
  </si>
  <si>
    <t>0                      W  0050000H  4344        1994</t>
  </si>
  <si>
    <t>Health care ethics : critical issues / [edited by] John F. Monagle, David C. Thomasma.</t>
  </si>
  <si>
    <t>Gaithersburg, Md. : Aspen Publishers, c1994.</t>
  </si>
  <si>
    <t>2005-10-31</t>
  </si>
  <si>
    <t>1994-03-30</t>
  </si>
  <si>
    <t>630639:eng</t>
  </si>
  <si>
    <t>28749321</t>
  </si>
  <si>
    <t>991001161729702656</t>
  </si>
  <si>
    <t>2269509610002656</t>
  </si>
  <si>
    <t>30001002974253</t>
  </si>
  <si>
    <t>893278785</t>
  </si>
  <si>
    <t>W 50 H732h 1986</t>
  </si>
  <si>
    <t>0                      W  0050000H  732h        1986</t>
  </si>
  <si>
    <t>Health and medicine in the Methodist tradition : journey toward wholeness / E. Brooks Holifield.</t>
  </si>
  <si>
    <t>Holifield, E. Brooks.</t>
  </si>
  <si>
    <t>New York : Crossroad, c1986.</t>
  </si>
  <si>
    <t>Health/medicine and the faith traditions</t>
  </si>
  <si>
    <t>1989-03-09</t>
  </si>
  <si>
    <t>889440257:eng</t>
  </si>
  <si>
    <t>13947789</t>
  </si>
  <si>
    <t>991001240989702656</t>
  </si>
  <si>
    <t>2267085010002656</t>
  </si>
  <si>
    <t>9780824507923</t>
  </si>
  <si>
    <t>30001001675661</t>
  </si>
  <si>
    <t>893374386</t>
  </si>
  <si>
    <t>W 50 H843w 1970</t>
  </si>
  <si>
    <t>0                      W  0050000H  843w        1970</t>
  </si>
  <si>
    <t>Who shall live : medicine, technology, ethics / edited by Kenneth Vaux.</t>
  </si>
  <si>
    <t>Houston Conference on Ethics in Medicine and Technology (1968)</t>
  </si>
  <si>
    <t>Philadelphia : Fortress Press, c1970.</t>
  </si>
  <si>
    <t>1996-05-10</t>
  </si>
  <si>
    <t>1988-07-13</t>
  </si>
  <si>
    <t>1956124637:eng</t>
  </si>
  <si>
    <t>58511</t>
  </si>
  <si>
    <t>991001326959702656</t>
  </si>
  <si>
    <t>2260091660002656</t>
  </si>
  <si>
    <t>30001001088014</t>
  </si>
  <si>
    <t>893557822</t>
  </si>
  <si>
    <t>W 50 H891d 1989</t>
  </si>
  <si>
    <t>0                      W  0050000H  891d        1989</t>
  </si>
  <si>
    <t>Dimensions of the healing ministry / James E. Hug in association with the Center of Concern.</t>
  </si>
  <si>
    <t>Hug, James E.</t>
  </si>
  <si>
    <t>2006-03-28</t>
  </si>
  <si>
    <t>21123928:eng</t>
  </si>
  <si>
    <t>19352615</t>
  </si>
  <si>
    <t>991001445699702656</t>
  </si>
  <si>
    <t>2264178140002656</t>
  </si>
  <si>
    <t>9780871251701</t>
  </si>
  <si>
    <t>30001001880444</t>
  </si>
  <si>
    <t>893451214</t>
  </si>
  <si>
    <t>W 50 I43g 1984</t>
  </si>
  <si>
    <t>0                      W  0050000I  43g         1984</t>
  </si>
  <si>
    <t>Guidelines for infant bioethics committees.</t>
  </si>
  <si>
    <t>Infant Bioethics Task Foce and Consultants.</t>
  </si>
  <si>
    <t>Elk Grove Village, IL : Allen Press, Inc., 1984.</t>
  </si>
  <si>
    <t>Pediatrics ; v. 14, no. 2</t>
  </si>
  <si>
    <t>1987-12-31</t>
  </si>
  <si>
    <t>12177240:eng</t>
  </si>
  <si>
    <t>16465541</t>
  </si>
  <si>
    <t>991001277049702656</t>
  </si>
  <si>
    <t>2269255620002656</t>
  </si>
  <si>
    <t>30001000359812</t>
  </si>
  <si>
    <t>893284625</t>
  </si>
  <si>
    <t>W 50 I607 1996</t>
  </si>
  <si>
    <t>0                      W  0050000I  607         1996</t>
  </si>
  <si>
    <t>Intending death : the ethics of assisted suicide and euthanasia / edited by Tom L. Beauchamp.</t>
  </si>
  <si>
    <t>2004-11-27</t>
  </si>
  <si>
    <t>837027996:eng</t>
  </si>
  <si>
    <t>32051619</t>
  </si>
  <si>
    <t>991001564639702656</t>
  </si>
  <si>
    <t>2270170110002656</t>
  </si>
  <si>
    <t>9780131995550</t>
  </si>
  <si>
    <t>30001003664853</t>
  </si>
  <si>
    <t>893541514</t>
  </si>
  <si>
    <t>W50  I618 2000</t>
  </si>
  <si>
    <t>0                      W  0050000I  618         2000</t>
  </si>
  <si>
    <t>Intervention and reflection : basic issues in medical ethics / [compiled by] Ronald Munson, with the assistance of Miriam Munson.</t>
  </si>
  <si>
    <t>Belmont, CA : Wadsworth, c2000.</t>
  </si>
  <si>
    <t>2005-04-21</t>
  </si>
  <si>
    <t>4921836418:eng</t>
  </si>
  <si>
    <t>40869749</t>
  </si>
  <si>
    <t>991000342539702656</t>
  </si>
  <si>
    <t>2269474040002656</t>
  </si>
  <si>
    <t>9780534520397</t>
  </si>
  <si>
    <t>30001004503795</t>
  </si>
  <si>
    <t>893547725</t>
  </si>
  <si>
    <t>W 50 I619 1997</t>
  </si>
  <si>
    <t>0                      W  0050000I  619         1997</t>
  </si>
  <si>
    <t>Introduction to clinical ethics / general editors, John C. Fletcher ... [et al.] ; contributing authors, Robert Boyle ... [et al.].</t>
  </si>
  <si>
    <t>Frederick, Md. : University Pub. Group, c1997.</t>
  </si>
  <si>
    <t>55461351:eng</t>
  </si>
  <si>
    <t>38889388</t>
  </si>
  <si>
    <t>991000749809702656</t>
  </si>
  <si>
    <t>2256680480002656</t>
  </si>
  <si>
    <t>9781555720506</t>
  </si>
  <si>
    <t>30001004057446</t>
  </si>
  <si>
    <t>893731064</t>
  </si>
  <si>
    <t>W 50 I61p 1987</t>
  </si>
  <si>
    <t>0                      W  0050000I  61p         1987</t>
  </si>
  <si>
    <t>Proceedings of the International Congress on Ethics in Medicine, June, 1987 co-sponsored by Beth Israel Medical Center, New York, NY, U.S.A., Ben-Gurion University of the Negev, Beersheva, Israel, [and] the Karolinska Institute, Stockholm, Sweden.</t>
  </si>
  <si>
    <t>International Congress on Ethics in Medicine (2nd : 1987 : New York, N.Y.)</t>
  </si>
  <si>
    <t>New York, NY. : Beth Israel Medical Center, c1988.</t>
  </si>
  <si>
    <t>1989-07-05</t>
  </si>
  <si>
    <t>3856270010:eng</t>
  </si>
  <si>
    <t>18835885</t>
  </si>
  <si>
    <t>991001309109702656</t>
  </si>
  <si>
    <t>2259801030002656</t>
  </si>
  <si>
    <t>9780962133619</t>
  </si>
  <si>
    <t>30001001750258</t>
  </si>
  <si>
    <t>893460457</t>
  </si>
  <si>
    <t>W 50 J15d 1988</t>
  </si>
  <si>
    <t>0                      W  0050000J  15d         1988</t>
  </si>
  <si>
    <t>Doctors and rules : a sociology of professional values / Joseph M. Jacob ; foreword by Donald MacRae.</t>
  </si>
  <si>
    <t>Jacob, Joseph M., 1943-</t>
  </si>
  <si>
    <t>London ; New York : Routledge, c1988.</t>
  </si>
  <si>
    <t>1998-10-16</t>
  </si>
  <si>
    <t>1989-08-31</t>
  </si>
  <si>
    <t>15590822:eng</t>
  </si>
  <si>
    <t>17412436</t>
  </si>
  <si>
    <t>991001314319702656</t>
  </si>
  <si>
    <t>2264489330002656</t>
  </si>
  <si>
    <t>9780415006880</t>
  </si>
  <si>
    <t>30001001752239</t>
  </si>
  <si>
    <t>893632942</t>
  </si>
  <si>
    <t>W 50 J59 1979</t>
  </si>
  <si>
    <t>0                      W  0050000J  59          1979</t>
  </si>
  <si>
    <t>Jewish bioethics / edited by Fred Rosner and J. David Bleich ; with contributions by Menachem M. Brayer ... [et al.].</t>
  </si>
  <si>
    <t>New York : Sanhedrin Press, c1979.</t>
  </si>
  <si>
    <t>2002-04-01</t>
  </si>
  <si>
    <t>350974217:eng</t>
  </si>
  <si>
    <t>5674857</t>
  </si>
  <si>
    <t>991001206559702656</t>
  </si>
  <si>
    <t>2260282440002656</t>
  </si>
  <si>
    <t>9780884829348</t>
  </si>
  <si>
    <t>30001000320061</t>
  </si>
  <si>
    <t>893363886</t>
  </si>
  <si>
    <t>W 50 J595 1986</t>
  </si>
  <si>
    <t>0                      W  0050000J  595         1986</t>
  </si>
  <si>
    <t>Jewish values in bioethics / edited by Rabbi Levi Meier.</t>
  </si>
  <si>
    <t>New York, N.Y. : Human Sciences Press, c1986.</t>
  </si>
  <si>
    <t>2005-04-26</t>
  </si>
  <si>
    <t>1989-07-03</t>
  </si>
  <si>
    <t>7015791:eng</t>
  </si>
  <si>
    <t>13760307</t>
  </si>
  <si>
    <t>991001252349702656</t>
  </si>
  <si>
    <t>2254806360002656</t>
  </si>
  <si>
    <t>9780898852998</t>
  </si>
  <si>
    <t>30001001679283</t>
  </si>
  <si>
    <t>893727380</t>
  </si>
  <si>
    <t>W 50 J81c 1998</t>
  </si>
  <si>
    <t>0                      W  0050000J  81c         1998</t>
  </si>
  <si>
    <t>Clinical ethics : a practical approach to ethical decisions in clinical medicine / Albert R. Jonsen, Mark Siegler, William J. Winslade.</t>
  </si>
  <si>
    <t>Jonsen, Albert R.</t>
  </si>
  <si>
    <t>New York : McGraw-Hill, Health Professions Division, c1998.</t>
  </si>
  <si>
    <t>2005-11-16</t>
  </si>
  <si>
    <t>793997490:eng</t>
  </si>
  <si>
    <t>37647058</t>
  </si>
  <si>
    <t>991001137439702656</t>
  </si>
  <si>
    <t>2254931740002656</t>
  </si>
  <si>
    <t>9780070331204</t>
  </si>
  <si>
    <t>30001003626670</t>
  </si>
  <si>
    <t>893358252</t>
  </si>
  <si>
    <t>W50 J81c 2002</t>
  </si>
  <si>
    <t>0                      W  0050000J  81c         2002</t>
  </si>
  <si>
    <t>New York : McGraw Hill, Medical Pub. Division, c2002.</t>
  </si>
  <si>
    <t>49619614</t>
  </si>
  <si>
    <t>991000338129702656</t>
  </si>
  <si>
    <t>2269185260002656</t>
  </si>
  <si>
    <t>9780071387637</t>
  </si>
  <si>
    <t>30001004501823</t>
  </si>
  <si>
    <t>893150934</t>
  </si>
  <si>
    <t>W 50 J96 1988</t>
  </si>
  <si>
    <t>0                      W  0050000J  96          1988</t>
  </si>
  <si>
    <t>Just caring : justice, health care, and the good society : an ethics forum.</t>
  </si>
  <si>
    <t>Goshen, Ind. : Goshen General Hospital, [1988?]</t>
  </si>
  <si>
    <t>inu</t>
  </si>
  <si>
    <t>1989-06-26</t>
  </si>
  <si>
    <t>1898456114:eng</t>
  </si>
  <si>
    <t>19090381</t>
  </si>
  <si>
    <t>991001251589702656</t>
  </si>
  <si>
    <t>2269179870002656</t>
  </si>
  <si>
    <t>30001001678996</t>
  </si>
  <si>
    <t>893460390</t>
  </si>
  <si>
    <t>W 50 K1895d 1989</t>
  </si>
  <si>
    <t>0                      W  0050000K  1895d       1989</t>
  </si>
  <si>
    <t>Doctors under Hitler / Michael H. Kater.</t>
  </si>
  <si>
    <t>Kater, Michael H., 1937-</t>
  </si>
  <si>
    <t>Chapel Hill : University of North Carolina Press, c1989.</t>
  </si>
  <si>
    <t>13637662:eng</t>
  </si>
  <si>
    <t>19264823</t>
  </si>
  <si>
    <t>991001449559702656</t>
  </si>
  <si>
    <t>2265669120002656</t>
  </si>
  <si>
    <t>9780807818428</t>
  </si>
  <si>
    <t>30001001882390</t>
  </si>
  <si>
    <t>893732037</t>
  </si>
  <si>
    <t>W 50 K38m 1981</t>
  </si>
  <si>
    <t>0                      W  0050000K  38m         1981</t>
  </si>
  <si>
    <t>Medical stewardship : fulfilling the Hippocratic legacy / M. Oliver Kepler.</t>
  </si>
  <si>
    <t>Kepler, M. Oliver (Milton Oliver), 1920-</t>
  </si>
  <si>
    <t>Westport, Conn. : Greenwood Press, 1981.</t>
  </si>
  <si>
    <t>1991-07-13</t>
  </si>
  <si>
    <t>446406:eng</t>
  </si>
  <si>
    <t>6890100</t>
  </si>
  <si>
    <t>991001256029702656</t>
  </si>
  <si>
    <t>2271282190002656</t>
  </si>
  <si>
    <t>9780313224898</t>
  </si>
  <si>
    <t>30001000344848</t>
  </si>
  <si>
    <t>893740902</t>
  </si>
  <si>
    <t>W 50 K48w 1990</t>
  </si>
  <si>
    <t>0                      W  0050000K  48w         1990</t>
  </si>
  <si>
    <t>Who lives? Who dies? : ethical criteria in patient selection / John F. Kilner.</t>
  </si>
  <si>
    <t>Kilner, John Frederic.</t>
  </si>
  <si>
    <t>New Haven : Yale University Press, c1990.</t>
  </si>
  <si>
    <t>2004-11-07</t>
  </si>
  <si>
    <t>503205300:eng</t>
  </si>
  <si>
    <t>20013150</t>
  </si>
  <si>
    <t>991001450089702656</t>
  </si>
  <si>
    <t>2260235920002656</t>
  </si>
  <si>
    <t>9780300046809</t>
  </si>
  <si>
    <t>30001001882655</t>
  </si>
  <si>
    <t>893832202</t>
  </si>
  <si>
    <t>W 50 K53m 1991</t>
  </si>
  <si>
    <t>0                      W  0050000K  53m         1991</t>
  </si>
  <si>
    <t>Making sense of advance directives / Nancy King.</t>
  </si>
  <si>
    <t>King, Nancy M. P.</t>
  </si>
  <si>
    <t>Dordrecht ; Boston : Kluwer Academic, c1991.</t>
  </si>
  <si>
    <t>Clinical medical ethics ; v. 2</t>
  </si>
  <si>
    <t>2003-02-13</t>
  </si>
  <si>
    <t>1991-08-30</t>
  </si>
  <si>
    <t>1991-10-29</t>
  </si>
  <si>
    <t>1034947:eng</t>
  </si>
  <si>
    <t>23140438</t>
  </si>
  <si>
    <t>991001648139702656</t>
  </si>
  <si>
    <t>2266742020002656</t>
  </si>
  <si>
    <t>9780792311638</t>
  </si>
  <si>
    <t>30001002193870</t>
  </si>
  <si>
    <t>893279240</t>
  </si>
  <si>
    <t>W 50 K66p 1975</t>
  </si>
  <si>
    <t>0                      W  0050000K  66p         1975</t>
  </si>
  <si>
    <t>The practice of death / Eike-Henner W. Kluge.</t>
  </si>
  <si>
    <t>Kluge, Eike-Henner W.</t>
  </si>
  <si>
    <t>New Haven : Yale University Press, 1975.</t>
  </si>
  <si>
    <t>1997-03-16</t>
  </si>
  <si>
    <t>2129521:eng</t>
  </si>
  <si>
    <t>1229464</t>
  </si>
  <si>
    <t>991001433829702656</t>
  </si>
  <si>
    <t>2268211000002656</t>
  </si>
  <si>
    <t>9780300018066</t>
  </si>
  <si>
    <t>30001000526378</t>
  </si>
  <si>
    <t>893743780</t>
  </si>
  <si>
    <t>W 50 K73 1980</t>
  </si>
  <si>
    <t>0                      W  0050000K  73          1980</t>
  </si>
  <si>
    <t>Knowing and valuing : the search for common roots / edited by H. Tristram Engelhardt, Jr. and Daniel Callahan.</t>
  </si>
  <si>
    <t>Hastings-on-Huston, N.Y. : Hastings Center, Institute of Society, Ethics, and the Life Sciences, c1980.</t>
  </si>
  <si>
    <t>The Foundations of ethics and its relationship to science ; v. 4</t>
  </si>
  <si>
    <t>1997-02-07</t>
  </si>
  <si>
    <t>309040366:eng</t>
  </si>
  <si>
    <t>5675747</t>
  </si>
  <si>
    <t>991001256069702656</t>
  </si>
  <si>
    <t>2260692500002656</t>
  </si>
  <si>
    <t>9780916558048</t>
  </si>
  <si>
    <t>30001000344855</t>
  </si>
  <si>
    <t>893638146</t>
  </si>
  <si>
    <t>W 50 K924n 1994</t>
  </si>
  <si>
    <t>0                      W  0050000K  924n        1994</t>
  </si>
  <si>
    <t>Negotiating at an uneven table : developing moral courage in resolving our conflicts / Phyllis Beck Kritek.</t>
  </si>
  <si>
    <t>Kritek, Phyllis Beck, 1943-</t>
  </si>
  <si>
    <t>San Francisco : Jossey-Bass Publishers, c1994.</t>
  </si>
  <si>
    <t>2010-03-11</t>
  </si>
  <si>
    <t>32718727:eng</t>
  </si>
  <si>
    <t>30812112</t>
  </si>
  <si>
    <t>991001663269702656</t>
  </si>
  <si>
    <t>2267841510002656</t>
  </si>
  <si>
    <t>9781555426705</t>
  </si>
  <si>
    <t>30001003261288</t>
  </si>
  <si>
    <t>893741266</t>
  </si>
  <si>
    <t>W 50 L336e 1985</t>
  </si>
  <si>
    <t>0                      W  0050000L  336e        1985</t>
  </si>
  <si>
    <t>Euthanasia and religion : a survey of the attitudes of world religions to the right-to-die / Gerald A. Larue.</t>
  </si>
  <si>
    <t>Larue, Gerald A.</t>
  </si>
  <si>
    <t>Los Angeles : Hemlock Society, c1985.</t>
  </si>
  <si>
    <t>2002-11-27</t>
  </si>
  <si>
    <t>4376395:eng</t>
  </si>
  <si>
    <t>12009130</t>
  </si>
  <si>
    <t>991001256209702656</t>
  </si>
  <si>
    <t>2260632100002656</t>
  </si>
  <si>
    <t>9780960603039</t>
  </si>
  <si>
    <t>30001000344871</t>
  </si>
  <si>
    <t>893284607</t>
  </si>
  <si>
    <t>W 50 L665e 1986</t>
  </si>
  <si>
    <t>0                      W  0050000L  665e        1986</t>
  </si>
  <si>
    <t>Ethics and regulation of clinical research / Robert J. Levine.</t>
  </si>
  <si>
    <t>Levine, Robert J.</t>
  </si>
  <si>
    <t>Baltimore : Urban &amp; Schwarzenberg, c1986.</t>
  </si>
  <si>
    <t>2005-10-11</t>
  </si>
  <si>
    <t>7332277:eng</t>
  </si>
  <si>
    <t>13426443</t>
  </si>
  <si>
    <t>991001256309702656</t>
  </si>
  <si>
    <t>2266107620002656</t>
  </si>
  <si>
    <t>9780806711126</t>
  </si>
  <si>
    <t>30001000344905</t>
  </si>
  <si>
    <t>893736362</t>
  </si>
  <si>
    <t>W 50 L735e 1982</t>
  </si>
  <si>
    <t>0                      W  0050000L  735e        1982</t>
  </si>
  <si>
    <t>Euthanasia and clinical practice : trends, principles, and alternatives : the report of a working party.</t>
  </si>
  <si>
    <t>Linacre Centre.</t>
  </si>
  <si>
    <t>London : Linacre Centre, c1982.</t>
  </si>
  <si>
    <t>1999-02-17</t>
  </si>
  <si>
    <t>1988-04-27</t>
  </si>
  <si>
    <t>1102435296:eng</t>
  </si>
  <si>
    <t>10017726</t>
  </si>
  <si>
    <t>991001476439702656</t>
  </si>
  <si>
    <t>2269609270002656</t>
  </si>
  <si>
    <t>9780906561034</t>
  </si>
  <si>
    <t>30001000559411</t>
  </si>
  <si>
    <t>893832226</t>
  </si>
  <si>
    <t>W 50 L795r 2000</t>
  </si>
  <si>
    <t>0                      W  0050000L  795r        2000</t>
  </si>
  <si>
    <t>Resolving ethical dilemmas : a guide for clinicians / Bernard Lo.</t>
  </si>
  <si>
    <t>Lo, Bernard.</t>
  </si>
  <si>
    <t>Philadelphia : Lippincott Williams &amp; Wilkins, c2000.</t>
  </si>
  <si>
    <t>2009-04-09</t>
  </si>
  <si>
    <t>2000-07-20</t>
  </si>
  <si>
    <t>836723562:eng</t>
  </si>
  <si>
    <t>42925708</t>
  </si>
  <si>
    <t>991000276129702656</t>
  </si>
  <si>
    <t>2255277710002656</t>
  </si>
  <si>
    <t>9780781722193</t>
  </si>
  <si>
    <t>30001003942077</t>
  </si>
  <si>
    <t>893456503</t>
  </si>
  <si>
    <t>W 50 L827t 1996</t>
  </si>
  <si>
    <t>0                      W  0050000L  827t        1996</t>
  </si>
  <si>
    <t>Textbook of healthcare ethics / Erich H. Loewy.</t>
  </si>
  <si>
    <t>Loewy, Erich H.</t>
  </si>
  <si>
    <t>New York : Plenum Press, c1996.</t>
  </si>
  <si>
    <t>2006-03-27</t>
  </si>
  <si>
    <t>1997-01-17</t>
  </si>
  <si>
    <t>756815:eng</t>
  </si>
  <si>
    <t>34724048</t>
  </si>
  <si>
    <t>991001552109702656</t>
  </si>
  <si>
    <t>2258414570002656</t>
  </si>
  <si>
    <t>9780306452406</t>
  </si>
  <si>
    <t>30001003474097</t>
  </si>
  <si>
    <t>893816505</t>
  </si>
  <si>
    <t>W 50 M123e 1989</t>
  </si>
  <si>
    <t>0                      W  0050000M  123e        1989</t>
  </si>
  <si>
    <t>Ethics committees in hospitals / by Pat Milmoe McCarrick and Judith Adams.</t>
  </si>
  <si>
    <t>McCarrick, Pat Milmoe.</t>
  </si>
  <si>
    <t>Washington, D.C. : National Reference Center for Bioethics Literature, Kennedy Institute of Ethics, c1989.</t>
  </si>
  <si>
    <t>Rev.</t>
  </si>
  <si>
    <t>Scope note ; #3.</t>
  </si>
  <si>
    <t>2001-11-26</t>
  </si>
  <si>
    <t>1989-11-03</t>
  </si>
  <si>
    <t>15991731:eng</t>
  </si>
  <si>
    <t>17234863</t>
  </si>
  <si>
    <t>991001295699702656</t>
  </si>
  <si>
    <t>2272118320002656</t>
  </si>
  <si>
    <t>30001001738352</t>
  </si>
  <si>
    <t>893541233</t>
  </si>
  <si>
    <t>W 50 M123w 1986</t>
  </si>
  <si>
    <t>0                      W  0050000M  123w        1986</t>
  </si>
  <si>
    <t>Witholding or withdrawing nutrition or hydration / Pat Milmoe McCarrick.</t>
  </si>
  <si>
    <t>Washington, D.C. : Kennedy Institute of Ethics, National Reference Center for Bioethics Literatue, Georgetown Univ., 1986.</t>
  </si>
  <si>
    <t>Scope note ; 7</t>
  </si>
  <si>
    <t>2001-09-17</t>
  </si>
  <si>
    <t>5090592297:eng</t>
  </si>
  <si>
    <t>15466443</t>
  </si>
  <si>
    <t>991001266819702656</t>
  </si>
  <si>
    <t>2267265090002656</t>
  </si>
  <si>
    <t>30001000353591</t>
  </si>
  <si>
    <t>893731800</t>
  </si>
  <si>
    <t>W 50 M158c 2003</t>
  </si>
  <si>
    <t>0                      W  0050000M  158c        2003</t>
  </si>
  <si>
    <t>Introduction to Jewish and Catholic bioethics : a comparative analysis / Aaron L. Mackler.</t>
  </si>
  <si>
    <t>Mackler, Aaron L.</t>
  </si>
  <si>
    <t>Washington, D.C. : Georgetown University Press, 2003.</t>
  </si>
  <si>
    <t>Moral traditions series</t>
  </si>
  <si>
    <t>2005-01-27</t>
  </si>
  <si>
    <t>838348203:eng</t>
  </si>
  <si>
    <t>51977846</t>
  </si>
  <si>
    <t>991000424829702656</t>
  </si>
  <si>
    <t>2262376200002656</t>
  </si>
  <si>
    <t>9780878401468</t>
  </si>
  <si>
    <t>30001004926988</t>
  </si>
  <si>
    <t>893644371</t>
  </si>
  <si>
    <t>W 50 M158h 1988</t>
  </si>
  <si>
    <t>0                      W  0050000M  158h        1988</t>
  </si>
  <si>
    <t>Hospital ethics committees : manual for a training program / Ruth Macklin and Robin B. Kupfer.</t>
  </si>
  <si>
    <t>Macklin, Ruth.</t>
  </si>
  <si>
    <t>[New York] : Albert Einstein College of Medicine, c1988.</t>
  </si>
  <si>
    <t>2002-03-04</t>
  </si>
  <si>
    <t>1990-01-13</t>
  </si>
  <si>
    <t>22185999:eng</t>
  </si>
  <si>
    <t>20761841</t>
  </si>
  <si>
    <t>991001362319702656</t>
  </si>
  <si>
    <t>2259708210002656</t>
  </si>
  <si>
    <t>30001001796970</t>
  </si>
  <si>
    <t>893546626</t>
  </si>
  <si>
    <t>W50 M158mb 1999</t>
  </si>
  <si>
    <t>0                      W  0050000M  158mb       1999</t>
  </si>
  <si>
    <t>Against relativism : cultural diversity and the search for ethical universals in medicine / Ruth Macklin.</t>
  </si>
  <si>
    <t>Macklin, Ruth, 1938-</t>
  </si>
  <si>
    <t>New York : Oxford University Press, 1999.</t>
  </si>
  <si>
    <t>26982584:eng</t>
  </si>
  <si>
    <t>39810974</t>
  </si>
  <si>
    <t>991000371979702656</t>
  </si>
  <si>
    <t>2265076570002656</t>
  </si>
  <si>
    <t>9780195116328</t>
  </si>
  <si>
    <t>30001004509750</t>
  </si>
  <si>
    <t>893275007</t>
  </si>
  <si>
    <t>W 50 M196w 1985</t>
  </si>
  <si>
    <t>0                      W  0050000M  196w        1985</t>
  </si>
  <si>
    <t>Withholding treatment from defective newborn children / by Joseph Eliot Magnet and Eike-Henner W. Kluge.</t>
  </si>
  <si>
    <t>Magnet, Joseph Eliot.</t>
  </si>
  <si>
    <t>Cowansville, (Qué.) : Brown Legal Publications, c1985.</t>
  </si>
  <si>
    <t>quc</t>
  </si>
  <si>
    <t>5552003:eng</t>
  </si>
  <si>
    <t>13067687</t>
  </si>
  <si>
    <t>991000689359702656</t>
  </si>
  <si>
    <t>2259003250002656</t>
  </si>
  <si>
    <t>9782890735514</t>
  </si>
  <si>
    <t>30001000695959</t>
  </si>
  <si>
    <t>893647994</t>
  </si>
  <si>
    <t>W 50 M235 1986</t>
  </si>
  <si>
    <t>0                      W  0050000M  235         1986</t>
  </si>
  <si>
    <t>Making choices : ethics issues for health care professionals / edited by Emily Friedman.</t>
  </si>
  <si>
    <t>[Chicago, Ill.] : American Hospital Pub., c1986.</t>
  </si>
  <si>
    <t>1997-12-03</t>
  </si>
  <si>
    <t>5396540:eng</t>
  </si>
  <si>
    <t>13003435</t>
  </si>
  <si>
    <t>991001256349702656</t>
  </si>
  <si>
    <t>2262817610002656</t>
  </si>
  <si>
    <t>9780939450770</t>
  </si>
  <si>
    <t>30001000344939</t>
  </si>
  <si>
    <t>893826597</t>
  </si>
  <si>
    <t>W 50 M435 1994</t>
  </si>
  <si>
    <t>0                      W  0050000M  435         1994</t>
  </si>
  <si>
    <t>A Matter of principles? : ferment in U.S. bioethics / edited by Edwin R. DuBose, Ronald P. Hamel, Laurence J. O'Connell.</t>
  </si>
  <si>
    <t>Valley Forge, Pa. : Trinity Press International, c1994.</t>
  </si>
  <si>
    <t>1994-07-11</t>
  </si>
  <si>
    <t>3901627520:eng</t>
  </si>
  <si>
    <t>29702329</t>
  </si>
  <si>
    <t>991000671509702656</t>
  </si>
  <si>
    <t>2261350120002656</t>
  </si>
  <si>
    <t>9781563380815</t>
  </si>
  <si>
    <t>30001002696062</t>
  </si>
  <si>
    <t>893373393</t>
  </si>
  <si>
    <t>W 50 M482 1997</t>
  </si>
  <si>
    <t>0                      W  0050000M  482         1997</t>
  </si>
  <si>
    <t>Medical ethics / edited by Robert M. Veatch.</t>
  </si>
  <si>
    <t>Sudbury, Mass. : Jones and Bartlett Publishers, c1997.</t>
  </si>
  <si>
    <t>Jones and Bartlett series in philosophy</t>
  </si>
  <si>
    <t>1999-09-24</t>
  </si>
  <si>
    <t>411307533:eng</t>
  </si>
  <si>
    <t>34772350</t>
  </si>
  <si>
    <t>991001338059702656</t>
  </si>
  <si>
    <t>2263129860002656</t>
  </si>
  <si>
    <t>9780867209747</t>
  </si>
  <si>
    <t>30001003790898</t>
  </si>
  <si>
    <t>893287356</t>
  </si>
  <si>
    <t>W 50 M483 1988</t>
  </si>
  <si>
    <t>0                      W  0050000M  483         1988</t>
  </si>
  <si>
    <t>Medical ethics : a guide for health professionals / edited by John F. Monagle, David C. Thomasma.</t>
  </si>
  <si>
    <t>Rockville, Md. : Aspen Publishers, c1988.</t>
  </si>
  <si>
    <t>1988-03-18</t>
  </si>
  <si>
    <t>890399027:eng</t>
  </si>
  <si>
    <t>16579065</t>
  </si>
  <si>
    <t>991001173539702656</t>
  </si>
  <si>
    <t>2271845950002656</t>
  </si>
  <si>
    <t>9780871898869</t>
  </si>
  <si>
    <t>30001000975542</t>
  </si>
  <si>
    <t>893648948</t>
  </si>
  <si>
    <t>W 50 M486 1981</t>
  </si>
  <si>
    <t>0                      W  0050000M  486         1981</t>
  </si>
  <si>
    <t>Medical ethics and the law : implications for public policy / [edited by] Marc D. Hiller.</t>
  </si>
  <si>
    <t>Cambridge, Mass. : Ballinger Pub. Co., c1981.</t>
  </si>
  <si>
    <t>1994-03-29</t>
  </si>
  <si>
    <t>27317181:eng</t>
  </si>
  <si>
    <t>7462112</t>
  </si>
  <si>
    <t>991001256409702656</t>
  </si>
  <si>
    <t>2256136340002656</t>
  </si>
  <si>
    <t>9780884107071</t>
  </si>
  <si>
    <t>30001000344954</t>
  </si>
  <si>
    <t>893649014</t>
  </si>
  <si>
    <t>W 50 M4897 1995</t>
  </si>
  <si>
    <t>0                      W  0050000M  4897        1995</t>
  </si>
  <si>
    <t>Medical ethics in the contemporary era / Shabih H. Zaidi ... [et al.].</t>
  </si>
  <si>
    <t>Karachi, Pakistan : Royal Book Co. : Pakistan Medical Journalists' Association, c1995.</t>
  </si>
  <si>
    <t xml:space="preserve">pk </t>
  </si>
  <si>
    <t>45779317:eng</t>
  </si>
  <si>
    <t>35990080</t>
  </si>
  <si>
    <t>991000441179702656</t>
  </si>
  <si>
    <t>2264399070002656</t>
  </si>
  <si>
    <t>9789698219048</t>
  </si>
  <si>
    <t>30001005000478</t>
  </si>
  <si>
    <t>893447343</t>
  </si>
  <si>
    <t>W 50 M4898 1980</t>
  </si>
  <si>
    <t>0                      W  0050000M  4898        1980</t>
  </si>
  <si>
    <t>Medicine and religion : strategies of care / Donald W. Shriver, Jr., editor.</t>
  </si>
  <si>
    <t>Pittsburgh : Univ. of Pittsburgh Press in cooperation with the Institute on Human Values in Medicine of the Society for Health and Human Values, c1980.</t>
  </si>
  <si>
    <t>Institute on Human Values in Medicine ; no. 13</t>
  </si>
  <si>
    <t>2002-10-30</t>
  </si>
  <si>
    <t>793542822:eng</t>
  </si>
  <si>
    <t>5611625</t>
  </si>
  <si>
    <t>991001168349702656</t>
  </si>
  <si>
    <t>2255539180002656</t>
  </si>
  <si>
    <t>9780822934127</t>
  </si>
  <si>
    <t>30001000305963</t>
  </si>
  <si>
    <t>893363842</t>
  </si>
  <si>
    <t>W 50 M489r 1979</t>
  </si>
  <si>
    <t>0                      W  0050000M  489r        1979</t>
  </si>
  <si>
    <t>Medical responsibility : paternalism, informed consent, and euthanasia / edited by Wade L. Robison and Michael S. Pritchard.</t>
  </si>
  <si>
    <t>Clifton, N.J. : Humana Press, c1979.</t>
  </si>
  <si>
    <t>Contemporary topics in biomedicine, ethics, and society</t>
  </si>
  <si>
    <t>2003-04-26</t>
  </si>
  <si>
    <t>836632357:eng</t>
  </si>
  <si>
    <t>5289330</t>
  </si>
  <si>
    <t>991001256499702656</t>
  </si>
  <si>
    <t>2256530200002656</t>
  </si>
  <si>
    <t>9780896030077</t>
  </si>
  <si>
    <t>30001000344988</t>
  </si>
  <si>
    <t>893284608</t>
  </si>
  <si>
    <t>W 50 M514a 1989</t>
  </si>
  <si>
    <t>0                      W  0050000M  514a        1989</t>
  </si>
  <si>
    <t>Anencephalic infants as potential organ sources : ethical and legal issues / by Sue A. Meinke.</t>
  </si>
  <si>
    <t>Meinke, Sue A.</t>
  </si>
  <si>
    <t>Washington, D.C. : National Reference Center for Bioethics Literature, Kennedy Institute of Ethics, Georgetown University, [c1989]</t>
  </si>
  <si>
    <t>Scope note : 12</t>
  </si>
  <si>
    <t>1989-10-02</t>
  </si>
  <si>
    <t>23836131:eng</t>
  </si>
  <si>
    <t>21942744</t>
  </si>
  <si>
    <t>991001316129702656</t>
  </si>
  <si>
    <t>2257172950002656</t>
  </si>
  <si>
    <t>30001001752866</t>
  </si>
  <si>
    <t>893358454</t>
  </si>
  <si>
    <t>W 50 M551s 1990</t>
  </si>
  <si>
    <t>0                      W  0050000M  551s        1990</t>
  </si>
  <si>
    <t>Strong medicine : the ethical rationing of health care / Paul T. Menzel.</t>
  </si>
  <si>
    <t>Menzel, Paul T., 1942-</t>
  </si>
  <si>
    <t>New York : Oxford University Press, c1990.</t>
  </si>
  <si>
    <t>21467267:eng</t>
  </si>
  <si>
    <t>19971510</t>
  </si>
  <si>
    <t>991001381599702656</t>
  </si>
  <si>
    <t>2260702300002656</t>
  </si>
  <si>
    <t>9780195057102</t>
  </si>
  <si>
    <t>30001001798893</t>
  </si>
  <si>
    <t>893451121</t>
  </si>
  <si>
    <t>W 50 M641c 1991</t>
  </si>
  <si>
    <t>0                      W  0050000M  641c        1991</t>
  </si>
  <si>
    <t>Can't we make moral judgements? / Mary Midgley.</t>
  </si>
  <si>
    <t>Midgley, Mary, 1919-2018.</t>
  </si>
  <si>
    <t>New York : St. Martin's Press, c1991.</t>
  </si>
  <si>
    <t>Mind matters</t>
  </si>
  <si>
    <t>1991-10-16</t>
  </si>
  <si>
    <t>24613024:eng</t>
  </si>
  <si>
    <t>22891711</t>
  </si>
  <si>
    <t>991001012799702656</t>
  </si>
  <si>
    <t>2270086290002656</t>
  </si>
  <si>
    <t>9780312061296</t>
  </si>
  <si>
    <t>30001002240069</t>
  </si>
  <si>
    <t>893358138</t>
  </si>
  <si>
    <t>W 50 M643p 1989</t>
  </si>
  <si>
    <t>0                      W  0050000M  643p        1989</t>
  </si>
  <si>
    <t>Protocols for elective use of life-sustaining treatments : a design guide / Steven H. Miles, Carlos F. Gomez ; foreword by Christine K. Cassel.</t>
  </si>
  <si>
    <t>Miles, Steven H.</t>
  </si>
  <si>
    <t>New York : Springer Pub. Co., c1989.</t>
  </si>
  <si>
    <t>967685:eng</t>
  </si>
  <si>
    <t>18907147</t>
  </si>
  <si>
    <t>991001316979702656</t>
  </si>
  <si>
    <t>2268694350002656</t>
  </si>
  <si>
    <t>9780826167002</t>
  </si>
  <si>
    <t>30001001753146</t>
  </si>
  <si>
    <t>893268357</t>
  </si>
  <si>
    <t>W 50 M734h 1998</t>
  </si>
  <si>
    <t>0                      W  0050000M  734h        1998</t>
  </si>
  <si>
    <t>Health care ethics : critical issues for the 21st century / John F. Monagle, David C. Thomasma.</t>
  </si>
  <si>
    <t>Monagle, John F.</t>
  </si>
  <si>
    <t>2005-11-21</t>
  </si>
  <si>
    <t>37109188</t>
  </si>
  <si>
    <t>991001198209702656</t>
  </si>
  <si>
    <t>2265266160002656</t>
  </si>
  <si>
    <t>9780834209114</t>
  </si>
  <si>
    <t>30001003653500</t>
  </si>
  <si>
    <t>893369213</t>
  </si>
  <si>
    <t>W 50 M822 1983</t>
  </si>
  <si>
    <t>0                      W  0050000M  822         1983</t>
  </si>
  <si>
    <t>Moral problems in medicine / edited, with introductions, by Samuel Gorovitz ... [et al.].</t>
  </si>
  <si>
    <t>Englewood Cliffs, N.J. : Prentice-Hall, c1983.</t>
  </si>
  <si>
    <t>2001-04-05</t>
  </si>
  <si>
    <t>54096416:eng</t>
  </si>
  <si>
    <t>9084535</t>
  </si>
  <si>
    <t>991001168459702656</t>
  </si>
  <si>
    <t>2266483040002656</t>
  </si>
  <si>
    <t>9780136007425</t>
  </si>
  <si>
    <t>30001000305997</t>
  </si>
  <si>
    <t>893541082</t>
  </si>
  <si>
    <t>W 50 M8275 1985</t>
  </si>
  <si>
    <t>0                      W  0050000M  8275        1985</t>
  </si>
  <si>
    <t>Moral dilemmas in modern medicine / edited by Michael Lockwood.</t>
  </si>
  <si>
    <t>Studies in bioethics</t>
  </si>
  <si>
    <t>1994-11-11</t>
  </si>
  <si>
    <t>54699345:eng</t>
  </si>
  <si>
    <t>11784521</t>
  </si>
  <si>
    <t>991001168319702656</t>
  </si>
  <si>
    <t>2255262420002656</t>
  </si>
  <si>
    <t>9780192177438</t>
  </si>
  <si>
    <t>30001000305955</t>
  </si>
  <si>
    <t>893273836</t>
  </si>
  <si>
    <t>W 50 M828 1970</t>
  </si>
  <si>
    <t>0                      W  0050000M  828         1970</t>
  </si>
  <si>
    <t>Morals and medicine : [five discussions from the BBC Third Programme / edited by Archie Clow.]</t>
  </si>
  <si>
    <t>New York : Oxford University Press, 1971 [c1970]</t>
  </si>
  <si>
    <t>1997-02-11</t>
  </si>
  <si>
    <t>1173461856:eng</t>
  </si>
  <si>
    <t>163760</t>
  </si>
  <si>
    <t>991001168429702656</t>
  </si>
  <si>
    <t>2272199980002656</t>
  </si>
  <si>
    <t>9780195191431</t>
  </si>
  <si>
    <t>30001000305989</t>
  </si>
  <si>
    <t>893541081</t>
  </si>
  <si>
    <t>W 50 M843d 1995</t>
  </si>
  <si>
    <t>0                      W  0050000M  843d        1995</t>
  </si>
  <si>
    <t>Deciding together : bioethics and moral consensus / Jonathan D. Moreno.</t>
  </si>
  <si>
    <t>Moreno, Jonathan D.</t>
  </si>
  <si>
    <t>32697985:eng</t>
  </si>
  <si>
    <t>30810822</t>
  </si>
  <si>
    <t>991001500519702656</t>
  </si>
  <si>
    <t>2269469950002656</t>
  </si>
  <si>
    <t>9780195092189</t>
  </si>
  <si>
    <t>30001003262427</t>
  </si>
  <si>
    <t>893826803</t>
  </si>
  <si>
    <t>W 50 N277t 1972</t>
  </si>
  <si>
    <t>0                      W  0050000N  277t        1972</t>
  </si>
  <si>
    <t>The teaching of medical ethics : proceedings of a conference sponsored by the Institute of Society, Ethics and the Life Sciences and Columbia University College of Physicians and Surgeons, June 1-3, 1972 / edited by Robert M. Veatch, Willard Gaylin and Councilman Morgan.</t>
  </si>
  <si>
    <t>National Conference on the Teaching of Medical Ethics (1972 : Hastings on Hudson, N.Y.)</t>
  </si>
  <si>
    <t>Hastings-on-Hudson, N.Y. : Institute of Society, Ethics and the Life Sciences, c1973.</t>
  </si>
  <si>
    <t>A Hastings Center publication</t>
  </si>
  <si>
    <t>1999-05-23</t>
  </si>
  <si>
    <t>477714316:eng</t>
  </si>
  <si>
    <t>14428977</t>
  </si>
  <si>
    <t>991001168279702656</t>
  </si>
  <si>
    <t>2256504120002656</t>
  </si>
  <si>
    <t>30001000305948</t>
  </si>
  <si>
    <t>893638089</t>
  </si>
  <si>
    <t>W 50 O58 1987</t>
  </si>
  <si>
    <t>0                      W  0050000O  58          1987</t>
  </si>
  <si>
    <t>On moral medicine : theological perspectives in medical ethics / edited by Stephen E. Lammers, Allen Verhey.</t>
  </si>
  <si>
    <t>Grand Rapids, Mich. : Eerdmans, c1987.</t>
  </si>
  <si>
    <t>1996-04-22</t>
  </si>
  <si>
    <t>1987-09-09</t>
  </si>
  <si>
    <t>837002547:eng</t>
  </si>
  <si>
    <t>14069745</t>
  </si>
  <si>
    <t>991001271089702656</t>
  </si>
  <si>
    <t>2258962420002656</t>
  </si>
  <si>
    <t>9780802836298</t>
  </si>
  <si>
    <t>30001000354821</t>
  </si>
  <si>
    <t>893374411</t>
  </si>
  <si>
    <t>W 50 O74d 1988</t>
  </si>
  <si>
    <t>0                      W  0050000O  74d         1988</t>
  </si>
  <si>
    <t>Development of Church teaching on prolonging life / Kevin D. OR̕ourke.</t>
  </si>
  <si>
    <t>O'Rourke, Kevin D.</t>
  </si>
  <si>
    <t>St. Louis, Mo. : Catholic Health Association of the United States, c1988.</t>
  </si>
  <si>
    <t>1989-01-11</t>
  </si>
  <si>
    <t>23244102:eng</t>
  </si>
  <si>
    <t>21325992</t>
  </si>
  <si>
    <t>991001109909702656</t>
  </si>
  <si>
    <t>2267917240002656</t>
  </si>
  <si>
    <t>9780871251527</t>
  </si>
  <si>
    <t>30001001611831</t>
  </si>
  <si>
    <t>893363778</t>
  </si>
  <si>
    <t>W 50 O74m 1986</t>
  </si>
  <si>
    <t>0                      W  0050000O  74m         1986</t>
  </si>
  <si>
    <t>Medical ethics : common ground for understanding / Kevin D. O'Rourke, Dennis Brodeur.</t>
  </si>
  <si>
    <t>St. Louis, MO : Catholic Health Association of the U.S., c1986.</t>
  </si>
  <si>
    <t>10090706:eng</t>
  </si>
  <si>
    <t>12558008</t>
  </si>
  <si>
    <t>991001126259702656</t>
  </si>
  <si>
    <t>2256856540002656</t>
  </si>
  <si>
    <t>9780871251091</t>
  </si>
  <si>
    <t>30001000279945</t>
  </si>
  <si>
    <t>893273726</t>
  </si>
  <si>
    <t>W 50 O74m 1989 pt.II</t>
  </si>
  <si>
    <t>0                      W  0050000O  74m         1989                                        pt.II</t>
  </si>
  <si>
    <t>St. Louis, MO : Catholic Health Association of the U.S., c1989.</t>
  </si>
  <si>
    <t>1989-02-01</t>
  </si>
  <si>
    <t>15366214</t>
  </si>
  <si>
    <t>991001117259702656</t>
  </si>
  <si>
    <t>2259741670002656</t>
  </si>
  <si>
    <t>30001001613605</t>
  </si>
  <si>
    <t>893161690</t>
  </si>
  <si>
    <t>W 50 O74ma 1993</t>
  </si>
  <si>
    <t>0                      W  0050000O  74ma        1993</t>
  </si>
  <si>
    <t>Medical ethics : sources of Catholic teachings / Kevin D. O'Rourke, Philip Boyle.</t>
  </si>
  <si>
    <t>Washington, D.C. : Georgetown University Press, 1993.</t>
  </si>
  <si>
    <t>2002-11-25</t>
  </si>
  <si>
    <t>2005-04-04</t>
  </si>
  <si>
    <t>1997-12-15</t>
  </si>
  <si>
    <t>21193130:eng</t>
  </si>
  <si>
    <t>28257405</t>
  </si>
  <si>
    <t>991001658839702656</t>
  </si>
  <si>
    <t>2261006230002656</t>
  </si>
  <si>
    <t>9780878405404</t>
  </si>
  <si>
    <t>30001003654151</t>
  </si>
  <si>
    <t>893727783</t>
  </si>
  <si>
    <t>W 50 O97 1998</t>
  </si>
  <si>
    <t>0                      W  0050000O  97          1998</t>
  </si>
  <si>
    <t>Ownership of the human body : philosophical considerations on the use of the human body and its parts in healthcare / edited by Henk A.M.J. Ten Have and Jos V.M. Welie ; with the collaboration of Stuart F. Spicker.</t>
  </si>
  <si>
    <t>European studies in philosophy of medicine ; 3</t>
  </si>
  <si>
    <t>2002-11-13</t>
  </si>
  <si>
    <t>1998-11-05</t>
  </si>
  <si>
    <t>806739231:eng</t>
  </si>
  <si>
    <t>39170040</t>
  </si>
  <si>
    <t>991000690159702656</t>
  </si>
  <si>
    <t>2270172670002656</t>
  </si>
  <si>
    <t>9780792351504</t>
  </si>
  <si>
    <t>30001004036408</t>
  </si>
  <si>
    <t>893450093</t>
  </si>
  <si>
    <t>W 50 P218d 1983</t>
  </si>
  <si>
    <t>0                      W  0050000P  218d        1983</t>
  </si>
  <si>
    <t>Doing right : everyday medical ethics / Solomon Papper.</t>
  </si>
  <si>
    <t>Papper, Solomon, 1922-1984.</t>
  </si>
  <si>
    <t>Boston : Little, Brown, c1983.</t>
  </si>
  <si>
    <t>2007-08-12</t>
  </si>
  <si>
    <t>836632827:eng</t>
  </si>
  <si>
    <t>10006891</t>
  </si>
  <si>
    <t>991001126299702656</t>
  </si>
  <si>
    <t>2271367910002656</t>
  </si>
  <si>
    <t>9780316690447</t>
  </si>
  <si>
    <t>30001000279937</t>
  </si>
  <si>
    <t>893736234</t>
  </si>
  <si>
    <t>W 50 P346b 1985</t>
  </si>
  <si>
    <t>0                      W  0050000P  346b        1985</t>
  </si>
  <si>
    <t>Biblical/Medical ethics : the Christian and the practice of medicine / Franklin E. Payne, Jr.</t>
  </si>
  <si>
    <t>Payne, Franklin E.</t>
  </si>
  <si>
    <t>Milford, Mich. : Mott Media, c1985.</t>
  </si>
  <si>
    <t>1997-10-02</t>
  </si>
  <si>
    <t>5380016:eng</t>
  </si>
  <si>
    <t>12597346</t>
  </si>
  <si>
    <t>991001175929702656</t>
  </si>
  <si>
    <t>2267535060002656</t>
  </si>
  <si>
    <t>9780880620680</t>
  </si>
  <si>
    <t>30001000975955</t>
  </si>
  <si>
    <t>893363847</t>
  </si>
  <si>
    <t>W 50 P386c 1996</t>
  </si>
  <si>
    <t>0                      W  0050000P  386c        1996</t>
  </si>
  <si>
    <t>The Christian virtues in medical practice / Edmund D. Pellegrino, David C. Thomasma ; with the editorial assistance of David G. Miller.</t>
  </si>
  <si>
    <t>Pellegrino, Edmund D., 1920-2013.</t>
  </si>
  <si>
    <t>Washington, D.C. : Georgetown University Press, c1996.</t>
  </si>
  <si>
    <t>1996-09-26</t>
  </si>
  <si>
    <t>3856678241:eng</t>
  </si>
  <si>
    <t>30110535</t>
  </si>
  <si>
    <t>991000848199702656</t>
  </si>
  <si>
    <t>2255606730002656</t>
  </si>
  <si>
    <t>9780878405664</t>
  </si>
  <si>
    <t>30001003472851</t>
  </si>
  <si>
    <t>893450552</t>
  </si>
  <si>
    <t>W 50 P386p 1981</t>
  </si>
  <si>
    <t>0                      W  0050000P  386p        1981</t>
  </si>
  <si>
    <t>A philosophical basis of medical practice : toward a philosophy and ethic of the healing professions / Edmund D. Pellegrino and David C. Thomasma.</t>
  </si>
  <si>
    <t>New York : Oxford Univ. Press, c1980.</t>
  </si>
  <si>
    <t>2009-04-14</t>
  </si>
  <si>
    <t>366276048:eng</t>
  </si>
  <si>
    <t>6487655</t>
  </si>
  <si>
    <t>991001126219702656</t>
  </si>
  <si>
    <t>2256083950002656</t>
  </si>
  <si>
    <t>9780195027891</t>
  </si>
  <si>
    <t>30001000279929</t>
  </si>
  <si>
    <t>893268101</t>
  </si>
  <si>
    <t>W 50 P386v 1993</t>
  </si>
  <si>
    <t>0                      W  0050000P  386v        1993</t>
  </si>
  <si>
    <t>The virtues in medical practice / by Edmund D. Pellegrino and David C. Thomasma.</t>
  </si>
  <si>
    <t>327989:eng</t>
  </si>
  <si>
    <t>27034250</t>
  </si>
  <si>
    <t>991001480489702656</t>
  </si>
  <si>
    <t>2267224220002656</t>
  </si>
  <si>
    <t>9780195082890</t>
  </si>
  <si>
    <t>30001002569004</t>
  </si>
  <si>
    <t>893374618</t>
  </si>
  <si>
    <t>W 50 P397e 1980</t>
  </si>
  <si>
    <t>0                      W  0050000P  397e        1980</t>
  </si>
  <si>
    <t>Ethical options in medicine / by Gregory E. Pence.</t>
  </si>
  <si>
    <t>Pence, Gregory E.</t>
  </si>
  <si>
    <t>Oradell, N.J. : Medical Economics Co., Book Division, c1980.</t>
  </si>
  <si>
    <t>21972575:eng</t>
  </si>
  <si>
    <t>6357394</t>
  </si>
  <si>
    <t>991001126189702656</t>
  </si>
  <si>
    <t>2256590350002656</t>
  </si>
  <si>
    <t>9780874892338</t>
  </si>
  <si>
    <t>30001000279911</t>
  </si>
  <si>
    <t>893826469</t>
  </si>
  <si>
    <t>W 50 P451c 1992</t>
  </si>
  <si>
    <t>0                      W  0050000P  451c        1992</t>
  </si>
  <si>
    <t>Clinical medical ethics : cases in practice / Terry M. Perlin.</t>
  </si>
  <si>
    <t>Perlin, Terry M., 1942-</t>
  </si>
  <si>
    <t>Boston : Little, Brown, c1992.</t>
  </si>
  <si>
    <t>2005-10-27</t>
  </si>
  <si>
    <t>1995-07-19</t>
  </si>
  <si>
    <t>28288473:eng</t>
  </si>
  <si>
    <t>25629924</t>
  </si>
  <si>
    <t>991001402349702656</t>
  </si>
  <si>
    <t>2259812870002656</t>
  </si>
  <si>
    <t>9780316699594</t>
  </si>
  <si>
    <t>30001003148790</t>
  </si>
  <si>
    <t>893816355</t>
  </si>
  <si>
    <t>W 50 P467 1988</t>
  </si>
  <si>
    <t>0                      W  0050000P  467         1988</t>
  </si>
  <si>
    <t>Personal choices and public commitments : perpectives on the medical humanities / edited by William J. Winslade.</t>
  </si>
  <si>
    <t>Galveston, Tex. : Institute for the Medical Humanities ; Austin, Tex. : Texas Committee for the Humanities, c1988.</t>
  </si>
  <si>
    <t>1993-04-02</t>
  </si>
  <si>
    <t>1989-11-30</t>
  </si>
  <si>
    <t>18965685:eng</t>
  </si>
  <si>
    <t>18834388</t>
  </si>
  <si>
    <t>991001357949702656</t>
  </si>
  <si>
    <t>2260517310002656</t>
  </si>
  <si>
    <t>9780962129407</t>
  </si>
  <si>
    <t>30001001796293</t>
  </si>
  <si>
    <t>893643524</t>
  </si>
  <si>
    <t>W 50 P562a 1989</t>
  </si>
  <si>
    <t>0                      W  0050000P  562a        1989</t>
  </si>
  <si>
    <t>Animal research and ethical conflict : an analysis of the scientific literature, 1966-1986 / Mary T. Phillips, Jeri A. Sechzer.</t>
  </si>
  <si>
    <t>Phillips, Mary T.</t>
  </si>
  <si>
    <t>1998-11-08</t>
  </si>
  <si>
    <t>890405097:eng</t>
  </si>
  <si>
    <t>19130594</t>
  </si>
  <si>
    <t>991000498219702656</t>
  </si>
  <si>
    <t>2261738840002656</t>
  </si>
  <si>
    <t>9780387969350</t>
  </si>
  <si>
    <t>30001001799693</t>
  </si>
  <si>
    <t>893537665</t>
  </si>
  <si>
    <t>W 50 P591L 1984</t>
  </si>
  <si>
    <t>0                      W  0050000P  591L        1984</t>
  </si>
  <si>
    <t>Last rights : treatment and care issues in medical ethics / Joseph J. Piccione.</t>
  </si>
  <si>
    <t>Piccione, Joseph.</t>
  </si>
  <si>
    <t>Washington, D.C. : Child and Family Protection Institute of the Free Congress Research &amp; Education Foundation, c1984.</t>
  </si>
  <si>
    <t>Currents in family policy</t>
  </si>
  <si>
    <t>1996-01-17</t>
  </si>
  <si>
    <t>1989-07-13</t>
  </si>
  <si>
    <t>3512005:eng</t>
  </si>
  <si>
    <t>10779570</t>
  </si>
  <si>
    <t>991001126169702656</t>
  </si>
  <si>
    <t>2268607200002656</t>
  </si>
  <si>
    <t>30001000279895</t>
  </si>
  <si>
    <t>893557609</t>
  </si>
  <si>
    <t>W50 P857i 1993</t>
  </si>
  <si>
    <t>0                      W  0050000P  857i        1993</t>
  </si>
  <si>
    <t>Inquiries in bioethics / Stephen G. Post.</t>
  </si>
  <si>
    <t>Post, Stephen Garrard, 1951-</t>
  </si>
  <si>
    <t>Washington, D.C. : Georgetown University Press, c1993.</t>
  </si>
  <si>
    <t>1999-01-26</t>
  </si>
  <si>
    <t>2001-02-14</t>
  </si>
  <si>
    <t>376776:eng</t>
  </si>
  <si>
    <t>27974232</t>
  </si>
  <si>
    <t>991001199119702656</t>
  </si>
  <si>
    <t>2264243640002656</t>
  </si>
  <si>
    <t>9780878405381</t>
  </si>
  <si>
    <t>30001004355634</t>
  </si>
  <si>
    <t>893168058</t>
  </si>
  <si>
    <t>30001003654110</t>
  </si>
  <si>
    <t>893134335</t>
  </si>
  <si>
    <t>W 50 P957 1994</t>
  </si>
  <si>
    <t>0                      W  0050000P  957         1994</t>
  </si>
  <si>
    <t>Principles of health care ethics / edited by Raanan Gillon; assistant editor, Ann Lloyd Ba.</t>
  </si>
  <si>
    <t>Chichester [England ; New York : John Wiley &amp; Sons, c1994.</t>
  </si>
  <si>
    <t>2004-05-03</t>
  </si>
  <si>
    <t>1994-03-14</t>
  </si>
  <si>
    <t>350550933:eng</t>
  </si>
  <si>
    <t>26096024</t>
  </si>
  <si>
    <t>991001196839702656</t>
  </si>
  <si>
    <t>2268248500002656</t>
  </si>
  <si>
    <t>9780471930334</t>
  </si>
  <si>
    <t>30001002984815</t>
  </si>
  <si>
    <t>893363859</t>
  </si>
  <si>
    <t>W 50 P986e 1981</t>
  </si>
  <si>
    <t>0                      W  0050000P  986e        1981</t>
  </si>
  <si>
    <t>Ethical dimensions in the health professions / Ruth B. Purtilo, Christine C. Cassell.</t>
  </si>
  <si>
    <t>Philadelphia : Saunders, c1981.</t>
  </si>
  <si>
    <t>2000-08-29</t>
  </si>
  <si>
    <t>1989-09-19</t>
  </si>
  <si>
    <t>941093:eng</t>
  </si>
  <si>
    <t>6864735</t>
  </si>
  <si>
    <t>991001324569702656</t>
  </si>
  <si>
    <t>2269458540002656</t>
  </si>
  <si>
    <t>9780721674117</t>
  </si>
  <si>
    <t>30001001754375</t>
  </si>
  <si>
    <t>893649100</t>
  </si>
  <si>
    <t>W 50 P986e 1993</t>
  </si>
  <si>
    <t>0                      W  0050000P  986e        1993</t>
  </si>
  <si>
    <t>Ethical dimensions in the health professions / Ruth Purtilo.</t>
  </si>
  <si>
    <t>Philadelphia : W.B. Saunders Co., c1993.</t>
  </si>
  <si>
    <t>2010-03-15</t>
  </si>
  <si>
    <t>1995-01-04</t>
  </si>
  <si>
    <t>26552510</t>
  </si>
  <si>
    <t>991000684149702656</t>
  </si>
  <si>
    <t>2259254450002656</t>
  </si>
  <si>
    <t>9780721635507</t>
  </si>
  <si>
    <t>30001002698480</t>
  </si>
  <si>
    <t>893459685</t>
  </si>
  <si>
    <t>W 50 P986e 1999</t>
  </si>
  <si>
    <t>0                      W  0050000P  986e        1999</t>
  </si>
  <si>
    <t>Philadelphia : Saunders, c1999.</t>
  </si>
  <si>
    <t>2010-03-30</t>
  </si>
  <si>
    <t>1999-01-19</t>
  </si>
  <si>
    <t>39857637</t>
  </si>
  <si>
    <t>991001532019702656</t>
  </si>
  <si>
    <t>2258726830002656</t>
  </si>
  <si>
    <t>9780721677996</t>
  </si>
  <si>
    <t>30001003961754</t>
  </si>
  <si>
    <t>893374692</t>
  </si>
  <si>
    <t>W 50 R283</t>
  </si>
  <si>
    <t>0                      W  0050000R  283</t>
  </si>
  <si>
    <t>Readings : Institute of society, ethics and the life sciences .</t>
  </si>
  <si>
    <t>1999-07-30</t>
  </si>
  <si>
    <t>54297695:eng</t>
  </si>
  <si>
    <t>5000850</t>
  </si>
  <si>
    <t>991001126099702656</t>
  </si>
  <si>
    <t>2266199730002656</t>
  </si>
  <si>
    <t>30001000279853</t>
  </si>
  <si>
    <t>893740778</t>
  </si>
  <si>
    <t>W 50 R386m 1975</t>
  </si>
  <si>
    <t>0                      W  0050000R  386m        1975</t>
  </si>
  <si>
    <t>The masculine principle, the feminine principle, and humanistic medicine / Naomi Remen ; in collaboration with Anita Astrom Blau, Raymond Hively.</t>
  </si>
  <si>
    <t>Remen, Rachel Naomi.</t>
  </si>
  <si>
    <t>-- San Francisco : Institute for the Study of Humanistic Medicine, c1975.</t>
  </si>
  <si>
    <t>Essays in humanistic medicine</t>
  </si>
  <si>
    <t>2005-06-24</t>
  </si>
  <si>
    <t>2322583:eng</t>
  </si>
  <si>
    <t>1507614</t>
  </si>
  <si>
    <t>991001126019702656</t>
  </si>
  <si>
    <t>2255498570002656</t>
  </si>
  <si>
    <t>30001000279820</t>
  </si>
  <si>
    <t>893460295</t>
  </si>
  <si>
    <t>W 50 R425 1986</t>
  </si>
  <si>
    <t>0                      W  0050000R  425         1986</t>
  </si>
  <si>
    <t>Report of the committee appointed by the Western Australian government to enquire into the social, legal, and ethical issues relating to in vitro fertilization and its supervision.</t>
  </si>
  <si>
    <t>[Perth, W.A.] : Health Dept. of Western Australia, [1986]</t>
  </si>
  <si>
    <t>1997-03-19</t>
  </si>
  <si>
    <t>1992-02-12</t>
  </si>
  <si>
    <t>2275712154:eng</t>
  </si>
  <si>
    <t>24430701</t>
  </si>
  <si>
    <t>991001375889702656</t>
  </si>
  <si>
    <t>2268082960002656</t>
  </si>
  <si>
    <t>30001001798182</t>
  </si>
  <si>
    <t>893364040</t>
  </si>
  <si>
    <t>W 50 R436m 1986</t>
  </si>
  <si>
    <t>0                      W  0050000R  436m        1986</t>
  </si>
  <si>
    <t>Moral development : advances in research and theory / James R. Rest in collaboration with Robert Barnett ... [et al.]</t>
  </si>
  <si>
    <t>Rest, James R.</t>
  </si>
  <si>
    <t>New York ; London : Praeger, c1986.</t>
  </si>
  <si>
    <t>2003-05-28</t>
  </si>
  <si>
    <t>7186309:eng</t>
  </si>
  <si>
    <t>14166169</t>
  </si>
  <si>
    <t>991001125979702656</t>
  </si>
  <si>
    <t>2254776840002656</t>
  </si>
  <si>
    <t>9780275922542</t>
  </si>
  <si>
    <t>30001000279812</t>
  </si>
  <si>
    <t>893826467</t>
  </si>
  <si>
    <t>W 50 R556l 1985</t>
  </si>
  <si>
    <t>0                      W  0050000R  556l        1985</t>
  </si>
  <si>
    <t>Legal analysis of the right to die / by Rita Ann Reimer, Legislative Attorney, American Law Division.</t>
  </si>
  <si>
    <t>Reimer, Rita Ann.</t>
  </si>
  <si>
    <t>Washington, D.C. : Library of Congress, Congressional Research Service, 1985.</t>
  </si>
  <si>
    <t>CRS report ; no. 85-222 A</t>
  </si>
  <si>
    <t>1996-12-30</t>
  </si>
  <si>
    <t>1989-08-24</t>
  </si>
  <si>
    <t>12796729:eng</t>
  </si>
  <si>
    <t>16396984</t>
  </si>
  <si>
    <t>991000764639702656</t>
  </si>
  <si>
    <t>2261639900002656</t>
  </si>
  <si>
    <t>30001000056863</t>
  </si>
  <si>
    <t>893557116</t>
  </si>
  <si>
    <t>W 50 R566r 1981</t>
  </si>
  <si>
    <t>0                      W  0050000R  566r        1981</t>
  </si>
  <si>
    <t>Right to die or right to live? : legal aspects of dying and death / Peter J. Riga.</t>
  </si>
  <si>
    <t>Riga, Peter J.</t>
  </si>
  <si>
    <t>Tarrytown, N.Y. : Associated Faculty Press, c1981.</t>
  </si>
  <si>
    <t>New studies on law and society</t>
  </si>
  <si>
    <t>2005-04-28</t>
  </si>
  <si>
    <t>513553:eng</t>
  </si>
  <si>
    <t>8231136</t>
  </si>
  <si>
    <t>991001126039702656</t>
  </si>
  <si>
    <t>2262715250002656</t>
  </si>
  <si>
    <t>9780867330038</t>
  </si>
  <si>
    <t>30001000279804</t>
  </si>
  <si>
    <t>893740777</t>
  </si>
  <si>
    <t>W 50 R632e 1996</t>
  </si>
  <si>
    <t>0                      W  0050000R  632e        1996</t>
  </si>
  <si>
    <t>Ethical and legal issues in home health and long-term care : challenges and solutions / Dennis A. Robbins.</t>
  </si>
  <si>
    <t>Robbins, Dennis A.</t>
  </si>
  <si>
    <t>292409972:eng</t>
  </si>
  <si>
    <t>34323032</t>
  </si>
  <si>
    <t>991001552839702656</t>
  </si>
  <si>
    <t>22101747290002656</t>
  </si>
  <si>
    <t>9780834207837</t>
  </si>
  <si>
    <t>30001003474881</t>
  </si>
  <si>
    <t>893460701</t>
  </si>
  <si>
    <t>W50 R8135a 2004</t>
  </si>
  <si>
    <t>0                      W  0050000R  8135a       2004</t>
  </si>
  <si>
    <t>Assisted suicide and the right to die : the interface of social science, public policy, and medical ethics / Barry Rosenfeld.</t>
  </si>
  <si>
    <t>Washington, DC : American Psychological Association, c2004.</t>
  </si>
  <si>
    <t>2005-10-17</t>
  </si>
  <si>
    <t>2004-08-27</t>
  </si>
  <si>
    <t>794776740:eng</t>
  </si>
  <si>
    <t>54006533</t>
  </si>
  <si>
    <t>991000380489702656</t>
  </si>
  <si>
    <t>2271457080002656</t>
  </si>
  <si>
    <t>9781591471028</t>
  </si>
  <si>
    <t>30001004921138</t>
  </si>
  <si>
    <t>893375497</t>
  </si>
  <si>
    <t>W 50 R822m 1991</t>
  </si>
  <si>
    <t>0                      W  0050000R  822m        1991</t>
  </si>
  <si>
    <t>Modern medicine and Jewish ethics / by Fred Rosner.</t>
  </si>
  <si>
    <t>Rosner, Fred.</t>
  </si>
  <si>
    <t>Hoboken, N.J. : Ktav Pub. House ; New York : Yeshiva University Press, c1991.</t>
  </si>
  <si>
    <t>2nd rev. and augm. ed.</t>
  </si>
  <si>
    <t>2000-04-21</t>
  </si>
  <si>
    <t>1992-12-08</t>
  </si>
  <si>
    <t>7357077:eng</t>
  </si>
  <si>
    <t>24766624</t>
  </si>
  <si>
    <t>991001348249702656</t>
  </si>
  <si>
    <t>2271147210002656</t>
  </si>
  <si>
    <t>9780881250916</t>
  </si>
  <si>
    <t>30001002458224</t>
  </si>
  <si>
    <t>893364020</t>
  </si>
  <si>
    <t>W 50 R877h 1985</t>
  </si>
  <si>
    <t>0                      W  0050000R  877h        1985</t>
  </si>
  <si>
    <t>Hospital ethics committees : a challenge / Mary Alice Rowan.</t>
  </si>
  <si>
    <t>Rowan, Mary Alice.</t>
  </si>
  <si>
    <t>St. Louis : Catholic Health Association of the United States, c1985.</t>
  </si>
  <si>
    <t>1999-03-04</t>
  </si>
  <si>
    <t>1988-04-20</t>
  </si>
  <si>
    <t>2833769780:eng</t>
  </si>
  <si>
    <t>12851136</t>
  </si>
  <si>
    <t>991001185229702656</t>
  </si>
  <si>
    <t>2258561140002656</t>
  </si>
  <si>
    <t>9780871251084</t>
  </si>
  <si>
    <t>30001000977811</t>
  </si>
  <si>
    <t>893731732</t>
  </si>
  <si>
    <t>W 50 R888e 1981</t>
  </si>
  <si>
    <t>0                      W  0050000R  888e        1981</t>
  </si>
  <si>
    <t>Experimenting with truth : the fusion of religion with technology needed for humanity's survival / Rustum Roy.</t>
  </si>
  <si>
    <t>Roy, Rustum.</t>
  </si>
  <si>
    <t>Oxford ; New York : Pergamon Press, c1981.</t>
  </si>
  <si>
    <t>Pergamon international library of science, technology, engineerig, and social studies</t>
  </si>
  <si>
    <t>1996-03-07</t>
  </si>
  <si>
    <t>867252867:eng</t>
  </si>
  <si>
    <t>6649731</t>
  </si>
  <si>
    <t>991001125959702656</t>
  </si>
  <si>
    <t>2265877390002656</t>
  </si>
  <si>
    <t>9780080258195</t>
  </si>
  <si>
    <t>30001000279788</t>
  </si>
  <si>
    <t>893736233</t>
  </si>
  <si>
    <t>W 50 R965f 1975</t>
  </si>
  <si>
    <t>0                      W  0050000R  965f        1975</t>
  </si>
  <si>
    <t>Freedom to die : moral and legal aspects of euthanasia / by O. Ruth Russell.</t>
  </si>
  <si>
    <t>Russell, O. Ruth (Olive Ruth)</t>
  </si>
  <si>
    <t>New York : Human Sciences Press, 1975.</t>
  </si>
  <si>
    <t>761198664:eng</t>
  </si>
  <si>
    <t>914909</t>
  </si>
  <si>
    <t>991001125939702656</t>
  </si>
  <si>
    <t>2262576070002656</t>
  </si>
  <si>
    <t>9780877052166</t>
  </si>
  <si>
    <t>30001000279770</t>
  </si>
  <si>
    <t>893632735</t>
  </si>
  <si>
    <t>W 50 S416 1988</t>
  </si>
  <si>
    <t>0                      W  0050000S  416         1988</t>
  </si>
  <si>
    <t>Science and animals : addressing contemporary issues : from a conference held by the Scientists Center for Animal Welfare in Washington, D.C. on June 22-25, 1988 / edited by Helene N. Guttman, Joy A. Mench and Richard C. Simmonds.</t>
  </si>
  <si>
    <t>Bethesda, MD : Scientists Center for Animal Welfare, c1989.</t>
  </si>
  <si>
    <t>1995-06-23</t>
  </si>
  <si>
    <t>1989-07-20</t>
  </si>
  <si>
    <t>427075777:eng</t>
  </si>
  <si>
    <t>19526206</t>
  </si>
  <si>
    <t>991001309769702656</t>
  </si>
  <si>
    <t>2257484340002656</t>
  </si>
  <si>
    <t>30001001750522</t>
  </si>
  <si>
    <t>893161881</t>
  </si>
  <si>
    <t>W 50 S423c 1980</t>
  </si>
  <si>
    <t>0                      W  0050000S  423c        1980</t>
  </si>
  <si>
    <t>A Christian framework for medical ethics / C. Gordon Scorer.</t>
  </si>
  <si>
    <t>Scorer, C. Gordon (Charles Gordon)</t>
  </si>
  <si>
    <t>London : Christian Medical Fellowship Publications, 1980.</t>
  </si>
  <si>
    <t>1988-04-08</t>
  </si>
  <si>
    <t>21066483:eng</t>
  </si>
  <si>
    <t>9010477</t>
  </si>
  <si>
    <t>991001256559702656</t>
  </si>
  <si>
    <t>2263277830002656</t>
  </si>
  <si>
    <t>9780851119724</t>
  </si>
  <si>
    <t>30001000344996</t>
  </si>
  <si>
    <t>893134396</t>
  </si>
  <si>
    <t>W 50 S446 1996</t>
  </si>
  <si>
    <t>0                      W  0050000S  446         1996</t>
  </si>
  <si>
    <t>Secular bioethics in theological perspective / edited by Earl E. Shelp.</t>
  </si>
  <si>
    <t>Dordrecht ; Boston : Kluwer Academic Publishers, c1996.</t>
  </si>
  <si>
    <t>Theology and medicine ; v. 8</t>
  </si>
  <si>
    <t>2009-04-22</t>
  </si>
  <si>
    <t>37432290:eng</t>
  </si>
  <si>
    <t>33012736</t>
  </si>
  <si>
    <t>991001199439702656</t>
  </si>
  <si>
    <t>2255096080002656</t>
  </si>
  <si>
    <t>9780792337355</t>
  </si>
  <si>
    <t>30001003654730</t>
  </si>
  <si>
    <t>893727333</t>
  </si>
  <si>
    <t>W 50 S455e 1995</t>
  </si>
  <si>
    <t>0                      W  0050000S  455e        1995</t>
  </si>
  <si>
    <t>Ethical considerations in the business aspects of health care / Woodstock Theological Center Seminar in Business Ethics.</t>
  </si>
  <si>
    <t>Seminar in Business Ethics.</t>
  </si>
  <si>
    <t>Washington, D.C. : Georgetown University Press, c1995.</t>
  </si>
  <si>
    <t>2001-12-05</t>
  </si>
  <si>
    <t>1998-03-24</t>
  </si>
  <si>
    <t>890631139:eng</t>
  </si>
  <si>
    <t>31970408</t>
  </si>
  <si>
    <t>991001293749702656</t>
  </si>
  <si>
    <t>2267650650002656</t>
  </si>
  <si>
    <t>9780878405879</t>
  </si>
  <si>
    <t>30001003740133</t>
  </si>
  <si>
    <t>893816283</t>
  </si>
  <si>
    <t>W 50 S518 1987</t>
  </si>
  <si>
    <t>0                      W  0050000S  518         1987</t>
  </si>
  <si>
    <t>Sexuality and medicine / edited by Earl E. Shelp.</t>
  </si>
  <si>
    <t>Philosophy and medicine ; v. 22-23</t>
  </si>
  <si>
    <t>1989-05-03</t>
  </si>
  <si>
    <t>3133708100:eng</t>
  </si>
  <si>
    <t>14520869</t>
  </si>
  <si>
    <t>991001245869702656</t>
  </si>
  <si>
    <t>2258098040002656</t>
  </si>
  <si>
    <t>9789027723864</t>
  </si>
  <si>
    <t>30001001677220</t>
  </si>
  <si>
    <t>893460385</t>
  </si>
  <si>
    <t>1991-12-11</t>
  </si>
  <si>
    <t>30001001677246</t>
  </si>
  <si>
    <t>893450978</t>
  </si>
  <si>
    <t>W 50 S528t 1984</t>
  </si>
  <si>
    <t>0                      W  0050000S  528t        1984</t>
  </si>
  <si>
    <t>Twelve problems in health care ethics / Thomas A. Shannon.</t>
  </si>
  <si>
    <t>Shannon, Thomas A. (Thomas Anthony), 1940-</t>
  </si>
  <si>
    <t>New York : E. Mellen Press, c1984.</t>
  </si>
  <si>
    <t>Studies in health and human services ; vol. 2</t>
  </si>
  <si>
    <t>2000-10-06</t>
  </si>
  <si>
    <t>3854440:eng</t>
  </si>
  <si>
    <t>11316674</t>
  </si>
  <si>
    <t>991001459119702656</t>
  </si>
  <si>
    <t>2256714670002656</t>
  </si>
  <si>
    <t>9780889461277</t>
  </si>
  <si>
    <t>30001000555393</t>
  </si>
  <si>
    <t>893643609</t>
  </si>
  <si>
    <t>W 50 S546m 1991</t>
  </si>
  <si>
    <t>0                      W  0050000S  546m        1991</t>
  </si>
  <si>
    <t>Medical ethics : evolution, rights and the physician / Henry A. Shenkin.</t>
  </si>
  <si>
    <t>Shenkin, Henry A., 1915-</t>
  </si>
  <si>
    <t>Dordrecht ; Boston : Kluwer Academic Publishers, c1991.</t>
  </si>
  <si>
    <t>Episteme ; v. 17.</t>
  </si>
  <si>
    <t>1991-10-07</t>
  </si>
  <si>
    <t>197507526:eng</t>
  </si>
  <si>
    <t>22543311</t>
  </si>
  <si>
    <t>991001018149702656</t>
  </si>
  <si>
    <t>2267515430002656</t>
  </si>
  <si>
    <t>9780792310310</t>
  </si>
  <si>
    <t>30001002241083</t>
  </si>
  <si>
    <t>893546308</t>
  </si>
  <si>
    <t>W 50 S554n 1992</t>
  </si>
  <si>
    <t>0                      W  0050000S  554n        1992</t>
  </si>
  <si>
    <t>No longer patient : feminist ethics and health care / Susan Sherwin.</t>
  </si>
  <si>
    <t>Sherwin, Susan, 1947-</t>
  </si>
  <si>
    <t>Philadelphia : Temple University Press, c1992.</t>
  </si>
  <si>
    <t>2003-04-03</t>
  </si>
  <si>
    <t>2003-10-02</t>
  </si>
  <si>
    <t>1992-01-31</t>
  </si>
  <si>
    <t>222816175:eng</t>
  </si>
  <si>
    <t>23654449</t>
  </si>
  <si>
    <t>991001780709702656</t>
  </si>
  <si>
    <t>2264709860002656</t>
  </si>
  <si>
    <t>9780877228899</t>
  </si>
  <si>
    <t>30001002243857</t>
  </si>
  <si>
    <t>893832595</t>
  </si>
  <si>
    <t>W 50 S559t 1984</t>
  </si>
  <si>
    <t>0                      W  0050000S  559t        1984</t>
  </si>
  <si>
    <t>To treat or not to treat : a working document for making critical life decisions / J. Stuart Showalter, Brian L. Andrew.</t>
  </si>
  <si>
    <t>Showalter, J. Stuart.</t>
  </si>
  <si>
    <t>St. Louis, MO : Catholic Health Association of the United States, c1984.</t>
  </si>
  <si>
    <t>1989-04-05</t>
  </si>
  <si>
    <t>3068490:eng</t>
  </si>
  <si>
    <t>10163060</t>
  </si>
  <si>
    <t>991000882209702656</t>
  </si>
  <si>
    <t>2268710450002656</t>
  </si>
  <si>
    <t>9780871250940</t>
  </si>
  <si>
    <t>30001001489279</t>
  </si>
  <si>
    <t>893161423</t>
  </si>
  <si>
    <t>W 50 S616t 1989</t>
  </si>
  <si>
    <t>0                      W  0050000S  616t        1989</t>
  </si>
  <si>
    <t>Tradition and the biological revolution : the application of Jewish law to the treatment of the critically ill / Daniel B. Sinclair.</t>
  </si>
  <si>
    <t>Sinclair, Daniel B.</t>
  </si>
  <si>
    <t>Edinburgh : Edinburgh University Press, c1989.</t>
  </si>
  <si>
    <t>stk</t>
  </si>
  <si>
    <t>1992-04-29</t>
  </si>
  <si>
    <t>1992-02-20</t>
  </si>
  <si>
    <t>364748242:eng</t>
  </si>
  <si>
    <t>32092575</t>
  </si>
  <si>
    <t>991001033029702656</t>
  </si>
  <si>
    <t>2264717390002656</t>
  </si>
  <si>
    <t>9780852246368</t>
  </si>
  <si>
    <t>30001002244186</t>
  </si>
  <si>
    <t>893546321</t>
  </si>
  <si>
    <t>W 50 S649e 1970</t>
  </si>
  <si>
    <t>0                      W  0050000S  649e        1970</t>
  </si>
  <si>
    <t>Ethics and the new medicine / Harmon L. Smith.</t>
  </si>
  <si>
    <t>Smith, Harmon L.</t>
  </si>
  <si>
    <t>Nashville : Abingdon Press, [1970]</t>
  </si>
  <si>
    <t>2004-10-06</t>
  </si>
  <si>
    <t>1327809:eng</t>
  </si>
  <si>
    <t>98084</t>
  </si>
  <si>
    <t>991001526359702656</t>
  </si>
  <si>
    <t>2272158650002656</t>
  </si>
  <si>
    <t>9780687120130</t>
  </si>
  <si>
    <t>30001000614679</t>
  </si>
  <si>
    <t>893364225</t>
  </si>
  <si>
    <t>W 50 S697d 1986</t>
  </si>
  <si>
    <t>0                      W  0050000S  697d        1986</t>
  </si>
  <si>
    <t>Death and dying : staying in control to the end of our lives.</t>
  </si>
  <si>
    <t>Sommers, Tish.</t>
  </si>
  <si>
    <t>Washington, D.C. : Older Women's League, [1986]</t>
  </si>
  <si>
    <t>Gray paper</t>
  </si>
  <si>
    <t>2001-02-06</t>
  </si>
  <si>
    <t>1990-09-24</t>
  </si>
  <si>
    <t>5550033153:eng</t>
  </si>
  <si>
    <t>15134564</t>
  </si>
  <si>
    <t>991001454659702656</t>
  </si>
  <si>
    <t>2263999740002656</t>
  </si>
  <si>
    <t>30001001884578</t>
  </si>
  <si>
    <t>893727615</t>
  </si>
  <si>
    <t>W50 S745o 2000</t>
  </si>
  <si>
    <t>0                      W  0050000S  745o        2000</t>
  </si>
  <si>
    <t>Organization ethics in health care / Edward M. Spencer ... [et al.].</t>
  </si>
  <si>
    <t>New York : Oxford University Press, 2000.</t>
  </si>
  <si>
    <t>2010-06-21</t>
  </si>
  <si>
    <t>866308557:eng</t>
  </si>
  <si>
    <t>41380504</t>
  </si>
  <si>
    <t>991000377849702656</t>
  </si>
  <si>
    <t>2256890710002656</t>
  </si>
  <si>
    <t>9780195129809</t>
  </si>
  <si>
    <t>30001004922151</t>
  </si>
  <si>
    <t>893639136</t>
  </si>
  <si>
    <t>W 50 S922 1978F</t>
  </si>
  <si>
    <t>0                      W  0050000S  922         1978F</t>
  </si>
  <si>
    <t>A theory of informed consent and proxy consent / Carson McCarty Strong.</t>
  </si>
  <si>
    <t>Strong, Carson McCarty.</t>
  </si>
  <si>
    <t>Ann Arbor, MI : University Microfilms International, 1979.</t>
  </si>
  <si>
    <t>16441721:eng</t>
  </si>
  <si>
    <t>5122174</t>
  </si>
  <si>
    <t>991001459399702656</t>
  </si>
  <si>
    <t>2266135090002656</t>
  </si>
  <si>
    <t>30001000555419</t>
  </si>
  <si>
    <t>893727617</t>
  </si>
  <si>
    <t>W 50 S949 1950f</t>
  </si>
  <si>
    <t>0                      W  0050000S  949         1950f</t>
  </si>
  <si>
    <t>The morality of mercy killing / by Joseph V. Sullivan ; with a foreword by Francis J. Connell.</t>
  </si>
  <si>
    <t>Sullivan, Joseph V. (Joseph Vincent), 1919-1982.</t>
  </si>
  <si>
    <t>1950</t>
  </si>
  <si>
    <t>myu</t>
  </si>
  <si>
    <t>1999-06-25</t>
  </si>
  <si>
    <t>1988-05-18</t>
  </si>
  <si>
    <t>8511839:eng</t>
  </si>
  <si>
    <t>14669881</t>
  </si>
  <si>
    <t>991001190889702656</t>
  </si>
  <si>
    <t>2268491190002656</t>
  </si>
  <si>
    <t>30001000979312</t>
  </si>
  <si>
    <t>893648960</t>
  </si>
  <si>
    <t>W 50 S973h</t>
  </si>
  <si>
    <t>0                      W  0050000S  973h</t>
  </si>
  <si>
    <t>Health, professionals, and the public : toward a new social contract? / Judith P. Swazey.</t>
  </si>
  <si>
    <t>Swazey, Judith P.</t>
  </si>
  <si>
    <t>Philadelphia : Society for Health and Human Values, c1979.</t>
  </si>
  <si>
    <t>2003-09-29</t>
  </si>
  <si>
    <t>895334072:eng</t>
  </si>
  <si>
    <t>6157632</t>
  </si>
  <si>
    <t>991001459439702656</t>
  </si>
  <si>
    <t>2258300750002656</t>
  </si>
  <si>
    <t>30001000555427</t>
  </si>
  <si>
    <t>893162026</t>
  </si>
  <si>
    <t>W 50 S979e 1984</t>
  </si>
  <si>
    <t>0                      W  0050000S  979e        1984</t>
  </si>
  <si>
    <t>Ethical dilemmas in medicine : an anthropological perspective / by Judith L. Swyter.</t>
  </si>
  <si>
    <t>Swyter, Judith L., 1939-</t>
  </si>
  <si>
    <t>Ann Arbor, Mi. : University Microfilms International, 1984, 1989.</t>
  </si>
  <si>
    <t>1996-08-17</t>
  </si>
  <si>
    <t>1989-03-28</t>
  </si>
  <si>
    <t>502166970:eng</t>
  </si>
  <si>
    <t>11542285</t>
  </si>
  <si>
    <t>991001242959702656</t>
  </si>
  <si>
    <t>2262204590002656</t>
  </si>
  <si>
    <t>30001001676180</t>
  </si>
  <si>
    <t>893651926</t>
  </si>
  <si>
    <t>W 50 S987c 1972</t>
  </si>
  <si>
    <t>0                      W  0050000S  987c        1972</t>
  </si>
  <si>
    <t>The case of Willowbrook State Hospital [i.e. School] research : proceedings ... May 4, 1972.</t>
  </si>
  <si>
    <t>Symposium on Ethical Issues in Human Experimentation: the Case of Willowbrook State Hospital Research (1972 : New York, N.Y.)</t>
  </si>
  <si>
    <t>[New York] : Urban Health Affairs Program, New York Univ. Medical Center, [1973]</t>
  </si>
  <si>
    <t>1991-04-17</t>
  </si>
  <si>
    <t>5608906907:eng</t>
  </si>
  <si>
    <t>14416105</t>
  </si>
  <si>
    <t>991001459339702656</t>
  </si>
  <si>
    <t>2265714520002656</t>
  </si>
  <si>
    <t>30001000555401</t>
  </si>
  <si>
    <t>893279126</t>
  </si>
  <si>
    <t>W 50 T136 1984</t>
  </si>
  <si>
    <t>0                      W  0050000T  136         1984</t>
  </si>
  <si>
    <t>Taking sides : clashing views on controversial bio-ethical issues / edited, selected and with introductions by Carol Levine.</t>
  </si>
  <si>
    <t>Guilford, Conn. : Dushkin Pub. Group, c1984.</t>
  </si>
  <si>
    <t>2010-04-07</t>
  </si>
  <si>
    <t>138072162:eng</t>
  </si>
  <si>
    <t>10777591</t>
  </si>
  <si>
    <t>991001459529702656</t>
  </si>
  <si>
    <t>2263866680002656</t>
  </si>
  <si>
    <t>9780879674908</t>
  </si>
  <si>
    <t>30001000555443</t>
  </si>
  <si>
    <t>893162027</t>
  </si>
  <si>
    <t>W 50 T136 1985</t>
  </si>
  <si>
    <t>0                      W  0050000T  136         1985</t>
  </si>
  <si>
    <t>Taking charge of the end of your life : proceedings of a forum on living wills and other advance directives.</t>
  </si>
  <si>
    <t>Washington, D.C. : American Bar Association's Commission on Legal Problems of the Elderly : Older Women's League, 1985.</t>
  </si>
  <si>
    <t>1997-11-11</t>
  </si>
  <si>
    <t>54758520:eng</t>
  </si>
  <si>
    <t>12790261</t>
  </si>
  <si>
    <t>991001454739702656</t>
  </si>
  <si>
    <t>2256108510002656</t>
  </si>
  <si>
    <t>30001001884594</t>
  </si>
  <si>
    <t>893149234</t>
  </si>
  <si>
    <t>W 50 T136 2006</t>
  </si>
  <si>
    <t>0                      W  0050000T  136         2006</t>
  </si>
  <si>
    <t>Taking sides. Clashing views on controversial bioethical issues / edited, selected, and with introductions by Carol Levine.</t>
  </si>
  <si>
    <t>Guilford, Conn. : McGraw Hill/Dushkin, c2006.</t>
  </si>
  <si>
    <t>11th ed.</t>
  </si>
  <si>
    <t>2009-02-23</t>
  </si>
  <si>
    <t>2007-02-08</t>
  </si>
  <si>
    <t>60531543</t>
  </si>
  <si>
    <t>991000593699702656</t>
  </si>
  <si>
    <t>2263922880002656</t>
  </si>
  <si>
    <t>9780073129556</t>
  </si>
  <si>
    <t>30001005214582</t>
  </si>
  <si>
    <t>893463937</t>
  </si>
  <si>
    <t>W 50 T458w 1987</t>
  </si>
  <si>
    <t>0                      W  0050000T  458w        1987</t>
  </si>
  <si>
    <t>Well and good : case studies in biomedical ethics / John E. Thomas and Wilfred J. Waluchow.</t>
  </si>
  <si>
    <t>Thomas, John E. (John Edward), 1926-1996.</t>
  </si>
  <si>
    <t>Peterborough [Ont.] : Broadview Press, c1987.</t>
  </si>
  <si>
    <t>196532923:eng</t>
  </si>
  <si>
    <t>16183705</t>
  </si>
  <si>
    <t>991001176159702656</t>
  </si>
  <si>
    <t>2271972800002656</t>
  </si>
  <si>
    <t>9780921149125</t>
  </si>
  <si>
    <t>30001000976011</t>
  </si>
  <si>
    <t>893278837</t>
  </si>
  <si>
    <t>W 50 T665f 1997</t>
  </si>
  <si>
    <t>0                      W  0050000T  665f        1997</t>
  </si>
  <si>
    <t>Feminist approaches to bioethics : theoretical reflections and practical applications / Rosemarie Tong.</t>
  </si>
  <si>
    <t>Tong, Rosemarie.</t>
  </si>
  <si>
    <t>Boulder, Colo. : Westview Press, c1997.</t>
  </si>
  <si>
    <t>837019257:eng</t>
  </si>
  <si>
    <t>35650691</t>
  </si>
  <si>
    <t>991001227179702656</t>
  </si>
  <si>
    <t>2258323550002656</t>
  </si>
  <si>
    <t>9780813319544</t>
  </si>
  <si>
    <t>30001003669753</t>
  </si>
  <si>
    <t>893731760</t>
  </si>
  <si>
    <t>W 50 T668 1991</t>
  </si>
  <si>
    <t>0                      W  0050000T  668         1991</t>
  </si>
  <si>
    <t>Too old for health care? : controversies in medicine, law, economics, and ethics / edited by Robert H. Binstock and Stephen G. Post ; with the assistance of Laurel S. Mills.</t>
  </si>
  <si>
    <t>Baltimore : Johns Hopkins University Press, c1991.</t>
  </si>
  <si>
    <t>The Johns Hopkins series in contemporary medicine and public health.</t>
  </si>
  <si>
    <t>2003-03-03</t>
  </si>
  <si>
    <t>1991-09-17</t>
  </si>
  <si>
    <t>1991-10-30</t>
  </si>
  <si>
    <t>836752833:eng</t>
  </si>
  <si>
    <t>22733749</t>
  </si>
  <si>
    <t>991001647339702656</t>
  </si>
  <si>
    <t>2267071110002656</t>
  </si>
  <si>
    <t>9780801841651</t>
  </si>
  <si>
    <t>30001002240614</t>
  </si>
  <si>
    <t>893821358</t>
  </si>
  <si>
    <t>W50 T759 2002</t>
  </si>
  <si>
    <t>0                      W  0050000T  759         2002</t>
  </si>
  <si>
    <t>The tracks we leave : ethics in healthcare management / [edited by] Frankie Perry.</t>
  </si>
  <si>
    <t>Chicago, Ill. : Health Administration Press, c2002.</t>
  </si>
  <si>
    <t>2007-07-11</t>
  </si>
  <si>
    <t>800183239:eng</t>
  </si>
  <si>
    <t>47141968</t>
  </si>
  <si>
    <t>991000377889702656</t>
  </si>
  <si>
    <t>2264967460002656</t>
  </si>
  <si>
    <t>9781567931679</t>
  </si>
  <si>
    <t>30001004922144</t>
  </si>
  <si>
    <t>893279966</t>
  </si>
  <si>
    <t>W 50 V394b 2003</t>
  </si>
  <si>
    <t>0                      W  0050000V  394b        2003</t>
  </si>
  <si>
    <t>The basics of bioethics / Robert M. Veatch.</t>
  </si>
  <si>
    <t>Upper Saddle River, N.J. : Prentice Hall, c2003.</t>
  </si>
  <si>
    <t>2005-10-21</t>
  </si>
  <si>
    <t>984375:eng</t>
  </si>
  <si>
    <t>49699433</t>
  </si>
  <si>
    <t>991001718919702656</t>
  </si>
  <si>
    <t>22101747270002656</t>
  </si>
  <si>
    <t>9780130991614</t>
  </si>
  <si>
    <t>30001004501112</t>
  </si>
  <si>
    <t>893732202</t>
  </si>
  <si>
    <t>W 50 V394d 1989</t>
  </si>
  <si>
    <t>0                      W  0050000V  394d        1989</t>
  </si>
  <si>
    <t>Death, dying, and the biological revolution : our last quest for responsibility / Robert M. Veatch.</t>
  </si>
  <si>
    <t>Rev. ed.</t>
  </si>
  <si>
    <t>181004120:eng</t>
  </si>
  <si>
    <t>18946283</t>
  </si>
  <si>
    <t>991001449969702656</t>
  </si>
  <si>
    <t>2271211450002656</t>
  </si>
  <si>
    <t>9780300043655</t>
  </si>
  <si>
    <t>30001001882630</t>
  </si>
  <si>
    <t>893732038</t>
  </si>
  <si>
    <t>W50 V394da 2005</t>
  </si>
  <si>
    <t>0                      W  0050000V  394da       2005</t>
  </si>
  <si>
    <t>Disrupted dialogue : medical ethics and the collapse of physician-humanist communication (1770-1980) / Robert M. Veatch.</t>
  </si>
  <si>
    <t>Oxford ; New York : Oxford University Press, 2005.</t>
  </si>
  <si>
    <t>2005-01-28</t>
  </si>
  <si>
    <t>802034622:eng</t>
  </si>
  <si>
    <t>55036946</t>
  </si>
  <si>
    <t>991000425049702656</t>
  </si>
  <si>
    <t>2271206810002656</t>
  </si>
  <si>
    <t>9780195169768</t>
  </si>
  <si>
    <t>30001004927069</t>
  </si>
  <si>
    <t>893109534</t>
  </si>
  <si>
    <t>W 50 V395p 1991 pt.2</t>
  </si>
  <si>
    <t>0                      W  0050000V  395p        1991                                        pt.2</t>
  </si>
  <si>
    <t>The patient-physician relation : the patient as partner, part 2 / Robert M. Veatch.</t>
  </si>
  <si>
    <t>pt.2*</t>
  </si>
  <si>
    <t>Bloomington : Indiana University Press, c1991.</t>
  </si>
  <si>
    <t>1999-05-04</t>
  </si>
  <si>
    <t>1991-03-11</t>
  </si>
  <si>
    <t>797127068:eng</t>
  </si>
  <si>
    <t>21294846</t>
  </si>
  <si>
    <t>991000825799702656</t>
  </si>
  <si>
    <t>2271067020002656</t>
  </si>
  <si>
    <t>9780253362070</t>
  </si>
  <si>
    <t>30001002088591</t>
  </si>
  <si>
    <t>893740376</t>
  </si>
  <si>
    <t>W 50 W239e 1983</t>
  </si>
  <si>
    <t>0                      W  0050000W  239e        1983</t>
  </si>
  <si>
    <t>Ethics of withdrawal of life-support systems : case studies on decision-making in intensive care / Douglas N. Walton.</t>
  </si>
  <si>
    <t>Walton, Douglas N.</t>
  </si>
  <si>
    <t>Westport, Conn. : Greenwood Press, c1983.</t>
  </si>
  <si>
    <t>Contributions in philosophy, ISSN 0084-926X ; no.23</t>
  </si>
  <si>
    <t>1999-05-01</t>
  </si>
  <si>
    <t>1987-12-19</t>
  </si>
  <si>
    <t>2563614:eng</t>
  </si>
  <si>
    <t>8805498</t>
  </si>
  <si>
    <t>991001468289702656</t>
  </si>
  <si>
    <t>2267837970002656</t>
  </si>
  <si>
    <t>9780313237522</t>
  </si>
  <si>
    <t>30001000558264</t>
  </si>
  <si>
    <t>893121523</t>
  </si>
  <si>
    <t>W 50 W476t 1989</t>
  </si>
  <si>
    <t>0                      W  0050000W  476t        1989</t>
  </si>
  <si>
    <t>Terminal choices : euthanasia, suicide, and the right to die / by Robert N. Wennberg.</t>
  </si>
  <si>
    <t>Wennberg, Robert N.</t>
  </si>
  <si>
    <t>Grand Rapids, Mich. : W.B. Eerdmans Pub. Co. ; Exeter, UK : Paternoster Press, c1989.</t>
  </si>
  <si>
    <t>2000-10-28</t>
  </si>
  <si>
    <t>1990-05-23</t>
  </si>
  <si>
    <t>1992-03-14</t>
  </si>
  <si>
    <t>796893202:eng</t>
  </si>
  <si>
    <t>20295980</t>
  </si>
  <si>
    <t>991001642319702656</t>
  </si>
  <si>
    <t>2260688530002656</t>
  </si>
  <si>
    <t>9780802804549</t>
  </si>
  <si>
    <t>30001001798117</t>
  </si>
  <si>
    <t>893541540</t>
  </si>
  <si>
    <t>W 50 W499r 1973</t>
  </si>
  <si>
    <t>0                      W  0050000W  499r        1973</t>
  </si>
  <si>
    <t>Readings on ethical and social issues in biomedicine / Richard W. Wertz.</t>
  </si>
  <si>
    <t>Wertz, Richard W.</t>
  </si>
  <si>
    <t>Englewood Cliffs, NJ. : Prentice-Hall, c1973.</t>
  </si>
  <si>
    <t>1998-11-12</t>
  </si>
  <si>
    <t>1673401:eng</t>
  </si>
  <si>
    <t>665870</t>
  </si>
  <si>
    <t>991001541329702656</t>
  </si>
  <si>
    <t>2272560360002656</t>
  </si>
  <si>
    <t>9780137558926</t>
  </si>
  <si>
    <t>30001000635492</t>
  </si>
  <si>
    <t>893741237</t>
  </si>
  <si>
    <t>W 50 W567 1992</t>
  </si>
  <si>
    <t>0                      W  0050000W  567         1992</t>
  </si>
  <si>
    <t>When medicine went mad : bioethics and the Holocaust / edited by Arthur L. Caplan.</t>
  </si>
  <si>
    <t>Totowa, N.J. : Humana Press, c1992.</t>
  </si>
  <si>
    <t>2007-04-03</t>
  </si>
  <si>
    <t>1992-11-13</t>
  </si>
  <si>
    <t>891265627:eng</t>
  </si>
  <si>
    <t>25630308</t>
  </si>
  <si>
    <t>991001347599702656</t>
  </si>
  <si>
    <t>2266752070002656</t>
  </si>
  <si>
    <t>9780896032354</t>
  </si>
  <si>
    <t>30001002457879</t>
  </si>
  <si>
    <t>893643512</t>
  </si>
  <si>
    <t>W 50 W628 1982</t>
  </si>
  <si>
    <t>0                      W  0050000W  628         1982</t>
  </si>
  <si>
    <t>Who decides? : conflicts of rights in health care / edited by Nora K. Bell.</t>
  </si>
  <si>
    <t>1989-06-18</t>
  </si>
  <si>
    <t>906249357:eng</t>
  </si>
  <si>
    <t>8112177</t>
  </si>
  <si>
    <t>991001541399702656</t>
  </si>
  <si>
    <t>2257082020002656</t>
  </si>
  <si>
    <t>9780896030343</t>
  </si>
  <si>
    <t>30001000635518</t>
  </si>
  <si>
    <t>893649310</t>
  </si>
  <si>
    <t>W 50 W777c 1986</t>
  </si>
  <si>
    <t>0                      W  0050000W  777c        1986</t>
  </si>
  <si>
    <t>Choosing life or death : a guide for patients, families, and professionals / William J. Winslade, Judith Wilson Ross.</t>
  </si>
  <si>
    <t>Winslade, William J.</t>
  </si>
  <si>
    <t>New York : Free Press ; London : Collier Macmillan, c1986.</t>
  </si>
  <si>
    <t>2005-07-13</t>
  </si>
  <si>
    <t>1987-12-23</t>
  </si>
  <si>
    <t>972988599:eng</t>
  </si>
  <si>
    <t>12551640</t>
  </si>
  <si>
    <t>991001548069702656</t>
  </si>
  <si>
    <t>2258579970002656</t>
  </si>
  <si>
    <t>9780029347201</t>
  </si>
  <si>
    <t>30001000643959</t>
  </si>
  <si>
    <t>893369470</t>
  </si>
  <si>
    <t>W50 W886m 2000</t>
  </si>
  <si>
    <t>0                      W  0050000W  886m        2000</t>
  </si>
  <si>
    <t>Mastering patient flow : to increase efficiency and earnings / by Elizabeth W. Woodcock.</t>
  </si>
  <si>
    <t>Woodcock, Wlizabeth W.</t>
  </si>
  <si>
    <t>Englewood, CO : Medical Group Management Association, c2000.</t>
  </si>
  <si>
    <t>2005-06-29</t>
  </si>
  <si>
    <t>35223173:eng</t>
  </si>
  <si>
    <t>45809005</t>
  </si>
  <si>
    <t>991000305879702656</t>
  </si>
  <si>
    <t>2269808810002656</t>
  </si>
  <si>
    <t>9781568291321</t>
  </si>
  <si>
    <t>30001004236750</t>
  </si>
  <si>
    <t>893644186</t>
  </si>
  <si>
    <t>W 50 W926c 1989</t>
  </si>
  <si>
    <t>0                      W  0050000W  926c        1989</t>
  </si>
  <si>
    <t>Critical issues in contemporary health care : proceedings of the Eighth Bishops' Workshop, Dallas, Texas / Russell E. Smith, editor.</t>
  </si>
  <si>
    <t>Workshop for Bishops of the United States and Canada (8th : 1989 : Dallas, Tex.)</t>
  </si>
  <si>
    <t>Braintree, Mass. : Pope John Center, c1989.</t>
  </si>
  <si>
    <t>1996-05-28</t>
  </si>
  <si>
    <t>1990-12-07</t>
  </si>
  <si>
    <t>22266513:eng</t>
  </si>
  <si>
    <t>20319939</t>
  </si>
  <si>
    <t>991000781739702656</t>
  </si>
  <si>
    <t>2254739460002656</t>
  </si>
  <si>
    <t>9780935372274</t>
  </si>
  <si>
    <t>30001002065003</t>
  </si>
  <si>
    <t>893161138</t>
  </si>
  <si>
    <t>W 50 W927h 1985</t>
  </si>
  <si>
    <t>0                      W  0050000W  927h        1985</t>
  </si>
  <si>
    <t>Handbook of declarations / World Medical Association.</t>
  </si>
  <si>
    <t>World Medical Association.</t>
  </si>
  <si>
    <t>Farnborough, Hampshire, Eng. : Inkon Printers Ltd., c1985.</t>
  </si>
  <si>
    <t>2001-08-23</t>
  </si>
  <si>
    <t>1988-03-25</t>
  </si>
  <si>
    <t>10132376:eng</t>
  </si>
  <si>
    <t>16411167</t>
  </si>
  <si>
    <t>991000629199702656</t>
  </si>
  <si>
    <t>2258319240002656</t>
  </si>
  <si>
    <t>9780951052105</t>
  </si>
  <si>
    <t>30001000015398</t>
  </si>
  <si>
    <t>893277784</t>
  </si>
  <si>
    <t>W50 W934e 1997</t>
  </si>
  <si>
    <t>0                      W  0050000W  934e        1997</t>
  </si>
  <si>
    <t>The ethics of the ordinary in healthcare : concepts and cases / John Abbott Worthley.</t>
  </si>
  <si>
    <t>Worthley, John Abbott.</t>
  </si>
  <si>
    <t>Chicago, Ill. : Health Administration Press, c1997.</t>
  </si>
  <si>
    <t>2005-04-10</t>
  </si>
  <si>
    <t>679717:eng</t>
  </si>
  <si>
    <t>36470659</t>
  </si>
  <si>
    <t>991000323799702656</t>
  </si>
  <si>
    <t>2259738690002656</t>
  </si>
  <si>
    <t>9781567930566</t>
  </si>
  <si>
    <t>30001004443141</t>
  </si>
  <si>
    <t>893542255</t>
  </si>
  <si>
    <t>W50 W934o 1999</t>
  </si>
  <si>
    <t>0                      W  0050000W  934o        1999</t>
  </si>
  <si>
    <t>Organizational ethics in the compliance context / John Abbott Worthley.</t>
  </si>
  <si>
    <t>941752:eng</t>
  </si>
  <si>
    <t>41176732</t>
  </si>
  <si>
    <t>991000323879702656</t>
  </si>
  <si>
    <t>2259280930002656</t>
  </si>
  <si>
    <t>9781567931105</t>
  </si>
  <si>
    <t>30001004443158</t>
  </si>
  <si>
    <t>893537059</t>
  </si>
  <si>
    <t>W 50 Y49m 1980</t>
  </si>
  <si>
    <t>0                      W  0050000Y  49m         1980</t>
  </si>
  <si>
    <t>Medical ethics : thinking about unavoidable questions / Ronald Yezzi.</t>
  </si>
  <si>
    <t>Yezzi, Ronald.</t>
  </si>
  <si>
    <t>New York : Holt, Rinehart and Winston, c1980.</t>
  </si>
  <si>
    <t>1996-08-25</t>
  </si>
  <si>
    <t>1987-12-18</t>
  </si>
  <si>
    <t>401417:eng</t>
  </si>
  <si>
    <t>5798973</t>
  </si>
  <si>
    <t>991001541449702656</t>
  </si>
  <si>
    <t>2268820660002656</t>
  </si>
  <si>
    <t>9780030532566</t>
  </si>
  <si>
    <t>30001000635542</t>
  </si>
  <si>
    <t>893168263</t>
  </si>
  <si>
    <t>W50 Z999 2000</t>
  </si>
  <si>
    <t>0                      W  0050000Z  999         2000</t>
  </si>
  <si>
    <t>20 common problems : ethics in primary care / [edited by] Jeremy Sugarman.</t>
  </si>
  <si>
    <t>New York : McGraw-Hill, c2000.</t>
  </si>
  <si>
    <t>2006-01-17</t>
  </si>
  <si>
    <t>2536139:eng</t>
  </si>
  <si>
    <t>45066282</t>
  </si>
  <si>
    <t>991000454269702656</t>
  </si>
  <si>
    <t>2263344300002656</t>
  </si>
  <si>
    <t>9780070633698</t>
  </si>
  <si>
    <t>30001004910875</t>
  </si>
  <si>
    <t>893280013</t>
  </si>
  <si>
    <t>W 50.3 K47b 1979</t>
  </si>
  <si>
    <t>0                      W  0050300K  47b         1979</t>
  </si>
  <si>
    <t>Bioethics : a textbook of issues / George H. Kieffer.</t>
  </si>
  <si>
    <t>Kieffer, George H., 1930-</t>
  </si>
  <si>
    <t>Reading, Mass. : Addison-Wesley Pub. Co., c1979.</t>
  </si>
  <si>
    <t>2007-02-09</t>
  </si>
  <si>
    <t>416860:eng</t>
  </si>
  <si>
    <t>4491393</t>
  </si>
  <si>
    <t>991000593629702656</t>
  </si>
  <si>
    <t>2264132550002656</t>
  </si>
  <si>
    <t>9780201038910</t>
  </si>
  <si>
    <t>30001005214525</t>
  </si>
  <si>
    <t>893362365</t>
  </si>
  <si>
    <t>W 58 M489 1986</t>
  </si>
  <si>
    <t>0                      W  0058000M  489         1986</t>
  </si>
  <si>
    <t>Medical ethics and economics in health care / edited by Gavin Mooney and Alastair McGuire.</t>
  </si>
  <si>
    <t>Oxford ; New York : Oxford University Press, c1988.</t>
  </si>
  <si>
    <t>2006-09-08</t>
  </si>
  <si>
    <t>1988-08-18</t>
  </si>
  <si>
    <t>354794799:eng</t>
  </si>
  <si>
    <t>16682472</t>
  </si>
  <si>
    <t>991001421559702656</t>
  </si>
  <si>
    <t>2263408670002656</t>
  </si>
  <si>
    <t>9780192616722</t>
  </si>
  <si>
    <t>30001001182437</t>
  </si>
  <si>
    <t>893134564</t>
  </si>
  <si>
    <t>W 58 M872b 1995</t>
  </si>
  <si>
    <t>0                      W  0058000M  872b        1995</t>
  </si>
  <si>
    <t>Balancing act : the new medical ethics of medicine's new economics / E. Haavi Morreim.</t>
  </si>
  <si>
    <t>Morreim, E. Haavi.</t>
  </si>
  <si>
    <t>Clinical medical ethics</t>
  </si>
  <si>
    <t>2003-11-24</t>
  </si>
  <si>
    <t>1998-03-19</t>
  </si>
  <si>
    <t>2864309556:eng</t>
  </si>
  <si>
    <t>31288757</t>
  </si>
  <si>
    <t>991001293809702656</t>
  </si>
  <si>
    <t>2260331020002656</t>
  </si>
  <si>
    <t>9780878405848</t>
  </si>
  <si>
    <t>30001003740158</t>
  </si>
  <si>
    <t>893134453</t>
  </si>
  <si>
    <t>W 58 R324a 1933</t>
  </si>
  <si>
    <t>0                      W  0058000R  324a        1933</t>
  </si>
  <si>
    <t>The ability to pay for medical care / by Louis S. Reed.</t>
  </si>
  <si>
    <t>Reed, Louis S., 1902-1975.</t>
  </si>
  <si>
    <t>Chicago, Ill. : The University of Chicago Press, c1933.</t>
  </si>
  <si>
    <t>1933</t>
  </si>
  <si>
    <t>Publications of the Committee on the costs of medical care: no. 25</t>
  </si>
  <si>
    <t>2003-11-10</t>
  </si>
  <si>
    <t>2712001:eng</t>
  </si>
  <si>
    <t>1924618</t>
  </si>
  <si>
    <t>991001541529702656</t>
  </si>
  <si>
    <t>2263903330002656</t>
  </si>
  <si>
    <t>30001000635567</t>
  </si>
  <si>
    <t>893451326</t>
  </si>
  <si>
    <t>W 61 B4995s 1982a</t>
  </si>
  <si>
    <t>0                      W  0061000B  4995s       1982a</t>
  </si>
  <si>
    <t>Health care : its psychosocial dimensions / Jurrit Bergsma, David C. Thomasma.</t>
  </si>
  <si>
    <t>Bergsma, Jurrit, 1934-</t>
  </si>
  <si>
    <t>Pittsburgh, PA. : Duguesne University Press ; Atlantic Highlands, N.J. : Distributed by Humanities Press, c1982.</t>
  </si>
  <si>
    <t>29229461:eng</t>
  </si>
  <si>
    <t>7597832</t>
  </si>
  <si>
    <t>991001541489702656</t>
  </si>
  <si>
    <t>2262356100002656</t>
  </si>
  <si>
    <t>9780391016309</t>
  </si>
  <si>
    <t>30001000635575</t>
  </si>
  <si>
    <t>893546800</t>
  </si>
  <si>
    <t>W 61 C344n 1991</t>
  </si>
  <si>
    <t>0                      W  0061000C  344n        1991</t>
  </si>
  <si>
    <t>The nature of suffering : and the goals of medicine / Eric J. Cassell.</t>
  </si>
  <si>
    <t>Cassell, Eric J., 1928-</t>
  </si>
  <si>
    <t>New York : Oxford University Press, c1991.</t>
  </si>
  <si>
    <t>2006-11-16</t>
  </si>
  <si>
    <t>1992-02-05</t>
  </si>
  <si>
    <t>1060647:eng</t>
  </si>
  <si>
    <t>21901325</t>
  </si>
  <si>
    <t>991001031949702656</t>
  </si>
  <si>
    <t>2258939260002656</t>
  </si>
  <si>
    <t>9780195052220</t>
  </si>
  <si>
    <t>30001002244012</t>
  </si>
  <si>
    <t>893651838</t>
  </si>
  <si>
    <t>W61 C344n 2004</t>
  </si>
  <si>
    <t>0                      W  0061000C  344n        2004</t>
  </si>
  <si>
    <t>The nature of suffering and the goals of medicine / Eric J. Cassell.</t>
  </si>
  <si>
    <t>New York : Oxford University Press, 2004.</t>
  </si>
  <si>
    <t>2009-08-06</t>
  </si>
  <si>
    <t>2004-11-01</t>
  </si>
  <si>
    <t>51278448</t>
  </si>
  <si>
    <t>991000404339702656</t>
  </si>
  <si>
    <t>2254761050002656</t>
  </si>
  <si>
    <t>9780195156164</t>
  </si>
  <si>
    <t>30001004924165</t>
  </si>
  <si>
    <t>893728345</t>
  </si>
  <si>
    <t>W 61 C676 1986</t>
  </si>
  <si>
    <t>0                      W  0061000C  676         1986</t>
  </si>
  <si>
    <t>Cognitive science in medicine : biomedical modeling / David A. Evans, Vimla L. Patel, editors.</t>
  </si>
  <si>
    <t>Cambridge, Mass. : MIT Press, c1989.</t>
  </si>
  <si>
    <t>836735484:eng</t>
  </si>
  <si>
    <t>17107015</t>
  </si>
  <si>
    <t>991001370509702656</t>
  </si>
  <si>
    <t>2255403160002656</t>
  </si>
  <si>
    <t>9780262050371</t>
  </si>
  <si>
    <t>30001001797713</t>
  </si>
  <si>
    <t>893161920</t>
  </si>
  <si>
    <t>W 61 C744 1981</t>
  </si>
  <si>
    <t>0                      W  0061000C  744         1981</t>
  </si>
  <si>
    <t>Concepts of health and disease : interdisciplinary perspectives / [edited by] Arthur L. Caplan, H. Tristram Engelhardt, Jr., James J. McCartney.</t>
  </si>
  <si>
    <t>Reading, Mass. : Addison-Wesley Pub. Co., Advanced Book Program, c1981.</t>
  </si>
  <si>
    <t>1998-09-12</t>
  </si>
  <si>
    <t>889938515:eng</t>
  </si>
  <si>
    <t>7284046</t>
  </si>
  <si>
    <t>991001541569702656</t>
  </si>
  <si>
    <t>2254751260002656</t>
  </si>
  <si>
    <t>9780201009736</t>
  </si>
  <si>
    <t>30001000635591</t>
  </si>
  <si>
    <t>893732152</t>
  </si>
  <si>
    <t>W 61 F648h 1980</t>
  </si>
  <si>
    <t>0                      W  0061000F  648h        1980</t>
  </si>
  <si>
    <t>Holistic health : the art and science of care / Patricia Anne Randolph Flynn.</t>
  </si>
  <si>
    <t>Flynn, Patricia Anne Randolph.</t>
  </si>
  <si>
    <t>Bowie, Md. : Brady, c1980.</t>
  </si>
  <si>
    <t>2003-11-01</t>
  </si>
  <si>
    <t>363434404:eng</t>
  </si>
  <si>
    <t>5894380</t>
  </si>
  <si>
    <t>991001541629702656</t>
  </si>
  <si>
    <t>2267578660002656</t>
  </si>
  <si>
    <t>9780876196267</t>
  </si>
  <si>
    <t>30001000635625</t>
  </si>
  <si>
    <t>893834721</t>
  </si>
  <si>
    <t>W 61 G629L 1994</t>
  </si>
  <si>
    <t>0                      W  0061000G  629L        1994</t>
  </si>
  <si>
    <t>The limits of medicine : how science shapes our hope for the cure / Edward S. Golub.</t>
  </si>
  <si>
    <t>Golub, Edward S., 1934-2018.</t>
  </si>
  <si>
    <t>New York : Times Books, c1994.</t>
  </si>
  <si>
    <t>2000-07-21</t>
  </si>
  <si>
    <t>1995-01-20</t>
  </si>
  <si>
    <t>837037192:eng</t>
  </si>
  <si>
    <t>30030323</t>
  </si>
  <si>
    <t>991000685809702656</t>
  </si>
  <si>
    <t>2269050410002656</t>
  </si>
  <si>
    <t>9780812921410</t>
  </si>
  <si>
    <t>30001002698910</t>
  </si>
  <si>
    <t>893642341</t>
  </si>
  <si>
    <t>W 61 G878p 1982</t>
  </si>
  <si>
    <t>0                      W  0061000G  878p        1982</t>
  </si>
  <si>
    <t>Planet medicine : from Stone Age shamanism to post-industrial healing / by Richard Grossinger.</t>
  </si>
  <si>
    <t>Grossinger, Richard, 1944-</t>
  </si>
  <si>
    <t>Boulder, Colo. : Shambhala ; [New York] : Distributed in the U.S. by Random House, c1982.</t>
  </si>
  <si>
    <t>Rev. ed., 1st Shambhala ed.</t>
  </si>
  <si>
    <t>464085:eng</t>
  </si>
  <si>
    <t>8494022</t>
  </si>
  <si>
    <t>991001541679702656</t>
  </si>
  <si>
    <t>2269513310002656</t>
  </si>
  <si>
    <t>9780394712383</t>
  </si>
  <si>
    <t>30001000635633</t>
  </si>
  <si>
    <t>893741238</t>
  </si>
  <si>
    <t>W61 H236 2001</t>
  </si>
  <si>
    <t>0                      W  0061000H  236         2001</t>
  </si>
  <si>
    <t>Handbook of phenomenology and medicine / edited by S. Kay Toombs.</t>
  </si>
  <si>
    <t>Dordrecht ; Boston : Kluwer Academic, c2001.</t>
  </si>
  <si>
    <t>Philosophy and medicine ; v. 68</t>
  </si>
  <si>
    <t>2007-02-16</t>
  </si>
  <si>
    <t>37750560:eng</t>
  </si>
  <si>
    <t>48390853</t>
  </si>
  <si>
    <t>991000343199702656</t>
  </si>
  <si>
    <t>2258680800002656</t>
  </si>
  <si>
    <t>9781402001512</t>
  </si>
  <si>
    <t>30001004503902</t>
  </si>
  <si>
    <t>893370399</t>
  </si>
  <si>
    <t>W 61 H434 1980</t>
  </si>
  <si>
    <t>0                      W  0061000H  434         1980</t>
  </si>
  <si>
    <t>The healing continuum : journeys in the philosophy of holistic health / edited by Patricia Anne Randolph Flynn.</t>
  </si>
  <si>
    <t>1995-11-24</t>
  </si>
  <si>
    <t>180819743:eng</t>
  </si>
  <si>
    <t>6277623</t>
  </si>
  <si>
    <t>991001541719702656</t>
  </si>
  <si>
    <t>2261220530002656</t>
  </si>
  <si>
    <t>9780876196700</t>
  </si>
  <si>
    <t>30001000635641</t>
  </si>
  <si>
    <t>893149323</t>
  </si>
  <si>
    <t>W 61 H7322 1989</t>
  </si>
  <si>
    <t>0                      W  0061000H  7322        1989</t>
  </si>
  <si>
    <t>Holistic health promotion : a guide for practice / Barbara Montgomery Dossey ... [et al.].</t>
  </si>
  <si>
    <t>2008-10-14</t>
  </si>
  <si>
    <t>21815799:eng</t>
  </si>
  <si>
    <t>19590884</t>
  </si>
  <si>
    <t>991001315429702656</t>
  </si>
  <si>
    <t>2267255290002656</t>
  </si>
  <si>
    <t>9780834200692</t>
  </si>
  <si>
    <t>30001001752643</t>
  </si>
  <si>
    <t>893377201</t>
  </si>
  <si>
    <t>W61 M483 1999</t>
  </si>
  <si>
    <t>0                      W  0061000M  483         1999</t>
  </si>
  <si>
    <t>Meaning and medicine : a reader in the philosophy of health care / edited by James Lindemann Nelson and Hilde Lindemann Nelson.</t>
  </si>
  <si>
    <t>New York : Routledge, 1999.</t>
  </si>
  <si>
    <t>Reflective bioethics</t>
  </si>
  <si>
    <t>2006-09-23</t>
  </si>
  <si>
    <t>2005-08-17</t>
  </si>
  <si>
    <t>836980064:eng</t>
  </si>
  <si>
    <t>39671593</t>
  </si>
  <si>
    <t>991001734799702656</t>
  </si>
  <si>
    <t>2265165380002656</t>
  </si>
  <si>
    <t>9780415919159</t>
  </si>
  <si>
    <t>30001005320744</t>
  </si>
  <si>
    <t>893834790</t>
  </si>
  <si>
    <t>W 61 M489 1981</t>
  </si>
  <si>
    <t>0                      W  0061000M  489         1981</t>
  </si>
  <si>
    <t>Medical choices, medical chances : how patients, families, and physicians can cope with uncertainty / Harold Bursztajn ... [et al.].</t>
  </si>
  <si>
    <t>New York : Delacorte Press/Seymour Lawrence, c1981.</t>
  </si>
  <si>
    <t>1990-10-05</t>
  </si>
  <si>
    <t>906512758:eng</t>
  </si>
  <si>
    <t>6788819</t>
  </si>
  <si>
    <t>991001541879702656</t>
  </si>
  <si>
    <t>2263513570002656</t>
  </si>
  <si>
    <t>9780440057505</t>
  </si>
  <si>
    <t>30001000635682</t>
  </si>
  <si>
    <t>893552619</t>
  </si>
  <si>
    <t>W 61 N934 2007</t>
  </si>
  <si>
    <t>0                      W  0061000N  934         2007</t>
  </si>
  <si>
    <t>The sanctity of human life / David Novak.</t>
  </si>
  <si>
    <t>Novak, David, 1941-</t>
  </si>
  <si>
    <t>Washington, D.C. : Georgetown University Press, c2007.</t>
  </si>
  <si>
    <t>2009-05-29</t>
  </si>
  <si>
    <t>140747644:eng</t>
  </si>
  <si>
    <t>84900487</t>
  </si>
  <si>
    <t>991001466349702656</t>
  </si>
  <si>
    <t>2259664670002656</t>
  </si>
  <si>
    <t>9781589011762</t>
  </si>
  <si>
    <t>30001004917060</t>
  </si>
  <si>
    <t>893134599</t>
  </si>
  <si>
    <t>W61 N994m 2004</t>
  </si>
  <si>
    <t>0                      W  0061000N  994m        2004</t>
  </si>
  <si>
    <t>Medicine &amp; compassion : a Tibetan Lama's guidance for caregivers / Chokyi Nyima Rinpoche ; with David R. Shlim ; translated by Erik Pema Kunsang ; foreword by Harvey Fineberg and Donald Fineberg.</t>
  </si>
  <si>
    <t>Chökyi Nyima, Rinpoche, 1951-</t>
  </si>
  <si>
    <t>Boston : Wisdom Publications, c2004.</t>
  </si>
  <si>
    <t>2007-04-23</t>
  </si>
  <si>
    <t>891232300:eng</t>
  </si>
  <si>
    <t>55644927</t>
  </si>
  <si>
    <t>991000596139702656</t>
  </si>
  <si>
    <t>2259086480002656</t>
  </si>
  <si>
    <t>9780861714780</t>
  </si>
  <si>
    <t>30001005212610</t>
  </si>
  <si>
    <t>893641852</t>
  </si>
  <si>
    <t>W 61 PH609 1976 v.5</t>
  </si>
  <si>
    <t>0                      W  0061000PH 609         1976                                        v.5</t>
  </si>
  <si>
    <t>Mental illness : law and public policy / edited by Baruch A. Brody and H. Tristram Engelhardt, Jr.</t>
  </si>
  <si>
    <t>V.5</t>
  </si>
  <si>
    <t>Dordrecht ; Boston : Reidel; Hingham, Mass. : sold and distributed by Kluwer Boston, c1980.</t>
  </si>
  <si>
    <t>Philosophy and medicine ; v. 5</t>
  </si>
  <si>
    <t>1993-09-01</t>
  </si>
  <si>
    <t>891638610:eng</t>
  </si>
  <si>
    <t>6085871</t>
  </si>
  <si>
    <t>991001541919702656</t>
  </si>
  <si>
    <t>2259343870002656</t>
  </si>
  <si>
    <t>9789027710574</t>
  </si>
  <si>
    <t>30001000635724</t>
  </si>
  <si>
    <t>893558079</t>
  </si>
  <si>
    <t>W 61 PH609 1981 v.15</t>
  </si>
  <si>
    <t>0                      W  0061000PH 609         1981                                        v.15</t>
  </si>
  <si>
    <t>Ethics and mental retardation / edited by Loretta Kopelman and John C. Moskop.</t>
  </si>
  <si>
    <t>V.15</t>
  </si>
  <si>
    <t>Dordrecht ; Boston : D. Reidel Pub. Co. ; Hingham, MA, U.S.A. : Sold and distributed in the U.S.A. and Canada by Kluwer Academic Publishers, c1984.</t>
  </si>
  <si>
    <t>Philosophy and medicine ; v. 15</t>
  </si>
  <si>
    <t>2001-01-03</t>
  </si>
  <si>
    <t>1988-01-20</t>
  </si>
  <si>
    <t>353275747:eng</t>
  </si>
  <si>
    <t>10185543</t>
  </si>
  <si>
    <t>991001542079702656</t>
  </si>
  <si>
    <t>2263254900002656</t>
  </si>
  <si>
    <t>9789027716309</t>
  </si>
  <si>
    <t>30001000635765</t>
  </si>
  <si>
    <t>893279200</t>
  </si>
  <si>
    <t>W 61 PH609 1984 v.31</t>
  </si>
  <si>
    <t>0                      W  0061000PH 609         1984                                        v.31</t>
  </si>
  <si>
    <t>Death : beyond whole-brain criteria / edited by Richard M. Zaner.</t>
  </si>
  <si>
    <t>V.31</t>
  </si>
  <si>
    <t>Dordrecht ; Boston : D. Reider Pub. Co. ; Norwell, MA, U.S.A. : Sold and distributed in the U.S.A. and Canada by Kluwer Academic Publishers, c1988.</t>
  </si>
  <si>
    <t>Philosophy and medicine ; v. 31</t>
  </si>
  <si>
    <t>2008-02-12</t>
  </si>
  <si>
    <t>1988-05-12</t>
  </si>
  <si>
    <t>890126720:eng</t>
  </si>
  <si>
    <t>16869617</t>
  </si>
  <si>
    <t>991001191209702656</t>
  </si>
  <si>
    <t>22101747250002656</t>
  </si>
  <si>
    <t>9781556080531</t>
  </si>
  <si>
    <t>30001000979387</t>
  </si>
  <si>
    <t>893831988</t>
  </si>
  <si>
    <t>W 61 PH609 1985 v.20</t>
  </si>
  <si>
    <t>0                      W  0061000PH 609         1985                                        v.20</t>
  </si>
  <si>
    <t>Theology and bioethics : exploring the foundations and frontiers / edited by Earl E. Shelp.</t>
  </si>
  <si>
    <t>V.20</t>
  </si>
  <si>
    <t>Dordrecht ; Boston : D. Reidel ; Hingham, MA, U.S.A. : Sold and distributed in the U.S.A. and Canada by Kluwer Academic, c1985.</t>
  </si>
  <si>
    <t>Philosophy and medicine ; v. 20</t>
  </si>
  <si>
    <t>836715383:eng</t>
  </si>
  <si>
    <t>12107447</t>
  </si>
  <si>
    <t>991001542169702656</t>
  </si>
  <si>
    <t>2265089300002656</t>
  </si>
  <si>
    <t>9789027718570</t>
  </si>
  <si>
    <t>30001000635773</t>
  </si>
  <si>
    <t>893162140</t>
  </si>
  <si>
    <t>W 61 PH609 1985 v.30</t>
  </si>
  <si>
    <t>0                      W  0061000PH 609         1985                                        v.30</t>
  </si>
  <si>
    <t>Health care systems : moral conflicts in European and American public policy / edited by Hans-Martin Sass and Robert U. Massey.</t>
  </si>
  <si>
    <t>V.30</t>
  </si>
  <si>
    <t>Philosophy and medicine ; v. 30</t>
  </si>
  <si>
    <t>1989-02-07</t>
  </si>
  <si>
    <t>890352563:eng</t>
  </si>
  <si>
    <t>17354636</t>
  </si>
  <si>
    <t>991001109689702656</t>
  </si>
  <si>
    <t>2258429650002656</t>
  </si>
  <si>
    <t>9781556080456</t>
  </si>
  <si>
    <t>30001001611799</t>
  </si>
  <si>
    <t>893632727</t>
  </si>
  <si>
    <t>W 61 PH609 1986 v.21</t>
  </si>
  <si>
    <t>0                      W  0061000PH 609         1986                                        v.21</t>
  </si>
  <si>
    <t>The Price of health / edited by George J. Agich and Charles E. Begley.</t>
  </si>
  <si>
    <t>V.21</t>
  </si>
  <si>
    <t>Dordrecht ; Boston : D. Reidel Pub. Co. ; Norwell, MA. : Sold and distributed in the U.S.A. and Canada by Kluwer Academic Publishers, c1986.</t>
  </si>
  <si>
    <t>Philosophy and medicine ; v. 21</t>
  </si>
  <si>
    <t>1998-12-11</t>
  </si>
  <si>
    <t>351499007:eng</t>
  </si>
  <si>
    <t>14214322</t>
  </si>
  <si>
    <t>991001109369702656</t>
  </si>
  <si>
    <t>2267105930002656</t>
  </si>
  <si>
    <t>9789027722850</t>
  </si>
  <si>
    <t>30001001611757</t>
  </si>
  <si>
    <t>893541028</t>
  </si>
  <si>
    <t>W 61 PH609 1986 v.29</t>
  </si>
  <si>
    <t>0                      W  0061000PH 609         1986                                        v.29</t>
  </si>
  <si>
    <t>The Physician as captain of the ship : a critical reappraisal / edited by Nancy M.P. King, Larry R. Churchill, and Alan W. Cross.</t>
  </si>
  <si>
    <t>V.29</t>
  </si>
  <si>
    <t>Dordrecht ; Boston : D. Reidel ; Norwell, MA : Sold and distributed in the U.S.A. and Canada by Kluwer Academic Publishers, c1988.</t>
  </si>
  <si>
    <t>Philosophy and medicine ; v. 29</t>
  </si>
  <si>
    <t>1989-06-28</t>
  </si>
  <si>
    <t>1989-06-05</t>
  </si>
  <si>
    <t>793371822:eng</t>
  </si>
  <si>
    <t>17209989</t>
  </si>
  <si>
    <t>991001249929702656</t>
  </si>
  <si>
    <t>2260010130002656</t>
  </si>
  <si>
    <t>9781556080449</t>
  </si>
  <si>
    <t>30001001678657</t>
  </si>
  <si>
    <t>893541159</t>
  </si>
  <si>
    <t>W 61 PH609 1988 v.32</t>
  </si>
  <si>
    <t>0                      W  0061000PH 609         1988                                        v.32</t>
  </si>
  <si>
    <t>Moral theory and moral judgments in medical ethics / edited by Baruch A. Brody.</t>
  </si>
  <si>
    <t>V.32</t>
  </si>
  <si>
    <t>Dordrecht ; Boston : Kluwer Academic, c1988.</t>
  </si>
  <si>
    <t>Philosophy and medicine ; v. 32</t>
  </si>
  <si>
    <t>1993-04-15</t>
  </si>
  <si>
    <t>1989-07-07</t>
  </si>
  <si>
    <t>15817589:eng</t>
  </si>
  <si>
    <t>17676564</t>
  </si>
  <si>
    <t>991001311019702656</t>
  </si>
  <si>
    <t>2259333740002656</t>
  </si>
  <si>
    <t>9781556080609</t>
  </si>
  <si>
    <t>30001001750860</t>
  </si>
  <si>
    <t>893278986</t>
  </si>
  <si>
    <t>W 61 S559g 1995</t>
  </si>
  <si>
    <t>0                      W  0061000S  559g        1995</t>
  </si>
  <si>
    <t>Government and health services : government's role in the development of U.S. health services, 1930-1980 / by William Shonick.</t>
  </si>
  <si>
    <t>Shonick, William.</t>
  </si>
  <si>
    <t>1995-05-08</t>
  </si>
  <si>
    <t>1995-01-27</t>
  </si>
  <si>
    <t>836867278:eng</t>
  </si>
  <si>
    <t>30354153</t>
  </si>
  <si>
    <t>991000685989702656</t>
  </si>
  <si>
    <t>2257454190002656</t>
  </si>
  <si>
    <t>9780195069686</t>
  </si>
  <si>
    <t>30001002698985</t>
  </si>
  <si>
    <t>893545497</t>
  </si>
  <si>
    <t>W 61 S814f 1988</t>
  </si>
  <si>
    <t>0                      W  0061000S  814f        1988</t>
  </si>
  <si>
    <t>Faces of medicine : a philosophical study / by Wim J. van der Steen and P.J. Thung.</t>
  </si>
  <si>
    <t>Steen, Wim J. van der, 1940-</t>
  </si>
  <si>
    <t>1989-01-26</t>
  </si>
  <si>
    <t>15619433:eng</t>
  </si>
  <si>
    <t>17413704</t>
  </si>
  <si>
    <t>991001115129702656</t>
  </si>
  <si>
    <t>2261682030002656</t>
  </si>
  <si>
    <t>9789024736737</t>
  </si>
  <si>
    <t>30001001613100</t>
  </si>
  <si>
    <t>893831922</t>
  </si>
  <si>
    <t>W 61 S996k 2005</t>
  </si>
  <si>
    <t>0                      W  0061000S  996k        2005</t>
  </si>
  <si>
    <t>Catharsis : on the art of medicine / Andrzej Szczeklik ; translated by Antonia Lloyd-Jones ; with a foreword by Czesław Miłosz.</t>
  </si>
  <si>
    <t>Szczeklik, Andrzej.</t>
  </si>
  <si>
    <t>Chicago : University of Chicago Press, 2005.</t>
  </si>
  <si>
    <t>2008-11-18</t>
  </si>
  <si>
    <t>2008-09-26</t>
  </si>
  <si>
    <t>891956725:eng</t>
  </si>
  <si>
    <t>58604684</t>
  </si>
  <si>
    <t>991001319269702656</t>
  </si>
  <si>
    <t>2259573900002656</t>
  </si>
  <si>
    <t>9780226788692</t>
  </si>
  <si>
    <t>30001005371929</t>
  </si>
  <si>
    <t>893541251</t>
  </si>
  <si>
    <t>W 61 W949m 2007</t>
  </si>
  <si>
    <t>0                      W  0061000W  949m        2007</t>
  </si>
  <si>
    <t>Means, ends and medical care / H.G. Wright.</t>
  </si>
  <si>
    <t>Wright, H. G.</t>
  </si>
  <si>
    <t>Dordrecht : Springer, c2007.</t>
  </si>
  <si>
    <t>Philosophy and medicine ; v. 92</t>
  </si>
  <si>
    <t>2008-08-26</t>
  </si>
  <si>
    <t>2008-08-20</t>
  </si>
  <si>
    <t>198991356:eng</t>
  </si>
  <si>
    <t>74968036</t>
  </si>
  <si>
    <t>991000910429702656</t>
  </si>
  <si>
    <t>2269365330002656</t>
  </si>
  <si>
    <t>9781402052910</t>
  </si>
  <si>
    <t>30001005302775</t>
  </si>
  <si>
    <t>893161463</t>
  </si>
  <si>
    <t>W 62 A456c 1986</t>
  </si>
  <si>
    <t>0                      W  0062000A  456c        1986</t>
  </si>
  <si>
    <t>A clinician's companion : a study guide for effective and humane patient care / Joseph S. Alpert, Stephen M. Wittenberg.</t>
  </si>
  <si>
    <t>Alpert, Joseph S.</t>
  </si>
  <si>
    <t>Boston : Little, Brown, c1986.</t>
  </si>
  <si>
    <t>372480773:eng</t>
  </si>
  <si>
    <t>14264934</t>
  </si>
  <si>
    <t>991001529259702656</t>
  </si>
  <si>
    <t>2263515560002656</t>
  </si>
  <si>
    <t>9780316035118</t>
  </si>
  <si>
    <t>30001000621013</t>
  </si>
  <si>
    <t>893465634</t>
  </si>
  <si>
    <t>W 62 B882d 1967</t>
  </si>
  <si>
    <t>0                      W  0062000B  882d        1967</t>
  </si>
  <si>
    <t>The doctor-patient relationship / by Kevin Browne and Paul Freeling ; foreword by William A. R. Thomson.</t>
  </si>
  <si>
    <t>Browne, Kevin.</t>
  </si>
  <si>
    <t>Edinburgh : E. &amp; S. Livingstone, 1967.</t>
  </si>
  <si>
    <t>1999-03-13</t>
  </si>
  <si>
    <t>1988-02-04</t>
  </si>
  <si>
    <t>2462271:eng</t>
  </si>
  <si>
    <t>6240744</t>
  </si>
  <si>
    <t>991001212329702656</t>
  </si>
  <si>
    <t>2267145330002656</t>
  </si>
  <si>
    <t>30001000990152</t>
  </si>
  <si>
    <t>893284566</t>
  </si>
  <si>
    <t>W 62  B927q 1998</t>
  </si>
  <si>
    <t>0                      W  0062000B  927q        1998</t>
  </si>
  <si>
    <t>The quest for mercy : the forgotten ingredient in health care reform / by Roger J. Bulger.</t>
  </si>
  <si>
    <t>Bulger, Roger J., 1933-</t>
  </si>
  <si>
    <t>Charlottesville, VA : Carden Jennings, c1998.</t>
  </si>
  <si>
    <t>476235529:eng</t>
  </si>
  <si>
    <t>41123892</t>
  </si>
  <si>
    <t>991000580909702656</t>
  </si>
  <si>
    <t>2256907270002656</t>
  </si>
  <si>
    <t>9781891524011</t>
  </si>
  <si>
    <t>30001005209103</t>
  </si>
  <si>
    <t>893539310</t>
  </si>
  <si>
    <t>W 62 C344h 1985</t>
  </si>
  <si>
    <t>0                      W  0062000C  344h        1985</t>
  </si>
  <si>
    <t>The healer's art / Eric J. Cassell.</t>
  </si>
  <si>
    <t>Cambridge, Mass. : MIT Press, c1985.</t>
  </si>
  <si>
    <t>1st MIT Press ed.</t>
  </si>
  <si>
    <t>2010-08-28</t>
  </si>
  <si>
    <t>994583:eng</t>
  </si>
  <si>
    <t>11399715</t>
  </si>
  <si>
    <t>991001542599702656</t>
  </si>
  <si>
    <t>2271564690002656</t>
  </si>
  <si>
    <t>9780262530620</t>
  </si>
  <si>
    <t>30001000635955</t>
  </si>
  <si>
    <t>893455918</t>
  </si>
  <si>
    <t>W 62 C555e 1986</t>
  </si>
  <si>
    <t>0                      W  0062000C  555e        1986</t>
  </si>
  <si>
    <t>Ethical issues in family medicine / Ronald J. Christie, C. Barry Hoffmaster.</t>
  </si>
  <si>
    <t>Christie, Ronald J.</t>
  </si>
  <si>
    <t>1993-04-26</t>
  </si>
  <si>
    <t>4508469:eng</t>
  </si>
  <si>
    <t>11971183</t>
  </si>
  <si>
    <t>991001542639702656</t>
  </si>
  <si>
    <t>2264502050002656</t>
  </si>
  <si>
    <t>9780195036374</t>
  </si>
  <si>
    <t>30001000635963</t>
  </si>
  <si>
    <t>893649311</t>
  </si>
  <si>
    <t>W 62 C692m 1966</t>
  </si>
  <si>
    <t>0                      W  0062000C  692m        1966</t>
  </si>
  <si>
    <t>Medical innovation : a diffusion study / by James S. Coleman, Elihu Katz and Herbert Menzel. Foreword by Joseph A. Precker.</t>
  </si>
  <si>
    <t>Coleman, James S., 1926-1995.</t>
  </si>
  <si>
    <t>Indianapolis : Bobbs-Merrill Co., c1966.</t>
  </si>
  <si>
    <t>1997-03-03</t>
  </si>
  <si>
    <t>198731177:eng</t>
  </si>
  <si>
    <t>565386</t>
  </si>
  <si>
    <t>991001542679702656</t>
  </si>
  <si>
    <t>2258941730002656</t>
  </si>
  <si>
    <t>30001000635971</t>
  </si>
  <si>
    <t>893643681</t>
  </si>
  <si>
    <t>W 62 D261p 1994</t>
  </si>
  <si>
    <t>0                      W  0062000D  261p        1994</t>
  </si>
  <si>
    <t>Patient practitioner interaction : an experiential manual for developing the art of health care / Carol M. Davis.</t>
  </si>
  <si>
    <t>Davis, Carol M.</t>
  </si>
  <si>
    <t>Thorofare, NJ : SLACK Inc., c1994.</t>
  </si>
  <si>
    <t>2009-11-05</t>
  </si>
  <si>
    <t>1994-08-04</t>
  </si>
  <si>
    <t>4916868210:eng</t>
  </si>
  <si>
    <t>29478003</t>
  </si>
  <si>
    <t>991001480319702656</t>
  </si>
  <si>
    <t>2269039960002656</t>
  </si>
  <si>
    <t>9781556422324</t>
  </si>
  <si>
    <t>30001002568881</t>
  </si>
  <si>
    <t>893168214</t>
  </si>
  <si>
    <t>W 62 E55 1993</t>
  </si>
  <si>
    <t>0                      W  0062000E  55          1993</t>
  </si>
  <si>
    <t>Empathy and the practice of medicine : beyond pills and the scalpel / edited by Howard M. Spiro ... [et al.].</t>
  </si>
  <si>
    <t>New Haven : Yale University Press, c1993.</t>
  </si>
  <si>
    <t>2010-11-17</t>
  </si>
  <si>
    <t>800090557:eng</t>
  </si>
  <si>
    <t>28377147</t>
  </si>
  <si>
    <t>991000322339702656</t>
  </si>
  <si>
    <t>2255918380002656</t>
  </si>
  <si>
    <t>9780300058406</t>
  </si>
  <si>
    <t>30001004444198</t>
  </si>
  <si>
    <t>893811383</t>
  </si>
  <si>
    <t>W 62 E558 1987</t>
  </si>
  <si>
    <t>0                      W  0062000E  558         1987</t>
  </si>
  <si>
    <t>Encounters between patients and doctors : an anthology / edited by John D. Stoeckle.</t>
  </si>
  <si>
    <t>Cambridge, Mass. : MIT Press, c1987.</t>
  </si>
  <si>
    <t>MIT Press series on the humanistic and social dimensions of medicine ; 5</t>
  </si>
  <si>
    <t>2003-09-22</t>
  </si>
  <si>
    <t>836656230:eng</t>
  </si>
  <si>
    <t>13793062</t>
  </si>
  <si>
    <t>991000762169702656</t>
  </si>
  <si>
    <t>2265188090002656</t>
  </si>
  <si>
    <t>9780262192354</t>
  </si>
  <si>
    <t>30001000056376</t>
  </si>
  <si>
    <t>893373654</t>
  </si>
  <si>
    <t>W 62 F536i 1988</t>
  </si>
  <si>
    <t>0                      W  0062000F  536i        1988</t>
  </si>
  <si>
    <t>In the patient's best interest : women and the politics of medical decisions / Sue Fisher.</t>
  </si>
  <si>
    <t>Fisher, Sue, 1936-</t>
  </si>
  <si>
    <t>New Brunswick, N.J. : Rutgers University Press, 1988.</t>
  </si>
  <si>
    <t>2000-03-31</t>
  </si>
  <si>
    <t>1988-07-20</t>
  </si>
  <si>
    <t>793893630:eng</t>
  </si>
  <si>
    <t>21696311</t>
  </si>
  <si>
    <t>991001418869702656</t>
  </si>
  <si>
    <t>2271278060002656</t>
  </si>
  <si>
    <t>9780813513058</t>
  </si>
  <si>
    <t>30001001181629</t>
  </si>
  <si>
    <t>893161973</t>
  </si>
  <si>
    <t>W 62 G362m 1983</t>
  </si>
  <si>
    <t>0                      W  0062000G  362m        1983</t>
  </si>
  <si>
    <t>Married to their careers : career and family dilemmas in doctors' lives / Lane A. Gerber.</t>
  </si>
  <si>
    <t>Gerber, Lane A.</t>
  </si>
  <si>
    <t>New York : Tavistock, c1983.</t>
  </si>
  <si>
    <t>956877478:eng</t>
  </si>
  <si>
    <t>8765102</t>
  </si>
  <si>
    <t>991001542759702656</t>
  </si>
  <si>
    <t>2265307290002656</t>
  </si>
  <si>
    <t>9780422782401</t>
  </si>
  <si>
    <t>30001000635997</t>
  </si>
  <si>
    <t>893736702</t>
  </si>
  <si>
    <t>W 62 G378i 1980</t>
  </si>
  <si>
    <t>0                      W  0062000G  378i        1980</t>
  </si>
  <si>
    <t>Interpersonal skills for health professionals / Brian Gerrard, Wendy Boniface, Barbara Love.</t>
  </si>
  <si>
    <t>Gerrard, Brian A.</t>
  </si>
  <si>
    <t>Reston, Va. : Reston Pub. Co., c1980.</t>
  </si>
  <si>
    <t>497552:eng</t>
  </si>
  <si>
    <t>6195862</t>
  </si>
  <si>
    <t>991001542799702656</t>
  </si>
  <si>
    <t>2257044330002656</t>
  </si>
  <si>
    <t>9780835931380</t>
  </si>
  <si>
    <t>30001000636003</t>
  </si>
  <si>
    <t>893374708</t>
  </si>
  <si>
    <t>W62 H195f 2001</t>
  </si>
  <si>
    <t>0                      W  0062000H  195f        2001</t>
  </si>
  <si>
    <t>From detached concern to empathy : humanizing medical practice / Jodi Halpern.</t>
  </si>
  <si>
    <t>Halpern, Jodi.</t>
  </si>
  <si>
    <t>Oxford ; New York : Oxford University Press, c2001.</t>
  </si>
  <si>
    <t>2004-10-08</t>
  </si>
  <si>
    <t>797257279:eng</t>
  </si>
  <si>
    <t>44545309</t>
  </si>
  <si>
    <t>991000400289702656</t>
  </si>
  <si>
    <t>2258555630002656</t>
  </si>
  <si>
    <t>9780195111194</t>
  </si>
  <si>
    <t>30001004923951</t>
  </si>
  <si>
    <t>893817073</t>
  </si>
  <si>
    <t>W 62 H776m 1998</t>
  </si>
  <si>
    <t>0                      W  0062000H  776m        1998</t>
  </si>
  <si>
    <t>Managing the difficult patient / Robert E. Hooberman, Barbara M. Hooberman.</t>
  </si>
  <si>
    <t>Hooberman, Robert E.</t>
  </si>
  <si>
    <t>Madison, Conn. : Psychosocial Press, c1998.</t>
  </si>
  <si>
    <t>624020:eng</t>
  </si>
  <si>
    <t>37001359</t>
  </si>
  <si>
    <t>991000692329702656</t>
  </si>
  <si>
    <t>2265078330002656</t>
  </si>
  <si>
    <t>9781887841085</t>
  </si>
  <si>
    <t>30001004036879</t>
  </si>
  <si>
    <t>893556862</t>
  </si>
  <si>
    <t>W 62 J25u 2007</t>
  </si>
  <si>
    <t>0                      W  0062000J  25u         2007</t>
  </si>
  <si>
    <t>Understanding physician-pharmaceutical industry interactions / Shaili Jain.</t>
  </si>
  <si>
    <t>Jain, Shaili, 1974-</t>
  </si>
  <si>
    <t>Cambridge [England] ; New York : Cambridge University Press, 2007.</t>
  </si>
  <si>
    <t>2007-11-16</t>
  </si>
  <si>
    <t>2007-11-15</t>
  </si>
  <si>
    <t>61979692:eng</t>
  </si>
  <si>
    <t>76064682</t>
  </si>
  <si>
    <t>991000661579702656</t>
  </si>
  <si>
    <t>2271858490002656</t>
  </si>
  <si>
    <t>9780521688666</t>
  </si>
  <si>
    <t>30001005272671</t>
  </si>
  <si>
    <t>893286817</t>
  </si>
  <si>
    <t>W 62 J82d 1985</t>
  </si>
  <si>
    <t>0                      W  0062000J  82d         1985</t>
  </si>
  <si>
    <t>Decision making for incompetent persons : the law and morality of who shall decide / by Shannon M. Jordan.</t>
  </si>
  <si>
    <t>Jordan, Shannon M.</t>
  </si>
  <si>
    <t>Springfield, Ill. : Thomas, c1985.</t>
  </si>
  <si>
    <t>1995-05-22</t>
  </si>
  <si>
    <t>1988-09-27</t>
  </si>
  <si>
    <t>429868436:eng</t>
  </si>
  <si>
    <t>12081739</t>
  </si>
  <si>
    <t>991001424359702656</t>
  </si>
  <si>
    <t>2264006300002656</t>
  </si>
  <si>
    <t>9780398051501</t>
  </si>
  <si>
    <t>30001001183708</t>
  </si>
  <si>
    <t>893736566</t>
  </si>
  <si>
    <t>W 62 K19s 1984</t>
  </si>
  <si>
    <t>0                      W  0062000K  19s         1984</t>
  </si>
  <si>
    <t>The silent world of doctor and patient / Jay Katz.</t>
  </si>
  <si>
    <t>Katz, Jay, 1922-2008.</t>
  </si>
  <si>
    <t>New York, N.Y. : Free Press, c1984.</t>
  </si>
  <si>
    <t>158995699:eng</t>
  </si>
  <si>
    <t>10230081</t>
  </si>
  <si>
    <t>991001542879702656</t>
  </si>
  <si>
    <t>2270712670002656</t>
  </si>
  <si>
    <t>30001000636029</t>
  </si>
  <si>
    <t>893826850</t>
  </si>
  <si>
    <t>W 62 K37p 1983</t>
  </si>
  <si>
    <t>0                      W  0062000K  37p         1983</t>
  </si>
  <si>
    <t>Psychology and medical care / G. Kent, M. Dalgleish.</t>
  </si>
  <si>
    <t>Kent, G. (Gerald)</t>
  </si>
  <si>
    <t>Wokingham, Berkshire, England : Van Nostrand Reinhold, c1983.</t>
  </si>
  <si>
    <t>7526114:eng</t>
  </si>
  <si>
    <t>8410246</t>
  </si>
  <si>
    <t>991001542919702656</t>
  </si>
  <si>
    <t>2271584130002656</t>
  </si>
  <si>
    <t>9780442305161</t>
  </si>
  <si>
    <t>30001000636037</t>
  </si>
  <si>
    <t>893741239</t>
  </si>
  <si>
    <t>W 62 K53i 1983</t>
  </si>
  <si>
    <t>0                      W  0062000K  53i         1983</t>
  </si>
  <si>
    <t>Irresistible communication : creative skills for the health professional / Mark King, Larry Novik, Charles Citrenbaum.</t>
  </si>
  <si>
    <t>King, Mark.</t>
  </si>
  <si>
    <t>1999-12-05</t>
  </si>
  <si>
    <t>448153:eng</t>
  </si>
  <si>
    <t>8765350</t>
  </si>
  <si>
    <t>991001542989702656</t>
  </si>
  <si>
    <t>2267782150002656</t>
  </si>
  <si>
    <t>9780721654294</t>
  </si>
  <si>
    <t>30001000636052</t>
  </si>
  <si>
    <t>893643682</t>
  </si>
  <si>
    <t>W 62 L929c 1990</t>
  </si>
  <si>
    <t>0                      W  0062000L  929c        1990</t>
  </si>
  <si>
    <t>Chronic illness : impact and interventions / Ilene Morof Lubkin.</t>
  </si>
  <si>
    <t>Lubkin, Ilene Morof, 1928-2005.</t>
  </si>
  <si>
    <t>Boston : Jones and Bartlett, c1990.</t>
  </si>
  <si>
    <t>1992-07-30</t>
  </si>
  <si>
    <t>1990-04-24</t>
  </si>
  <si>
    <t>1077109761:eng</t>
  </si>
  <si>
    <t>21118080</t>
  </si>
  <si>
    <t>991001355589702656</t>
  </si>
  <si>
    <t>2271018980002656</t>
  </si>
  <si>
    <t>9780867204308</t>
  </si>
  <si>
    <t>30001001795931</t>
  </si>
  <si>
    <t>893460494</t>
  </si>
  <si>
    <t>W62 M628d 2006</t>
  </si>
  <si>
    <t>0                      W  0062000M  628d        2006</t>
  </si>
  <si>
    <t>Doctors and paintings : insights and replenishment for health professionals / John Middleton, Erica Middleton ; forewords by Liam Donaldson and Peter Wheeler.</t>
  </si>
  <si>
    <t>Middleton, John, 1949-</t>
  </si>
  <si>
    <t>Oxford ; Seattle : Radcliffe Pub., c2006.</t>
  </si>
  <si>
    <t>2008-01-17</t>
  </si>
  <si>
    <t>2007-12-12</t>
  </si>
  <si>
    <t>5585654611:eng</t>
  </si>
  <si>
    <t>70672604</t>
  </si>
  <si>
    <t>991000665889702656</t>
  </si>
  <si>
    <t>2271310170002656</t>
  </si>
  <si>
    <t>9781846190520</t>
  </si>
  <si>
    <t>30001005270139</t>
  </si>
  <si>
    <t>893464462</t>
  </si>
  <si>
    <t>W 62 M7867h 1993</t>
  </si>
  <si>
    <t>0                      W  0062000M  7867h       1993</t>
  </si>
  <si>
    <t>Healing through communication : the practice of caring / Carol Leppanen Montgomery.</t>
  </si>
  <si>
    <t>Montgomery, Carol Leppanen.</t>
  </si>
  <si>
    <t>Newbury Park, Calif. : Sage Publications, c1993.</t>
  </si>
  <si>
    <t>2006-10-12</t>
  </si>
  <si>
    <t>836917643:eng</t>
  </si>
  <si>
    <t>27388111</t>
  </si>
  <si>
    <t>991000378179702656</t>
  </si>
  <si>
    <t>2259419280002656</t>
  </si>
  <si>
    <t>9780803951204</t>
  </si>
  <si>
    <t>30001004219889</t>
  </si>
  <si>
    <t>893817054</t>
  </si>
  <si>
    <t>W 62 M787h 1971</t>
  </si>
  <si>
    <t>0                      W  0062000M  787h        1971</t>
  </si>
  <si>
    <t>Healing and wholeness / D. Wayne Montgomery.</t>
  </si>
  <si>
    <t>Montgomery, D. Wayne.</t>
  </si>
  <si>
    <t>Richmond : John Knox Press, c1971.</t>
  </si>
  <si>
    <t>1997-11-03</t>
  </si>
  <si>
    <t>373877561:eng</t>
  </si>
  <si>
    <t>163810</t>
  </si>
  <si>
    <t>991001543059702656</t>
  </si>
  <si>
    <t>2265345370002656</t>
  </si>
  <si>
    <t>9780804211154</t>
  </si>
  <si>
    <t>30001000636060</t>
  </si>
  <si>
    <t>893134702</t>
  </si>
  <si>
    <t>W 62 M9663t 1989</t>
  </si>
  <si>
    <t>0                      W  0062000M  9663t       1989</t>
  </si>
  <si>
    <t>Talking with patients : a basic clinical skill / Philip R. Myerscough ; with contributions by A.L. Spiers ... [et al.].</t>
  </si>
  <si>
    <t>Myerscough, P. R. (Philip Roger)</t>
  </si>
  <si>
    <t>1990-02-15</t>
  </si>
  <si>
    <t>795511472:eng</t>
  </si>
  <si>
    <t>19125633</t>
  </si>
  <si>
    <t>991001447139702656</t>
  </si>
  <si>
    <t>2271897280002656</t>
  </si>
  <si>
    <t>9780192617699</t>
  </si>
  <si>
    <t>30001001880873</t>
  </si>
  <si>
    <t>893465549</t>
  </si>
  <si>
    <t>W 62 N321t 1990</t>
  </si>
  <si>
    <t>0                      W  0062000N  321t        1990</t>
  </si>
  <si>
    <t>Therapeutic communication / Tova Navarra, Myron A. Lipkowitz, John G. Navarra, Jr.</t>
  </si>
  <si>
    <t>Navarra, Tova.</t>
  </si>
  <si>
    <t>Thorofare, N.J. : SLACK, c1990.</t>
  </si>
  <si>
    <t>2006-11-12</t>
  </si>
  <si>
    <t>1990-11-07</t>
  </si>
  <si>
    <t>24622164:eng</t>
  </si>
  <si>
    <t>22646658</t>
  </si>
  <si>
    <t>991000778229702656</t>
  </si>
  <si>
    <t>2267901560002656</t>
  </si>
  <si>
    <t>9781556420757</t>
  </si>
  <si>
    <t>30001002063602</t>
  </si>
  <si>
    <t>893357542</t>
  </si>
  <si>
    <t>W 62 P386f 1988</t>
  </si>
  <si>
    <t>0                      W  0062000P  386f        1988</t>
  </si>
  <si>
    <t>For the patient's good : the restoration of beneficence in health care / Edmund D. Pellegrino, David C. Thomasma.</t>
  </si>
  <si>
    <t>New York : Oxford University Press, c1988.</t>
  </si>
  <si>
    <t>1988-07-06</t>
  </si>
  <si>
    <t>312098015:eng</t>
  </si>
  <si>
    <t>15856289</t>
  </si>
  <si>
    <t>991001418149702656</t>
  </si>
  <si>
    <t>2258114790002656</t>
  </si>
  <si>
    <t>9780195043198</t>
  </si>
  <si>
    <t>30001001181330</t>
  </si>
  <si>
    <t>893369377</t>
  </si>
  <si>
    <t>W 62 P578 1981</t>
  </si>
  <si>
    <t>0                      W  0062000P  578         1981</t>
  </si>
  <si>
    <t>Physician-patient communication : readings and recommendations / edited by George Henderson.</t>
  </si>
  <si>
    <t>1020757798:eng</t>
  </si>
  <si>
    <t>7007053</t>
  </si>
  <si>
    <t>991001543099702656</t>
  </si>
  <si>
    <t>2266426080002656</t>
  </si>
  <si>
    <t>9780398044657</t>
  </si>
  <si>
    <t>30001000636078</t>
  </si>
  <si>
    <t>893633180</t>
  </si>
  <si>
    <t>W 62 P578 1990</t>
  </si>
  <si>
    <t>0                      W  0062000P  578         1990</t>
  </si>
  <si>
    <t>The physicians' view of middle age / the American Board of Family Practice report II; conducted by DYG, Inc.</t>
  </si>
  <si>
    <t>Lexington, Ky. : The Board, c1990.</t>
  </si>
  <si>
    <t>1991-05-23</t>
  </si>
  <si>
    <t>24569146:eng</t>
  </si>
  <si>
    <t>23136573</t>
  </si>
  <si>
    <t>991000937309702656</t>
  </si>
  <si>
    <t>2260464270002656</t>
  </si>
  <si>
    <t>30001002191411</t>
  </si>
  <si>
    <t>893648714</t>
  </si>
  <si>
    <t>W 62 P7189f 1999</t>
  </si>
  <si>
    <t>0                      W  0062000P  7189f       1999</t>
  </si>
  <si>
    <t>Field guide to the difficult patient interview / Frederic W. Platt, Geoffrey H. Gordon.</t>
  </si>
  <si>
    <t>Platt, Frederic W.</t>
  </si>
  <si>
    <t>Philadelphia, PA : Lippincott Williams &amp; Wilkins, c1999.</t>
  </si>
  <si>
    <t>Field guide</t>
  </si>
  <si>
    <t>1049949:eng</t>
  </si>
  <si>
    <t>40881504</t>
  </si>
  <si>
    <t>991001443289702656</t>
  </si>
  <si>
    <t>2256400650002656</t>
  </si>
  <si>
    <t>9780781720441</t>
  </si>
  <si>
    <t>30001003883917</t>
  </si>
  <si>
    <t>893557993</t>
  </si>
  <si>
    <t>W 62 P912m 1990</t>
  </si>
  <si>
    <t>0                      W  0062000P  912m        1990</t>
  </si>
  <si>
    <t>Medical risk management / by Stephen E. Prather, Robert R. Blake, and Jane S. Mouton.</t>
  </si>
  <si>
    <t>Prather, Stephen E.</t>
  </si>
  <si>
    <t>Oradell, N.J. : Medical Economics Co., c1990.</t>
  </si>
  <si>
    <t>2003-10-10</t>
  </si>
  <si>
    <t>5574045657:eng</t>
  </si>
  <si>
    <t>20994089</t>
  </si>
  <si>
    <t>991000774189702656</t>
  </si>
  <si>
    <t>2266364490002656</t>
  </si>
  <si>
    <t>9780874895810</t>
  </si>
  <si>
    <t>30001002062810</t>
  </si>
  <si>
    <t>893161124</t>
  </si>
  <si>
    <t>W 62 R317b 1998</t>
  </si>
  <si>
    <t>0                      W  0062000R  317b        1998</t>
  </si>
  <si>
    <t>Behind closed doors : gender, sexuality, and touch in the doctor/patient relationship / Angelica Redleaf with Susan A. Baird.</t>
  </si>
  <si>
    <t>Redleaf, Angelica, 1946-</t>
  </si>
  <si>
    <t>Westport, Conn. : Auburn House, c1998.</t>
  </si>
  <si>
    <t>2002-03-28</t>
  </si>
  <si>
    <t>1999-07-09</t>
  </si>
  <si>
    <t>25832001:eng</t>
  </si>
  <si>
    <t>40682356</t>
  </si>
  <si>
    <t>991000795809702656</t>
  </si>
  <si>
    <t>2264529360002656</t>
  </si>
  <si>
    <t>9780865692855</t>
  </si>
  <si>
    <t>30001004078145</t>
  </si>
  <si>
    <t>893735795</t>
  </si>
  <si>
    <t>W62 R816h 2003</t>
  </si>
  <si>
    <t>0                      W  0062000R  816h        2003</t>
  </si>
  <si>
    <t>How to give your patients bad news : a guide for students and experienced health professionals / by Harvey M. Rosenwasser and Beth J. Rosenwasser</t>
  </si>
  <si>
    <t>Rosenwasser, Harvey M.</t>
  </si>
  <si>
    <t>Bloomington, IN : The authors, c2003</t>
  </si>
  <si>
    <t>1stBooks library</t>
  </si>
  <si>
    <t>2004-03-22</t>
  </si>
  <si>
    <t>2004-02-12</t>
  </si>
  <si>
    <t>766014:eng</t>
  </si>
  <si>
    <t>54099643</t>
  </si>
  <si>
    <t>991000366059702656</t>
  </si>
  <si>
    <t>2259701650002656</t>
  </si>
  <si>
    <t>30001004508950</t>
  </si>
  <si>
    <t>893279952</t>
  </si>
  <si>
    <t>W 62 S192g 1981</t>
  </si>
  <si>
    <t>0                      W  0062000S  192g        1981</t>
  </si>
  <si>
    <t>Group process for the health professions / Edward E. Sampson, Marya Marthas.</t>
  </si>
  <si>
    <t>Sampson, Edward E.</t>
  </si>
  <si>
    <t>New York : Wiley, c1981.</t>
  </si>
  <si>
    <t>8106400:eng</t>
  </si>
  <si>
    <t>6941845</t>
  </si>
  <si>
    <t>991001543169702656</t>
  </si>
  <si>
    <t>2257329780002656</t>
  </si>
  <si>
    <t>9780471082798</t>
  </si>
  <si>
    <t>30001000636102</t>
  </si>
  <si>
    <t>893546801</t>
  </si>
  <si>
    <t>W 62 S531p 1984</t>
  </si>
  <si>
    <t>0                      W  0062000S  531p        1984</t>
  </si>
  <si>
    <t>The physician's guide to better communication / Barbara F. Sharf, in consultation with Joseph A. Flaherty.</t>
  </si>
  <si>
    <t>Sharf, Barbara F., 1948-</t>
  </si>
  <si>
    <t>Glenview, Ill. : Scott, Foresman, c1984.</t>
  </si>
  <si>
    <t>The Scott, Foresman PROCOM series</t>
  </si>
  <si>
    <t>43728635:eng</t>
  </si>
  <si>
    <t>9682926</t>
  </si>
  <si>
    <t>991001543209702656</t>
  </si>
  <si>
    <t>2269542840002656</t>
  </si>
  <si>
    <t>9780673155597</t>
  </si>
  <si>
    <t>30001000636110</t>
  </si>
  <si>
    <t>893832296</t>
  </si>
  <si>
    <t>W 62 S714b 1988</t>
  </si>
  <si>
    <t>0                      W  0062000S  714b        1988</t>
  </si>
  <si>
    <t>The bitter pill : tough choices in America's health policy / Richard Sorian.</t>
  </si>
  <si>
    <t>Sorian, Richard, 1960-</t>
  </si>
  <si>
    <t>New York : McGraw-Hill, c1988.</t>
  </si>
  <si>
    <t>1990-01-15</t>
  </si>
  <si>
    <t>1989-04-04</t>
  </si>
  <si>
    <t>16320698:eng</t>
  </si>
  <si>
    <t>17953685</t>
  </si>
  <si>
    <t>991001243239702656</t>
  </si>
  <si>
    <t>2271928240002656</t>
  </si>
  <si>
    <t>9780070597365</t>
  </si>
  <si>
    <t>30001001676263</t>
  </si>
  <si>
    <t>893268242</t>
  </si>
  <si>
    <t>W 62 S774 1994</t>
  </si>
  <si>
    <t>0                      W  0062000S  774         1994</t>
  </si>
  <si>
    <t>Smart patient, good medicine : working with your doctor to get the best medical care / Richard L. Sribnick and Wayne B. Sribnick ; [foreword by Charles B. Inlander].</t>
  </si>
  <si>
    <t>Sribnick, Richard L.</t>
  </si>
  <si>
    <t>New York : Walker and Co., c1994.</t>
  </si>
  <si>
    <t>1999-01-28</t>
  </si>
  <si>
    <t>5164489257:eng</t>
  </si>
  <si>
    <t>29704219</t>
  </si>
  <si>
    <t>991001562169702656</t>
  </si>
  <si>
    <t>2260143580002656</t>
  </si>
  <si>
    <t>9780802712875</t>
  </si>
  <si>
    <t>30001003669696</t>
  </si>
  <si>
    <t>893832314</t>
  </si>
  <si>
    <t>W 62 T545d 1996</t>
  </si>
  <si>
    <t>0                      W  0062000T  545d        1996</t>
  </si>
  <si>
    <t>Death of compassion : the endangered doctor-patient relationship / Jeffrey Thurston.</t>
  </si>
  <si>
    <t>Thurston, Jeffrey, 1956-</t>
  </si>
  <si>
    <t>Waco, Tex. : WRS Pub., c1996.</t>
  </si>
  <si>
    <t>1996-04-03</t>
  </si>
  <si>
    <t>1011226270:eng</t>
  </si>
  <si>
    <t>33132619</t>
  </si>
  <si>
    <t>991001505669702656</t>
  </si>
  <si>
    <t>2267432990002656</t>
  </si>
  <si>
    <t>9781567961195</t>
  </si>
  <si>
    <t>30001003264282</t>
  </si>
  <si>
    <t>893821261</t>
  </si>
  <si>
    <t>W 62 V953c 1957</t>
  </si>
  <si>
    <t>0                      W  0062000V  953c        1957</t>
  </si>
  <si>
    <t>The changing patient-doctor relationship / Martin G. Vorhaus.</t>
  </si>
  <si>
    <t>Vorhaus, Martin G. (Martin Grossman), 1896-</t>
  </si>
  <si>
    <t>New York : Horizon Press, 1957.</t>
  </si>
  <si>
    <t>2806195:eng</t>
  </si>
  <si>
    <t>1741266</t>
  </si>
  <si>
    <t>991001543289702656</t>
  </si>
  <si>
    <t>2260604990002656</t>
  </si>
  <si>
    <t>30001000636136</t>
  </si>
  <si>
    <t>893134703</t>
  </si>
  <si>
    <t>W64 G876s 2000</t>
  </si>
  <si>
    <t>0                      W  0064000G  876s        2000</t>
  </si>
  <si>
    <t>Second opinions : stories of intuition and choice in a changing world of medicine / Jerome Groopman.</t>
  </si>
  <si>
    <t>Groopman, Jerome E.</t>
  </si>
  <si>
    <t>New York : Viking, 2000.</t>
  </si>
  <si>
    <t>2004-12-14</t>
  </si>
  <si>
    <t>2004-11-03</t>
  </si>
  <si>
    <t>1810035636:eng</t>
  </si>
  <si>
    <t>41621164</t>
  </si>
  <si>
    <t>991000406679702656</t>
  </si>
  <si>
    <t>2267978190002656</t>
  </si>
  <si>
    <t>9780670888016</t>
  </si>
  <si>
    <t>30001004924660</t>
  </si>
  <si>
    <t>893275039</t>
  </si>
  <si>
    <t>W 74 A5117 1984e</t>
  </si>
  <si>
    <t>0                      W  0074000A  5117        1984e</t>
  </si>
  <si>
    <t>The economics of health care and nursing : presidential address and papers / 1984 Annual Meeting and Scientific Session ; edited by Gladys E. Sorensen.</t>
  </si>
  <si>
    <t>American Academy of Nursing. Meeting (12th : 1984 : Atlanta, Ga.)</t>
  </si>
  <si>
    <t>Kansas City, Mo. (2420 Pershing Road, Kansas City 64108) : American Academy of Nursing, c1985.</t>
  </si>
  <si>
    <t>ANA pub ; no. G-166</t>
  </si>
  <si>
    <t>1998-04-19</t>
  </si>
  <si>
    <t>1989-03-16</t>
  </si>
  <si>
    <t>5766761:eng</t>
  </si>
  <si>
    <t>12839463</t>
  </si>
  <si>
    <t>991001241659702656</t>
  </si>
  <si>
    <t>2256934520002656</t>
  </si>
  <si>
    <t>30001001675794</t>
  </si>
  <si>
    <t>893816235</t>
  </si>
  <si>
    <t>W74 AA1 F312h 2005</t>
  </si>
  <si>
    <t>0                      W  0074000AA 1                  F  312h        2005</t>
  </si>
  <si>
    <t>Health care economics / Paul J. Feldstein.</t>
  </si>
  <si>
    <t>Feldstein, Paul J.</t>
  </si>
  <si>
    <t>Australia ; Clifton Park, NY : Thomson Delmar Learning, c2005.</t>
  </si>
  <si>
    <t>Thomson Delmar learning series in health services administration</t>
  </si>
  <si>
    <t>2010-07-24</t>
  </si>
  <si>
    <t>4241365649:eng</t>
  </si>
  <si>
    <t>55067784</t>
  </si>
  <si>
    <t>991000377749702656</t>
  </si>
  <si>
    <t>2265022690002656</t>
  </si>
  <si>
    <t>9781401859794</t>
  </si>
  <si>
    <t>30001004922094</t>
  </si>
  <si>
    <t>893359517</t>
  </si>
  <si>
    <t>W74 AA1 P538ha 2003</t>
  </si>
  <si>
    <t>0                      W  0074000AA 1                  P  538ha       2003</t>
  </si>
  <si>
    <t>Health economics / Charles E. Phelps.</t>
  </si>
  <si>
    <t>Phelps, Charles E.</t>
  </si>
  <si>
    <t>Boston : Addison Wesley, c2003.</t>
  </si>
  <si>
    <t>Addison-Wesley series in economics</t>
  </si>
  <si>
    <t>896918:eng</t>
  </si>
  <si>
    <t>49495068</t>
  </si>
  <si>
    <t>991000355479702656</t>
  </si>
  <si>
    <t>2266532660002656</t>
  </si>
  <si>
    <t>9780321068989</t>
  </si>
  <si>
    <t>30001004505691</t>
  </si>
  <si>
    <t>893452060</t>
  </si>
  <si>
    <t>W 74 B167h 2000</t>
  </si>
  <si>
    <t>0                      W  0074000B  167h        2000</t>
  </si>
  <si>
    <t>Health care finance : basic tools for nonfinancial managers / Judith J. Baker, R.W. Baker.</t>
  </si>
  <si>
    <t>Baker, Judith J.</t>
  </si>
  <si>
    <t>Gaithersburg, Md. : Aspen, 2000.</t>
  </si>
  <si>
    <t>2009-07-20</t>
  </si>
  <si>
    <t>758404:eng</t>
  </si>
  <si>
    <t>41924755</t>
  </si>
  <si>
    <t>991000379739702656</t>
  </si>
  <si>
    <t>2272642140002656</t>
  </si>
  <si>
    <t>9780834212060</t>
  </si>
  <si>
    <t>30001004840064</t>
  </si>
  <si>
    <t>893163393</t>
  </si>
  <si>
    <t>W 74 B818 2000</t>
  </si>
  <si>
    <t>0                      W  0074000B  818         2000</t>
  </si>
  <si>
    <t>Branding health services : defining yourself in the marketplace / edited by Gil Bashe, Nancy J. Hicks ; project editor, Amy Ziegenfuss.</t>
  </si>
  <si>
    <t>Gaithersburg, Md. : Aspen Publishers, 2000.</t>
  </si>
  <si>
    <t>2007-02-27</t>
  </si>
  <si>
    <t>27944677:eng</t>
  </si>
  <si>
    <t>42969552</t>
  </si>
  <si>
    <t>991000379249702656</t>
  </si>
  <si>
    <t>2266529070002656</t>
  </si>
  <si>
    <t>9780834211759</t>
  </si>
  <si>
    <t>30001004840049</t>
  </si>
  <si>
    <t>893275014</t>
  </si>
  <si>
    <t>W 74 B878h 1985</t>
  </si>
  <si>
    <t>0                      W  0074000B  878h        1985</t>
  </si>
  <si>
    <t>The high cost of healing : physicians and the health care system / J.H.U. Brown.</t>
  </si>
  <si>
    <t>Brown, J. H. U. (Jack Harold Upton), 1918-2004.</t>
  </si>
  <si>
    <t>New York, N.Y. : Human Sciences Press, c1985.</t>
  </si>
  <si>
    <t>3801352:eng</t>
  </si>
  <si>
    <t>10799195</t>
  </si>
  <si>
    <t>991001543419702656</t>
  </si>
  <si>
    <t>2268544560002656</t>
  </si>
  <si>
    <t>9780898852226</t>
  </si>
  <si>
    <t>30001000636185</t>
  </si>
  <si>
    <t>893741240</t>
  </si>
  <si>
    <t>W 74 C1526a 1986</t>
  </si>
  <si>
    <t>0                      W  0074000C  1526a       1986</t>
  </si>
  <si>
    <t>America's health care revolution : who lives? who dies? who pays? / by Joseph A. Califano, Jr.</t>
  </si>
  <si>
    <t>Califano, Joseph A., Jr., 1931-</t>
  </si>
  <si>
    <t>New York : Random House, c1986.</t>
  </si>
  <si>
    <t>2007-09-27</t>
  </si>
  <si>
    <t>4936542:eng</t>
  </si>
  <si>
    <t>12312450</t>
  </si>
  <si>
    <t>991001543509702656</t>
  </si>
  <si>
    <t>2271866560002656</t>
  </si>
  <si>
    <t>9780394542911</t>
  </si>
  <si>
    <t>30001000636219</t>
  </si>
  <si>
    <t>893460696</t>
  </si>
  <si>
    <t>W 74 C456 1989</t>
  </si>
  <si>
    <t>0                      W  0074000C  456         1989</t>
  </si>
  <si>
    <t>The Changing economics of medical technology / Annetine C. Gelijns and Ethan A. Halm, editors ; Committee on Technological Innovation in Medicine, Institute of Medicine.</t>
  </si>
  <si>
    <t>Washington, D.C. : National Academy Press, c1991.</t>
  </si>
  <si>
    <t>Medical innovation at the crossroads ; v. 2</t>
  </si>
  <si>
    <t>1992-04-02</t>
  </si>
  <si>
    <t>350320945:eng</t>
  </si>
  <si>
    <t>23654207</t>
  </si>
  <si>
    <t>991001299319702656</t>
  </si>
  <si>
    <t>2255765600002656</t>
  </si>
  <si>
    <t>9780309044912</t>
  </si>
  <si>
    <t>30001002411231</t>
  </si>
  <si>
    <t>893460441</t>
  </si>
  <si>
    <t>W 74 C7414 1988</t>
  </si>
  <si>
    <t>0                      W  0074000C  7414        1988</t>
  </si>
  <si>
    <t>Competition in the health care sector : ten years later / edited by Warren Greenberg.</t>
  </si>
  <si>
    <t>Durham : Duke University Press, c1988.</t>
  </si>
  <si>
    <t>1989-08-09</t>
  </si>
  <si>
    <t>1989-06-19</t>
  </si>
  <si>
    <t>17513454:eng</t>
  </si>
  <si>
    <t>18222914</t>
  </si>
  <si>
    <t>991001250749702656</t>
  </si>
  <si>
    <t>2261571500002656</t>
  </si>
  <si>
    <t>9780822308935</t>
  </si>
  <si>
    <t>30001001678830</t>
  </si>
  <si>
    <t>893821071</t>
  </si>
  <si>
    <t>W 74 C748e 1973</t>
  </si>
  <si>
    <t>0                      W  0074000C  748e        1973</t>
  </si>
  <si>
    <t>The economics of health and medical care : proceedings of a conference held by the International Economic Association at Tokyo / Edited by Mark Perlman.</t>
  </si>
  <si>
    <t>Conference on Economics of Health and Medical Care (1973 : Tokyo, Japan)</t>
  </si>
  <si>
    <t>New York : Wiley, 1974.</t>
  </si>
  <si>
    <t>2001-03-25</t>
  </si>
  <si>
    <t>1639383:eng</t>
  </si>
  <si>
    <t>762463</t>
  </si>
  <si>
    <t>991001543439702656</t>
  </si>
  <si>
    <t>2265208100002656</t>
  </si>
  <si>
    <t>9780470680513</t>
  </si>
  <si>
    <t>30001000636193</t>
  </si>
  <si>
    <t>893134704</t>
  </si>
  <si>
    <t>W 74 D329k 1943</t>
  </si>
  <si>
    <t>0                      W  0074000D  329k        1943</t>
  </si>
  <si>
    <t>Kaiser wakes the doctors / Paul De Kruif.</t>
  </si>
  <si>
    <t>De Kruif, Paul, 1890-1971.</t>
  </si>
  <si>
    <t>New York : Harcourt, Brace, c1943.</t>
  </si>
  <si>
    <t>1943</t>
  </si>
  <si>
    <t>1993-10-09</t>
  </si>
  <si>
    <t>1660949:eng</t>
  </si>
  <si>
    <t>812987</t>
  </si>
  <si>
    <t>991001543469702656</t>
  </si>
  <si>
    <t>2267529690002656</t>
  </si>
  <si>
    <t>30001000636201</t>
  </si>
  <si>
    <t>893541492</t>
  </si>
  <si>
    <t>W 74 D795m 1987</t>
  </si>
  <si>
    <t>0                      W  0074000D  795m        1987</t>
  </si>
  <si>
    <t>Methods for the economic evaluation of health care programmes / Michael F. Drummond, Greg L. Stoddart, George W. Torrance.</t>
  </si>
  <si>
    <t>Drummond, Michael.</t>
  </si>
  <si>
    <t>Oxford [Oxfordshire] ; New York : Oxford University Press, 1993 reprint, c1987.</t>
  </si>
  <si>
    <t>2003-12-03</t>
  </si>
  <si>
    <t>1995-08-25</t>
  </si>
  <si>
    <t>56159098:eng</t>
  </si>
  <si>
    <t>14214255</t>
  </si>
  <si>
    <t>991001405059702656</t>
  </si>
  <si>
    <t>2269241780002656</t>
  </si>
  <si>
    <t>9780192616012</t>
  </si>
  <si>
    <t>30001003149780</t>
  </si>
  <si>
    <t>893121462</t>
  </si>
  <si>
    <t>W 74 E135ha 1998</t>
  </si>
  <si>
    <t>0                      W  0074000E  135ha       1998</t>
  </si>
  <si>
    <t>Health care finance : cost, productivity &amp; strategic design / Steven R. Eastaugh.</t>
  </si>
  <si>
    <t>Eastaugh, Steven R., 1952-</t>
  </si>
  <si>
    <t>Gaithersburg, Md. : Aspen Publishers, 1998.</t>
  </si>
  <si>
    <t>2007-11-27</t>
  </si>
  <si>
    <t>42032956:eng</t>
  </si>
  <si>
    <t>39123596</t>
  </si>
  <si>
    <t>991000396979702656</t>
  </si>
  <si>
    <t>2263116170002656</t>
  </si>
  <si>
    <t>9780834211810</t>
  </si>
  <si>
    <t>30001004978955</t>
  </si>
  <si>
    <t>893461456</t>
  </si>
  <si>
    <t>W 74 E1728 2001</t>
  </si>
  <si>
    <t>0                      W  0074000E  1728        2001</t>
  </si>
  <si>
    <t>Economic evaluation in health care : merging theory with practice / Michael Drummond, Alistair McGuire.</t>
  </si>
  <si>
    <t>Drummond, Michael</t>
  </si>
  <si>
    <t>Oxford ; New York : Oxford University Press, 2001.</t>
  </si>
  <si>
    <t>2003-10-17</t>
  </si>
  <si>
    <t>364091543:eng</t>
  </si>
  <si>
    <t>47013207</t>
  </si>
  <si>
    <t>991000358749702656</t>
  </si>
  <si>
    <t>2254715250002656</t>
  </si>
  <si>
    <t>9780192631763</t>
  </si>
  <si>
    <t>30001004218055</t>
  </si>
  <si>
    <t>893811431</t>
  </si>
  <si>
    <t>W 74 E177 1981</t>
  </si>
  <si>
    <t>0                      W  0074000E  177         1981</t>
  </si>
  <si>
    <t>Economics and health care / edited by John B. McKinlay.</t>
  </si>
  <si>
    <t>Cambridge, Mass. : MIT Press, c1981.</t>
  </si>
  <si>
    <t>Milbank reader ; 1</t>
  </si>
  <si>
    <t>54456129:eng</t>
  </si>
  <si>
    <t>7732654</t>
  </si>
  <si>
    <t>991001543549702656</t>
  </si>
  <si>
    <t>2270572760002656</t>
  </si>
  <si>
    <t>9780262131766</t>
  </si>
  <si>
    <t>30001000636227</t>
  </si>
  <si>
    <t>893826851</t>
  </si>
  <si>
    <t>W 74 F312h 1988</t>
  </si>
  <si>
    <t>0                      W  0074000F  312h        1988</t>
  </si>
  <si>
    <t>Albany, N.Y. : Delmar Publishers, c1988.</t>
  </si>
  <si>
    <t>2002-07-30</t>
  </si>
  <si>
    <t>1992-06-26</t>
  </si>
  <si>
    <t>15074515:eng</t>
  </si>
  <si>
    <t>22253400</t>
  </si>
  <si>
    <t>991001307149702656</t>
  </si>
  <si>
    <t>2266170340002656</t>
  </si>
  <si>
    <t>9780827342347</t>
  </si>
  <si>
    <t>30001002414136</t>
  </si>
  <si>
    <t>893460445</t>
  </si>
  <si>
    <t>W 74 F312p 1988</t>
  </si>
  <si>
    <t>0                      W  0074000F  312p        1988</t>
  </si>
  <si>
    <t>The politics of health legislation : an economic perspective / Paul J. Feldstein.</t>
  </si>
  <si>
    <t>Ann Arbor, Mich. : Health Administration Press Perspectives, c1988.</t>
  </si>
  <si>
    <t>1993-08-01</t>
  </si>
  <si>
    <t>1989-04-24</t>
  </si>
  <si>
    <t>15820694:eng</t>
  </si>
  <si>
    <t>17477056</t>
  </si>
  <si>
    <t>991001244469702656</t>
  </si>
  <si>
    <t>2267365950002656</t>
  </si>
  <si>
    <t>9780910701358</t>
  </si>
  <si>
    <t>30001001676644</t>
  </si>
  <si>
    <t>893834612</t>
  </si>
  <si>
    <t>W 74 F951w 1974</t>
  </si>
  <si>
    <t>0                      W  0074000F  951w        1974</t>
  </si>
  <si>
    <t>Who shall live : Health, economics, and social choice.</t>
  </si>
  <si>
    <t>Fuchs, Victor R.</t>
  </si>
  <si>
    <t>New York : Basic Books, [1974]</t>
  </si>
  <si>
    <t>2000-08-19</t>
  </si>
  <si>
    <t>1930142:eng</t>
  </si>
  <si>
    <t>1301570</t>
  </si>
  <si>
    <t>991001543639702656</t>
  </si>
  <si>
    <t>2266493720002656</t>
  </si>
  <si>
    <t>30001000636243</t>
  </si>
  <si>
    <t>893121620</t>
  </si>
  <si>
    <t>W 74 F996 1998</t>
  </si>
  <si>
    <t>0                      W  0074000F  996         1998</t>
  </si>
  <si>
    <t>The future U.S. healthcare system : who will care for the poor and uninsured? / edited by Stuart H. Altman, Uwe E. Reinhardt, Alexandra E. Shields.</t>
  </si>
  <si>
    <t>Chicago, Ill. : Health Administration Press ; Waltham, Mass. : Council on the Economic Impact of Health System Change, c1998.</t>
  </si>
  <si>
    <t>2008-01-31</t>
  </si>
  <si>
    <t>1414643885:eng</t>
  </si>
  <si>
    <t>37132468</t>
  </si>
  <si>
    <t>991001430529702656</t>
  </si>
  <si>
    <t>2272431970002656</t>
  </si>
  <si>
    <t>9781567930672</t>
  </si>
  <si>
    <t>30001003864909</t>
  </si>
  <si>
    <t>893369391</t>
  </si>
  <si>
    <t>W 74 FA1 M478u 2002</t>
  </si>
  <si>
    <t>0                      W  0074000FA 1                  M  478u        2002</t>
  </si>
  <si>
    <t>Using health economics in health services : rationing rationally? / Ruth McDonald.</t>
  </si>
  <si>
    <t>McDonald, Ruth, 1960-</t>
  </si>
  <si>
    <t>Buckingham ; Philadelphia, Pa. : Open University, 2002.</t>
  </si>
  <si>
    <t>State of health series</t>
  </si>
  <si>
    <t>371026808:eng</t>
  </si>
  <si>
    <t>48655641</t>
  </si>
  <si>
    <t>991000380359702656</t>
  </si>
  <si>
    <t>2269160720002656</t>
  </si>
  <si>
    <t>9780335209835</t>
  </si>
  <si>
    <t>30001004219970</t>
  </si>
  <si>
    <t>893365380</t>
  </si>
  <si>
    <t>W 74 G945 1997</t>
  </si>
  <si>
    <t>0                      W  0074000G  945         1997</t>
  </si>
  <si>
    <t>Guide to clinical resource management / Mickey L. Parsons ... [et al.].</t>
  </si>
  <si>
    <t>Gaithersburg, Md. : Aspen Publishers, c1997.</t>
  </si>
  <si>
    <t>Strategies for improving patient care</t>
  </si>
  <si>
    <t>2001-11-20</t>
  </si>
  <si>
    <t>1999-04-13</t>
  </si>
  <si>
    <t>40174127:eng</t>
  </si>
  <si>
    <t>34775926</t>
  </si>
  <si>
    <t>991000783769702656</t>
  </si>
  <si>
    <t>2260717030002656</t>
  </si>
  <si>
    <t>9780834208490</t>
  </si>
  <si>
    <t>30001004071058</t>
  </si>
  <si>
    <t>893278131</t>
  </si>
  <si>
    <t>W 74 H434 1990</t>
  </si>
  <si>
    <t>0                      W  0074000H  434         1990</t>
  </si>
  <si>
    <t>Health care cost containment / Karen Davis ... [et al.].</t>
  </si>
  <si>
    <t>Baltimore : Johns Hopkins University Press, c1990.</t>
  </si>
  <si>
    <t>Johns Hopkins studies in health care finance and administration ; 3</t>
  </si>
  <si>
    <t>1991-06-14</t>
  </si>
  <si>
    <t>55246900:eng</t>
  </si>
  <si>
    <t>20320181</t>
  </si>
  <si>
    <t>991000939759702656</t>
  </si>
  <si>
    <t>2266160260002656</t>
  </si>
  <si>
    <t>9780801838743</t>
  </si>
  <si>
    <t>30001002192278</t>
  </si>
  <si>
    <t>893460153</t>
  </si>
  <si>
    <t>W 74 H43416 1988</t>
  </si>
  <si>
    <t>0                      W  0074000H  43416       1988</t>
  </si>
  <si>
    <t>Health care in America : the political economy of hospitals and health insurance / edited by H.E. Frech III ; foreword by Richard Zeckhauser.</t>
  </si>
  <si>
    <t>San Francisco, Calif. : Pacific Research Institute for Public Policy, c1988.</t>
  </si>
  <si>
    <t>1995-04-20</t>
  </si>
  <si>
    <t>1992-03-30</t>
  </si>
  <si>
    <t>905490220:eng</t>
  </si>
  <si>
    <t>17442850</t>
  </si>
  <si>
    <t>991001036089702656</t>
  </si>
  <si>
    <t>2260075250002656</t>
  </si>
  <si>
    <t>9780936488196</t>
  </si>
  <si>
    <t>30001002244749</t>
  </si>
  <si>
    <t>893450795</t>
  </si>
  <si>
    <t>W 74 H638 1983</t>
  </si>
  <si>
    <t>0                      W  0074000H  638         1983</t>
  </si>
  <si>
    <t>High cost illness among hospitalized patients : final report on Phase I of Contract No. 233-81-3032, the National Center for Health Services Research / S.E. Berki, principal investigator, . . . [et al.].</t>
  </si>
  <si>
    <t>Ann Arbor, Mich.: Dept. of Medical Care Organization, School of Public Health, Univ. of Michigan ; Springfield, Va.: reproduced by National Technical Information Service, 1983.</t>
  </si>
  <si>
    <t>11410947:eng</t>
  </si>
  <si>
    <t>12904104</t>
  </si>
  <si>
    <t>991001543679702656</t>
  </si>
  <si>
    <t>2258741590002656</t>
  </si>
  <si>
    <t>30001000636268</t>
  </si>
  <si>
    <t>893832297</t>
  </si>
  <si>
    <t>W 74 J17e 1997</t>
  </si>
  <si>
    <t>0                      W  0074000J  17e         1997</t>
  </si>
  <si>
    <t>The economics of health and medical care / Philip Jacobs.</t>
  </si>
  <si>
    <t>Jacobs, Philip, 1943-</t>
  </si>
  <si>
    <t>1999-11-12</t>
  </si>
  <si>
    <t>4927459416:eng</t>
  </si>
  <si>
    <t>34951477</t>
  </si>
  <si>
    <t>991000798269702656</t>
  </si>
  <si>
    <t>2262171170002656</t>
  </si>
  <si>
    <t>9780834208032</t>
  </si>
  <si>
    <t>30001004080406</t>
  </si>
  <si>
    <t>893161194</t>
  </si>
  <si>
    <t>W74 J17e 2002</t>
  </si>
  <si>
    <t>0                      W  0074000J  17e         2002</t>
  </si>
  <si>
    <t>The economics of health and medical care / Philip Jacobs, John Rapoport.</t>
  </si>
  <si>
    <t>Gaithersburg, Md. : Aspen Publishers, c2002.</t>
  </si>
  <si>
    <t>2005-04-19</t>
  </si>
  <si>
    <t>2004-06-08</t>
  </si>
  <si>
    <t>49055489</t>
  </si>
  <si>
    <t>991000373889702656</t>
  </si>
  <si>
    <t>2265163250002656</t>
  </si>
  <si>
    <t>9780834219373</t>
  </si>
  <si>
    <t>30001004920569</t>
  </si>
  <si>
    <t>893633835</t>
  </si>
  <si>
    <t>W 74 L477 1997</t>
  </si>
  <si>
    <t>0                      W  0074000L  477         1997</t>
  </si>
  <si>
    <t>Capitation : the physicians' guide / David W. Lee.</t>
  </si>
  <si>
    <t>Lee, David W. (David William), 1961-</t>
  </si>
  <si>
    <t>Chicago, IL : American Medical Association, c1997.</t>
  </si>
  <si>
    <t>2003-03-06</t>
  </si>
  <si>
    <t>1998-02-12</t>
  </si>
  <si>
    <t>652726:eng</t>
  </si>
  <si>
    <t>38422766</t>
  </si>
  <si>
    <t>991000268769702656</t>
  </si>
  <si>
    <t>2269566390002656</t>
  </si>
  <si>
    <t>9780899708676</t>
  </si>
  <si>
    <t>30001003743962</t>
  </si>
  <si>
    <t>893269313</t>
  </si>
  <si>
    <t>W 74 L672s 1988</t>
  </si>
  <si>
    <t>0                      W  0074000L  672s        1988</t>
  </si>
  <si>
    <t>Setting the record straight : the provision of uncompensated care by not-for-profit hospitals / by Lawrence S. Lewin, Timothy J. Eckels, Dale Roenigk.</t>
  </si>
  <si>
    <t>Lewin, Lawrence S.</t>
  </si>
  <si>
    <t>[Washington, D.C.] : Lewin and Associates, Inc. ; Volunteer Trustees of Not-for-Profit Hospitals Foundation for Research and Education, c1988.</t>
  </si>
  <si>
    <t>1997-12-18</t>
  </si>
  <si>
    <t>25050412:eng</t>
  </si>
  <si>
    <t>23717545</t>
  </si>
  <si>
    <t>991000533689702656</t>
  </si>
  <si>
    <t>22101747240002656</t>
  </si>
  <si>
    <t>30001001996752</t>
  </si>
  <si>
    <t>893630768</t>
  </si>
  <si>
    <t>W 74 M235 1991</t>
  </si>
  <si>
    <t>0                      W  0074000M  235         1991</t>
  </si>
  <si>
    <t>Making managed healthcare work : a practical guide to strategies and solutions / [edited by] Peter Boland.</t>
  </si>
  <si>
    <t>1990-11-01</t>
  </si>
  <si>
    <t>55309374:eng</t>
  </si>
  <si>
    <t>21162971</t>
  </si>
  <si>
    <t>991000774269702656</t>
  </si>
  <si>
    <t>2258471300002656</t>
  </si>
  <si>
    <t>9780070063747</t>
  </si>
  <si>
    <t>30001002062851</t>
  </si>
  <si>
    <t>893161125</t>
  </si>
  <si>
    <t>W 74 M4889 1989</t>
  </si>
  <si>
    <t>0                      W  0074000M  4889        1989</t>
  </si>
  <si>
    <t>The Medical cost-containment crisis : fears, opinions, and facts / edited by Jack D. McCue.</t>
  </si>
  <si>
    <t>55166209:eng</t>
  </si>
  <si>
    <t>18982652</t>
  </si>
  <si>
    <t>991001244669702656</t>
  </si>
  <si>
    <t>2270850450002656</t>
  </si>
  <si>
    <t>9780910701433</t>
  </si>
  <si>
    <t>30001001676685</t>
  </si>
  <si>
    <t>893736353</t>
  </si>
  <si>
    <t>W 74 P964 1980</t>
  </si>
  <si>
    <t>0                      W  0074000P  964         1980</t>
  </si>
  <si>
    <t>Profile of medical practice : 1980.</t>
  </si>
  <si>
    <t>Chicago : Center for Health Services Research and Development, American Medical Assn, 1980.</t>
  </si>
  <si>
    <t>2006-11-22</t>
  </si>
  <si>
    <t>1988-02-19</t>
  </si>
  <si>
    <t>3859928082:eng</t>
  </si>
  <si>
    <t>2254291</t>
  </si>
  <si>
    <t>991001286669702656</t>
  </si>
  <si>
    <t>2268630020002656</t>
  </si>
  <si>
    <t>30001000388167</t>
  </si>
  <si>
    <t>893727413</t>
  </si>
  <si>
    <t>W74 R382 2001</t>
  </si>
  <si>
    <t>0                      W  0074000R  382         2001</t>
  </si>
  <si>
    <t>Relative values for physicians / Relative Value Studies, Inc.</t>
  </si>
  <si>
    <t>Reston, Va. : St. Anthony Pub., c2001.</t>
  </si>
  <si>
    <t>2003-03-27</t>
  </si>
  <si>
    <t>2002-04-17</t>
  </si>
  <si>
    <t>54609772:eng</t>
  </si>
  <si>
    <t>43874528</t>
  </si>
  <si>
    <t>991000308059702656</t>
  </si>
  <si>
    <t>2255964050002656</t>
  </si>
  <si>
    <t>9781563296765</t>
  </si>
  <si>
    <t>30001004237337</t>
  </si>
  <si>
    <t>893359423</t>
  </si>
  <si>
    <t>W 74 R497e 2003</t>
  </si>
  <si>
    <t>0                      W  0074000R  497e        2003</t>
  </si>
  <si>
    <t>The economics of health reconsidered / Thomas Rice.</t>
  </si>
  <si>
    <t>Rice, Thomas H.</t>
  </si>
  <si>
    <t>Chicago : Health Administration Press, c2003.</t>
  </si>
  <si>
    <t>2004-09-09</t>
  </si>
  <si>
    <t>2004-09-08</t>
  </si>
  <si>
    <t>679741:eng</t>
  </si>
  <si>
    <t>50192138</t>
  </si>
  <si>
    <t>991000384519702656</t>
  </si>
  <si>
    <t>2257161300002656</t>
  </si>
  <si>
    <t>9781567931938</t>
  </si>
  <si>
    <t>30001004840700</t>
  </si>
  <si>
    <t>893123065</t>
  </si>
  <si>
    <t>W 74 S714h 1984</t>
  </si>
  <si>
    <t>0                      W  0074000S  714h        1984</t>
  </si>
  <si>
    <t>Health economics : an introduction / Alan L. Sorkin.</t>
  </si>
  <si>
    <t>Sorkin, Alan L.</t>
  </si>
  <si>
    <t>Lexington, Mass. : Lexington Books, c1984.</t>
  </si>
  <si>
    <t>2nd and rev. ed.</t>
  </si>
  <si>
    <t>1993-03-14</t>
  </si>
  <si>
    <t>2286645501:eng</t>
  </si>
  <si>
    <t>9757335</t>
  </si>
  <si>
    <t>991001543929702656</t>
  </si>
  <si>
    <t>2261976950002656</t>
  </si>
  <si>
    <t>9780669069174</t>
  </si>
  <si>
    <t>30001000636367</t>
  </si>
  <si>
    <t>893821331</t>
  </si>
  <si>
    <t>W 74 S875n 1993</t>
  </si>
  <si>
    <t>0                      W  0074000S  875n        1993</t>
  </si>
  <si>
    <t>The new medical marketplace : a physician's guide to the health care system in the 1990s / by Anne M. Stoline and Jonathan P. Weiner ; with Gail Geller and Eric K. Gorovitz.</t>
  </si>
  <si>
    <t>Stoline, Anne, 1961-</t>
  </si>
  <si>
    <t>Baltimore : Johns Hopkins University Press, c1993.</t>
  </si>
  <si>
    <t>Rev. and updated ed.</t>
  </si>
  <si>
    <t>1993-11-10</t>
  </si>
  <si>
    <t>4648463202:eng</t>
  </si>
  <si>
    <t>27218099</t>
  </si>
  <si>
    <t>991000546209702656</t>
  </si>
  <si>
    <t>2265144630002656</t>
  </si>
  <si>
    <t>9780801845826</t>
  </si>
  <si>
    <t>30001002670422</t>
  </si>
  <si>
    <t>893555701</t>
  </si>
  <si>
    <t>W 74 T256 1982</t>
  </si>
  <si>
    <t>0                      W  0074000T  256         1982</t>
  </si>
  <si>
    <t>Technology and the future of health care / edited by John B. McKinlay.</t>
  </si>
  <si>
    <t>Cambridge, Mass. : MIT Press, c1982.</t>
  </si>
  <si>
    <t>29666926:eng</t>
  </si>
  <si>
    <t>7732797</t>
  </si>
  <si>
    <t>991001543969702656</t>
  </si>
  <si>
    <t>2270035900002656</t>
  </si>
  <si>
    <t>9780262131834</t>
  </si>
  <si>
    <t>30001000636375</t>
  </si>
  <si>
    <t>893826852</t>
  </si>
  <si>
    <t>W 76 D614 1982</t>
  </si>
  <si>
    <t>0                      W  0076000D  614         1982</t>
  </si>
  <si>
    <t>Distribution of physicians by school, state and country of graduation and activitiy as of December 31, 1979 / prepared for AMA Section on Medical Schools ; prepared by Catherine M. Bidsee.</t>
  </si>
  <si>
    <t>[Chicago] : American Medical Association, Division of Survey and Data Resources, 1982.</t>
  </si>
  <si>
    <t>1991-06-28</t>
  </si>
  <si>
    <t>4088798272:eng</t>
  </si>
  <si>
    <t>8957949</t>
  </si>
  <si>
    <t>991000942439702656</t>
  </si>
  <si>
    <t>2266356230002656</t>
  </si>
  <si>
    <t>30001002192922</t>
  </si>
  <si>
    <t>893455304</t>
  </si>
  <si>
    <t>W 76 E24p 1982</t>
  </si>
  <si>
    <t>0                      W  0076000E  24p         1982</t>
  </si>
  <si>
    <t>Program of institutional research and education grants / Educational Commission for Foreign Medical Graduates.</t>
  </si>
  <si>
    <t>1988-01-23</t>
  </si>
  <si>
    <t>43369931:eng</t>
  </si>
  <si>
    <t>9182425</t>
  </si>
  <si>
    <t>991001472189702656</t>
  </si>
  <si>
    <t>2257883730002656</t>
  </si>
  <si>
    <t>30001000559155</t>
  </si>
  <si>
    <t>893134607</t>
  </si>
  <si>
    <t>W 76 E34m 1986</t>
  </si>
  <si>
    <t>0                      W  0076000E  34m         1986</t>
  </si>
  <si>
    <t>Medical school alumni / Mary Ann Eiler, Thomas J. Pasko, Myron Max, Department of Data Release Services, Division of Survey and Data Resources.</t>
  </si>
  <si>
    <t>Eiler, Mary Ann.</t>
  </si>
  <si>
    <t>Chicago : American Medical Association, c1986.</t>
  </si>
  <si>
    <t>1986 ed.</t>
  </si>
  <si>
    <t>2864118155:eng</t>
  </si>
  <si>
    <t>20453927</t>
  </si>
  <si>
    <t>991001286709702656</t>
  </si>
  <si>
    <t>22101747230002656</t>
  </si>
  <si>
    <t>9780899702247</t>
  </si>
  <si>
    <t>30001000388191</t>
  </si>
  <si>
    <t>893821096</t>
  </si>
  <si>
    <t>W 76 E71p 1985</t>
  </si>
  <si>
    <t>0                      W  0076000E  71p         1985</t>
  </si>
  <si>
    <t>Physician location and specialty choice / Richard L. Ernst, Donald E. Yett.</t>
  </si>
  <si>
    <t>Ernst, Richard L., Ph. D.</t>
  </si>
  <si>
    <t>Ann Arbor, Mich. : Health Administration Press, 1985.</t>
  </si>
  <si>
    <t>4380096:eng</t>
  </si>
  <si>
    <t>11812447</t>
  </si>
  <si>
    <t>991001544189702656</t>
  </si>
  <si>
    <t>2255092730002656</t>
  </si>
  <si>
    <t>9780910701037</t>
  </si>
  <si>
    <t>30001000636904</t>
  </si>
  <si>
    <t>893374711</t>
  </si>
  <si>
    <t>W 76 H224p 1992</t>
  </si>
  <si>
    <t>0                      W  0076000H  224p        1992</t>
  </si>
  <si>
    <t>Private choices, social costs, and public policy : an economic analysis of public health issues / Nancy Hammerle.</t>
  </si>
  <si>
    <t>Hammerle, Nancy.</t>
  </si>
  <si>
    <t>Westport, Conn. : Praeger, c1992.</t>
  </si>
  <si>
    <t>1996-10-07</t>
  </si>
  <si>
    <t>1992-12-21</t>
  </si>
  <si>
    <t>435078975:eng</t>
  </si>
  <si>
    <t>25281648</t>
  </si>
  <si>
    <t>991001349729702656</t>
  </si>
  <si>
    <t>2256032550002656</t>
  </si>
  <si>
    <t>9780275941727</t>
  </si>
  <si>
    <t>30001002459040</t>
  </si>
  <si>
    <t>893284722</t>
  </si>
  <si>
    <t>W 76 H4345 1994</t>
  </si>
  <si>
    <t>0                      W  0076000H  4345        1994</t>
  </si>
  <si>
    <t>Health workforce issues for the 21st century / Paul F. Larson, Marian Osterweis, Elaine R. Rubin, editors.</t>
  </si>
  <si>
    <t>Washington, DC : Association of Academic Health Centers, c1994.</t>
  </si>
  <si>
    <t>Health policy annual, 1056-2389 ; 4</t>
  </si>
  <si>
    <t>1994-10-17</t>
  </si>
  <si>
    <t>32082530:eng</t>
  </si>
  <si>
    <t>30359168</t>
  </si>
  <si>
    <t>991000681129702656</t>
  </si>
  <si>
    <t>2256997350002656</t>
  </si>
  <si>
    <t>9781879694088</t>
  </si>
  <si>
    <t>30001002697573</t>
  </si>
  <si>
    <t>893120007</t>
  </si>
  <si>
    <t>W 76 I59a 1991</t>
  </si>
  <si>
    <t>0                      W  0076000I  59a         1991</t>
  </si>
  <si>
    <t>Addressing the physician shortage in occupational and environmental medicine : report of a study / Subcommittee on Physician Shortage, Committee on Enhancing the Practice of Occupational and Environmental Medicine, Division of Health Promotion and Disease Prevention, Institute of Medicine.</t>
  </si>
  <si>
    <t>Institute of Medicine (U.S.). Committee on Enhancing the Practice of Occupational and Environmental Medicine. Subcommittee on Physician Shortage.</t>
  </si>
  <si>
    <t>Washington, D.C. : National Academy of Sciences, 1991.</t>
  </si>
  <si>
    <t>Publication ; no. IOM 91-03</t>
  </si>
  <si>
    <t>3373017962:eng</t>
  </si>
  <si>
    <t>26634595</t>
  </si>
  <si>
    <t>991001299139702656</t>
  </si>
  <si>
    <t>2262999290002656</t>
  </si>
  <si>
    <t>30001002411199</t>
  </si>
  <si>
    <t>893161871</t>
  </si>
  <si>
    <t>W 76 N397 2003</t>
  </si>
  <si>
    <t>0                      W  0076000N  397         2003</t>
  </si>
  <si>
    <t>Neighborhoods and health / edited by Ichiro Kawachi, Lisa F. Berkman.</t>
  </si>
  <si>
    <t>2005-05-10</t>
  </si>
  <si>
    <t>1036996937:eng</t>
  </si>
  <si>
    <t>50199084</t>
  </si>
  <si>
    <t>991000392279702656</t>
  </si>
  <si>
    <t>2271293120002656</t>
  </si>
  <si>
    <t>9780195138382</t>
  </si>
  <si>
    <t>30001004840924</t>
  </si>
  <si>
    <t>893633854</t>
  </si>
  <si>
    <t>W76 P578 2001</t>
  </si>
  <si>
    <t>0                      W  0076000P  578         2001</t>
  </si>
  <si>
    <t>Physician socioeconomic statistics, 2000-2002 edition : profiles for detailed specialities, selected states, and practice arrangements / edited by John D. Wassenaar, Sara L. Thran.</t>
  </si>
  <si>
    <t>Chicago, IL : American Medical Association, Center for Health Policy Research, c2001</t>
  </si>
  <si>
    <t>2000-2002 edition</t>
  </si>
  <si>
    <t>2010-04-09</t>
  </si>
  <si>
    <t>2002-07-10</t>
  </si>
  <si>
    <t>10368286458:eng</t>
  </si>
  <si>
    <t>45803632</t>
  </si>
  <si>
    <t>991000324479702656</t>
  </si>
  <si>
    <t>2259757710002656</t>
  </si>
  <si>
    <t>9781579470883</t>
  </si>
  <si>
    <t>30001004442739</t>
  </si>
  <si>
    <t>893354205</t>
  </si>
  <si>
    <t>W 76 P578 2003</t>
  </si>
  <si>
    <t>0                      W  0076000P  578         2003</t>
  </si>
  <si>
    <t>Physician socioeconomic statistics : profiles for detailed specialities, selected states, and practice arrangements / edited by John D. Wassenaar, Sara L. Thran.</t>
  </si>
  <si>
    <t>Chicago, IL : AMA Press, 2003.</t>
  </si>
  <si>
    <t>2003 ed.</t>
  </si>
  <si>
    <t>2005-05-27</t>
  </si>
  <si>
    <t>9132367:eng</t>
  </si>
  <si>
    <t>52110493</t>
  </si>
  <si>
    <t>991000378329702656</t>
  </si>
  <si>
    <t>22101747220002656</t>
  </si>
  <si>
    <t>9781579473549</t>
  </si>
  <si>
    <t>30001004840080</t>
  </si>
  <si>
    <t>893822105</t>
  </si>
  <si>
    <t>W 76 P5782 1993</t>
  </si>
  <si>
    <t>0                      W  0076000P  5782        1993</t>
  </si>
  <si>
    <t>Physician data by country, 1993 / Lillian Randolph.</t>
  </si>
  <si>
    <t>Chicago : Dept. of Physician Data Services, Division of Survey &amp; Data Resources, American Medical Association, c1993.</t>
  </si>
  <si>
    <t>1993-12-20</t>
  </si>
  <si>
    <t>1993-10-25</t>
  </si>
  <si>
    <t>31545418:eng</t>
  </si>
  <si>
    <t>29527423</t>
  </si>
  <si>
    <t>991000546479702656</t>
  </si>
  <si>
    <t>2270878230002656</t>
  </si>
  <si>
    <t>9780899705552</t>
  </si>
  <si>
    <t>30001002670489</t>
  </si>
  <si>
    <t>893559838</t>
  </si>
  <si>
    <t>30001002670448</t>
  </si>
  <si>
    <t>893559837</t>
  </si>
  <si>
    <t>W76 P5782 2003</t>
  </si>
  <si>
    <t>0                      W  0076000P  5782        2003</t>
  </si>
  <si>
    <t>Physician compensation and production survey : 2004 report based on 2003 data / Medical Group Management Association, Survey Operations Department.</t>
  </si>
  <si>
    <t>[Englewood, Colo.] : MGMA, c2004.</t>
  </si>
  <si>
    <t>2008-05-06</t>
  </si>
  <si>
    <t>2008-02-14</t>
  </si>
  <si>
    <t>2258098525:eng</t>
  </si>
  <si>
    <t>56937638</t>
  </si>
  <si>
    <t>991000033259702656</t>
  </si>
  <si>
    <t>2256227960002656</t>
  </si>
  <si>
    <t>9781568290720</t>
  </si>
  <si>
    <t>30001004913168</t>
  </si>
  <si>
    <t>893827169</t>
  </si>
  <si>
    <t>W76 P57867 1990</t>
  </si>
  <si>
    <t>0                      W  0076000P  57867       1990</t>
  </si>
  <si>
    <t>Physician marketplace statistics 1990 : profiles for detailed specialties, selected states and practice arrangements.</t>
  </si>
  <si>
    <t>Chicago, Ill. : American Medical Association, c1990.</t>
  </si>
  <si>
    <t>1992-12-19</t>
  </si>
  <si>
    <t>1990-08-21</t>
  </si>
  <si>
    <t>3856663657:eng</t>
  </si>
  <si>
    <t>23129375</t>
  </si>
  <si>
    <t>991001453939702656</t>
  </si>
  <si>
    <t>2262870630002656</t>
  </si>
  <si>
    <t>9780899703824</t>
  </si>
  <si>
    <t>30001001884255</t>
  </si>
  <si>
    <t>893821230</t>
  </si>
  <si>
    <t>W76 P57867 1991</t>
  </si>
  <si>
    <t>0                      W  0076000P  57867       1991</t>
  </si>
  <si>
    <t>Physician marketplace statistics 1991 : profiles for detailed specialities, selected states, and practice arrangements / edited by Martin L. Gonzalez.</t>
  </si>
  <si>
    <t>28416889:eng</t>
  </si>
  <si>
    <t>25649066</t>
  </si>
  <si>
    <t>991001306189702656</t>
  </si>
  <si>
    <t>2268182040002656</t>
  </si>
  <si>
    <t>9780899704180</t>
  </si>
  <si>
    <t>30001002413880</t>
  </si>
  <si>
    <t>893465395</t>
  </si>
  <si>
    <t>W76 P57867 1994</t>
  </si>
  <si>
    <t>0                      W  0076000P  57867       1994</t>
  </si>
  <si>
    <t>Physician marketplace statistics 1994 : profiles for detailed specialties, selected states, and practice arrangements / edited by Martin L. Gonzalez.</t>
  </si>
  <si>
    <t>Chicago, Ill. : American Medical Association, c1994.</t>
  </si>
  <si>
    <t>15035862:eng</t>
  </si>
  <si>
    <t>31991543</t>
  </si>
  <si>
    <t>991001397709702656</t>
  </si>
  <si>
    <t>2269817100002656</t>
  </si>
  <si>
    <t>9780899706764</t>
  </si>
  <si>
    <t>30001003146604</t>
  </si>
  <si>
    <t>893168160</t>
  </si>
  <si>
    <t>W76 P57867 1995</t>
  </si>
  <si>
    <t>0                      W  0076000P  57867       1995</t>
  </si>
  <si>
    <t>Physician marketplace statistics 1995 : profiles for detailed specialties, selected states, and practice arrangements / edited by Martin L. Gonzalez.</t>
  </si>
  <si>
    <t>Chicago, Ill. : American Medical Association, c1995.</t>
  </si>
  <si>
    <t>38748593:eng</t>
  </si>
  <si>
    <t>34104056</t>
  </si>
  <si>
    <t>991001504949702656</t>
  </si>
  <si>
    <t>2267484770002656</t>
  </si>
  <si>
    <t>9780899707365</t>
  </si>
  <si>
    <t>30001003263953</t>
  </si>
  <si>
    <t>893364209</t>
  </si>
  <si>
    <t>W76 P57867 1998</t>
  </si>
  <si>
    <t>0                      W  0076000P  57867       1998</t>
  </si>
  <si>
    <t>Physician marketplace statistics 1997/98 : profiles for detailed specialties, selected states, and practice arrangements / edited by Martin L. Gonzalez, Puling Zhang.</t>
  </si>
  <si>
    <t>Chicago, Ill. : Center for Health Policy Research, c1998.</t>
  </si>
  <si>
    <t>652768:eng</t>
  </si>
  <si>
    <t>38508600</t>
  </si>
  <si>
    <t>991001483209702656</t>
  </si>
  <si>
    <t>2269208510002656</t>
  </si>
  <si>
    <t>9780899709116</t>
  </si>
  <si>
    <t>30001003912039</t>
  </si>
  <si>
    <t>893364178</t>
  </si>
  <si>
    <t>W 76 S518 1985</t>
  </si>
  <si>
    <t>0                      W  0076000S  518         1985</t>
  </si>
  <si>
    <t>Sex and status : hierarchies in the health workforce / Irene Butter ... [et al.].</t>
  </si>
  <si>
    <t>Washington, D.C. : American Public Health Association, [1985].</t>
  </si>
  <si>
    <t>Public health policy series</t>
  </si>
  <si>
    <t>1993-11-12</t>
  </si>
  <si>
    <t>1993-09-22</t>
  </si>
  <si>
    <t>1017785379:eng</t>
  </si>
  <si>
    <t>12582629</t>
  </si>
  <si>
    <t>991001486579702656</t>
  </si>
  <si>
    <t>2272221980002656</t>
  </si>
  <si>
    <t>9780875531342</t>
  </si>
  <si>
    <t>30001002579243</t>
  </si>
  <si>
    <t>893741188</t>
  </si>
  <si>
    <t>W 76 U58s 1990</t>
  </si>
  <si>
    <t>0                      W  0076000U  58s         1990</t>
  </si>
  <si>
    <t>Seventh report to the President and Congress on the status of health personnel in the United States.</t>
  </si>
  <si>
    <t>United States. Health Resources and Services Administration. Bureau of Health Professions.</t>
  </si>
  <si>
    <t>[Rockville, Md.] : U.S. Dept. of Health &amp; Human Services, Public Health Service, Health Resources and Services Administration, Bureau of Health Professions ; Springfield, VA : Available through NTIS, [1990]</t>
  </si>
  <si>
    <t>DHHS publication ; no. HRS-P-OD-90-1</t>
  </si>
  <si>
    <t>23898069:eng</t>
  </si>
  <si>
    <t>21946566</t>
  </si>
  <si>
    <t>991000769079702656</t>
  </si>
  <si>
    <t>2259612750002656</t>
  </si>
  <si>
    <t>30001002061689</t>
  </si>
  <si>
    <t>893167697</t>
  </si>
  <si>
    <t>W 79 P578 1999</t>
  </si>
  <si>
    <t>0                      W  0079000P  578         1999</t>
  </si>
  <si>
    <t>Physician Compensation Systems / Kay Stanley, Project Manager/Editor.</t>
  </si>
  <si>
    <t>Norcross, GA : Coker Pub., LLC, 1999.</t>
  </si>
  <si>
    <t>gau</t>
  </si>
  <si>
    <t>2005-09-09</t>
  </si>
  <si>
    <t>23408159:eng</t>
  </si>
  <si>
    <t>40101687</t>
  </si>
  <si>
    <t>991000381679702656</t>
  </si>
  <si>
    <t>2255453430002656</t>
  </si>
  <si>
    <t>9780899709109</t>
  </si>
  <si>
    <t>30001004841179</t>
  </si>
  <si>
    <t>893269420</t>
  </si>
  <si>
    <t>W79 Y45e 1998</t>
  </si>
  <si>
    <t>0                      W  0079000Y  45e         1998</t>
  </si>
  <si>
    <t>Evaluating and negotiating your compensation arrangements : understanding the process and ensuring your future /[author, Sharon L. Yenney].</t>
  </si>
  <si>
    <t>652756:eng</t>
  </si>
  <si>
    <t>40120975</t>
  </si>
  <si>
    <t>991000324319702656</t>
  </si>
  <si>
    <t>2264496470002656</t>
  </si>
  <si>
    <t>9780899708942</t>
  </si>
  <si>
    <t>30001004442705</t>
  </si>
  <si>
    <t>893456559</t>
  </si>
  <si>
    <t>W 80 B347m 2000</t>
  </si>
  <si>
    <t>0                      W  0080000B  347m        2000</t>
  </si>
  <si>
    <t>Marketing your clinical practice : ethically, effectively, economically / Neil Baum, Gretchen Henkel.</t>
  </si>
  <si>
    <t>Baum, Neil, 1943-</t>
  </si>
  <si>
    <t>2005-01-14</t>
  </si>
  <si>
    <t>758401:eng</t>
  </si>
  <si>
    <t>42969546</t>
  </si>
  <si>
    <t>991000379819702656</t>
  </si>
  <si>
    <t>2266513300002656</t>
  </si>
  <si>
    <t>9780834217454</t>
  </si>
  <si>
    <t>30001004219988</t>
  </si>
  <si>
    <t>893633844</t>
  </si>
  <si>
    <t>W 80 B799t 1997</t>
  </si>
  <si>
    <t>0                      W  0080000B  799t        1997</t>
  </si>
  <si>
    <t>The total service medical practice : 17 steps to satisfying your internal and external customers / Vicky Bradford.</t>
  </si>
  <si>
    <t>Bradford, Vicky.</t>
  </si>
  <si>
    <t>Chicago : Irwin Professional Pub., c1997.</t>
  </si>
  <si>
    <t>1998-04-28</t>
  </si>
  <si>
    <t>1998-03-20</t>
  </si>
  <si>
    <t>35267276:eng</t>
  </si>
  <si>
    <t>35627589</t>
  </si>
  <si>
    <t>991001294429702656</t>
  </si>
  <si>
    <t>2264667880002656</t>
  </si>
  <si>
    <t>9781557386458</t>
  </si>
  <si>
    <t>30001003740372</t>
  </si>
  <si>
    <t>893560962</t>
  </si>
  <si>
    <t>W80 B944p 2005</t>
  </si>
  <si>
    <t>0                      W  0080000B  944p        2005</t>
  </si>
  <si>
    <t>The primary care provider's guide to compensation and quality : how to get paid and not get sued / Carolyn Buppert.</t>
  </si>
  <si>
    <t>Buppert, Carolyn.</t>
  </si>
  <si>
    <t>Sudbury, Mass. : Jones and Bartlett, c2005.</t>
  </si>
  <si>
    <t>2006-02-01</t>
  </si>
  <si>
    <t>758341:eng</t>
  </si>
  <si>
    <t>57202215</t>
  </si>
  <si>
    <t>991000461379702656</t>
  </si>
  <si>
    <t>2267960290002656</t>
  </si>
  <si>
    <t>9780763729585</t>
  </si>
  <si>
    <t>30001004915254</t>
  </si>
  <si>
    <t>893629283</t>
  </si>
  <si>
    <t>W 80 B9787 2004</t>
  </si>
  <si>
    <t>0                      W  0080000B  9787        2004</t>
  </si>
  <si>
    <t>Business of medical practice : advanced profit maximization techniques for savvy doctors / David Edward Marcinko, editor.</t>
  </si>
  <si>
    <t>New York, NY : Springer Pub., c2004.</t>
  </si>
  <si>
    <t>2008-05-03</t>
  </si>
  <si>
    <t>1076460335:eng</t>
  </si>
  <si>
    <t>54989193</t>
  </si>
  <si>
    <t>991000394179702656</t>
  </si>
  <si>
    <t>2264335440002656</t>
  </si>
  <si>
    <t>9780826123756</t>
  </si>
  <si>
    <t>30001004978518</t>
  </si>
  <si>
    <t>893832791</t>
  </si>
  <si>
    <t>W 80 C486 1999</t>
  </si>
  <si>
    <t>0                      W  0080000C  486         1999</t>
  </si>
  <si>
    <t>Chart of accounts for health care organizations / [edited by Neill F. Piland and Kathryn P. Glass].</t>
  </si>
  <si>
    <t>Englewood, CO : Center for Research in Ambulatory Health Care Administration, c1999.</t>
  </si>
  <si>
    <t>1086284:eng</t>
  </si>
  <si>
    <t>43185290</t>
  </si>
  <si>
    <t>991000358339702656</t>
  </si>
  <si>
    <t>2271069050002656</t>
  </si>
  <si>
    <t>9781568290232</t>
  </si>
  <si>
    <t>30001004217917</t>
  </si>
  <si>
    <t>893537108</t>
  </si>
  <si>
    <t>W 80 E36d 1986</t>
  </si>
  <si>
    <t>0                      W  0080000E  36d         1986</t>
  </si>
  <si>
    <t>Doctors' decisions and the cost of medical care : the reasons for doctors' practice patterns and ways to change them / John M. Eisenberg.</t>
  </si>
  <si>
    <t>Eisenberg, John M. (John Meyer), 1946-2002.</t>
  </si>
  <si>
    <t>Ann Arbor, Mich. : Health Administration Press Perspectives, c1986.</t>
  </si>
  <si>
    <t>1995-04-14</t>
  </si>
  <si>
    <t>1070461718:eng</t>
  </si>
  <si>
    <t>13762209</t>
  </si>
  <si>
    <t>991001244559702656</t>
  </si>
  <si>
    <t>2267058240002656</t>
  </si>
  <si>
    <t>9780910701143</t>
  </si>
  <si>
    <t>30001001676669</t>
  </si>
  <si>
    <t>893643363</t>
  </si>
  <si>
    <t>W 80 F852o 1981</t>
  </si>
  <si>
    <t>0                      W  0080000F  852o        1981</t>
  </si>
  <si>
    <t>The medical office assistant : administrative and clinical / Portia M. Frederick, Mary E. Kinn.</t>
  </si>
  <si>
    <t>Frederick, Portia M.</t>
  </si>
  <si>
    <t>1987-12-21</t>
  </si>
  <si>
    <t>5851190:eng</t>
  </si>
  <si>
    <t>7173843</t>
  </si>
  <si>
    <t>991001544589702656</t>
  </si>
  <si>
    <t>2272043200002656</t>
  </si>
  <si>
    <t>9780721638638</t>
  </si>
  <si>
    <t>30001000637043</t>
  </si>
  <si>
    <t>893287472</t>
  </si>
  <si>
    <t>W 80 G174h 1984</t>
  </si>
  <si>
    <t>0                      W  0080000G  174h        1984</t>
  </si>
  <si>
    <t>Hospital unit secretary / Margaret A. Galloway.</t>
  </si>
  <si>
    <t>Galloway, Margaret A., 1924-</t>
  </si>
  <si>
    <t>Bowie, MD : Brady, c1984.</t>
  </si>
  <si>
    <t>1995-08-23</t>
  </si>
  <si>
    <t>3041987:eng</t>
  </si>
  <si>
    <t>10072264</t>
  </si>
  <si>
    <t>991001544549702656</t>
  </si>
  <si>
    <t>2264988640002656</t>
  </si>
  <si>
    <t>30001000637050</t>
  </si>
  <si>
    <t>893643685</t>
  </si>
  <si>
    <t>W 80 H470L 2000</t>
  </si>
  <si>
    <t>0                      W  0080000H  470L        2000</t>
  </si>
  <si>
    <t>Looking for the cashcow : action steps to improve cash flow in medical group practices / Thomas G. Hajny ; edited by Kerstin B. Lynam.</t>
  </si>
  <si>
    <t>Hajny, Thomas G.</t>
  </si>
  <si>
    <t>Englewood, CO : MGMA Center for Research, c2000.</t>
  </si>
  <si>
    <t>2003-10-28</t>
  </si>
  <si>
    <t>1086283:eng</t>
  </si>
  <si>
    <t>45798879</t>
  </si>
  <si>
    <t>991000359259702656</t>
  </si>
  <si>
    <t>2258626870002656</t>
  </si>
  <si>
    <t>9781568290225</t>
  </si>
  <si>
    <t>30001004218030</t>
  </si>
  <si>
    <t>893370410</t>
  </si>
  <si>
    <t>W 80 H473b 1997</t>
  </si>
  <si>
    <t>0                      W  0080000H  473b        1997</t>
  </si>
  <si>
    <t>Buying, selling &amp; merging a medical practice : proven valuation and negotiation strategies / Kenneth M. Hekman.</t>
  </si>
  <si>
    <t>Hekman, Kenneth M.</t>
  </si>
  <si>
    <t>[The HFMA healthcare financial management series]</t>
  </si>
  <si>
    <t>2007-11-28</t>
  </si>
  <si>
    <t>1999-02-08</t>
  </si>
  <si>
    <t>908935756:eng</t>
  </si>
  <si>
    <t>34515615</t>
  </si>
  <si>
    <t>991000875759702656</t>
  </si>
  <si>
    <t>2272016900002656</t>
  </si>
  <si>
    <t>9780786308156</t>
  </si>
  <si>
    <t>30001004159218</t>
  </si>
  <si>
    <t>893560728</t>
  </si>
  <si>
    <t>W 80 H838 1998</t>
  </si>
  <si>
    <t>0                      W  0080000H  838         1998</t>
  </si>
  <si>
    <t>Developing a managed care business plan / by Douglas E. Hough and James E. Bolinger.</t>
  </si>
  <si>
    <t>Hough, Douglas E.</t>
  </si>
  <si>
    <t>652729:eng</t>
  </si>
  <si>
    <t>38589753</t>
  </si>
  <si>
    <t>991000381599702656</t>
  </si>
  <si>
    <t>2261596590002656</t>
  </si>
  <si>
    <t>9780899708706</t>
  </si>
  <si>
    <t>30001004841195</t>
  </si>
  <si>
    <t>893732824</t>
  </si>
  <si>
    <t>W 80 M122 1999</t>
  </si>
  <si>
    <t>0                      W  0080000M  122         1999</t>
  </si>
  <si>
    <t>Economic security for healthcare providers : managing your finances for professional &amp; personal prosperity / John F. McCally and Paul A. Wilkus.</t>
  </si>
  <si>
    <t>McCally, John F.</t>
  </si>
  <si>
    <t>New York : McGraw-Hill, 1999.</t>
  </si>
  <si>
    <t>3192214:eng</t>
  </si>
  <si>
    <t>40159103</t>
  </si>
  <si>
    <t>991000396019702656</t>
  </si>
  <si>
    <t>2261452780002656</t>
  </si>
  <si>
    <t>9780070453586</t>
  </si>
  <si>
    <t>30001004979029</t>
  </si>
  <si>
    <t>893537144</t>
  </si>
  <si>
    <t>W 80 M478 2002</t>
  </si>
  <si>
    <t>0                      W  0080000M  478         2002</t>
  </si>
  <si>
    <t>MBA handbook for healthcare professionals / edited by Joseph S. Sanfilippo, Thomas E. Nolan, Bates H. Whiteside.</t>
  </si>
  <si>
    <t>Boca Raton : Parthenon Pub. Group, c2002.</t>
  </si>
  <si>
    <t>4495162190:eng</t>
  </si>
  <si>
    <t>47923430</t>
  </si>
  <si>
    <t>991000378839702656</t>
  </si>
  <si>
    <t>2265735670002656</t>
  </si>
  <si>
    <t>9781842140741</t>
  </si>
  <si>
    <t>30001004219681</t>
  </si>
  <si>
    <t>893354256</t>
  </si>
  <si>
    <t>W 80 M48845 2001</t>
  </si>
  <si>
    <t>0                      W  0080000M  48845       2001</t>
  </si>
  <si>
    <t>Medical practice divorce : successfully managing a medical business breakup / Joel M. Blau ... [et al.].</t>
  </si>
  <si>
    <t>[Chicago, Ill.] : AMA Press, c2001.</t>
  </si>
  <si>
    <t>37023806:eng</t>
  </si>
  <si>
    <t>47966707</t>
  </si>
  <si>
    <t>991000359219702656</t>
  </si>
  <si>
    <t>2269598680002656</t>
  </si>
  <si>
    <t>9780899709901</t>
  </si>
  <si>
    <t>30001004218113</t>
  </si>
  <si>
    <t>893827421</t>
  </si>
  <si>
    <t>W 80 M4917 2001</t>
  </si>
  <si>
    <t>0                      W  0080000M  4917        2001</t>
  </si>
  <si>
    <t>Medicine and business : bridging the gap / edited by Sheldon Rovin.</t>
  </si>
  <si>
    <t>Gaithersburg, Md. : Aspen Publishers, 2001.</t>
  </si>
  <si>
    <t>33615765:eng</t>
  </si>
  <si>
    <t>44040393</t>
  </si>
  <si>
    <t>991000358939702656</t>
  </si>
  <si>
    <t>2256530630002656</t>
  </si>
  <si>
    <t>9780834216129</t>
  </si>
  <si>
    <t>30001004218162</t>
  </si>
  <si>
    <t>893375485</t>
  </si>
  <si>
    <t>W 80 O12c 1987</t>
  </si>
  <si>
    <t>0                      W  0080000O  12c         1987</t>
  </si>
  <si>
    <t>Computers in private practice management / Byron B. Oberst, John M. Long ; with a foreword by Marion J. Ball.</t>
  </si>
  <si>
    <t>Oberst, Byron B.</t>
  </si>
  <si>
    <t>1988-11-03</t>
  </si>
  <si>
    <t>1988-10-25</t>
  </si>
  <si>
    <t>10196783:eng</t>
  </si>
  <si>
    <t>15520617</t>
  </si>
  <si>
    <t>991001425869702656</t>
  </si>
  <si>
    <t>2265189890002656</t>
  </si>
  <si>
    <t>9780387965024</t>
  </si>
  <si>
    <t>30001001184375</t>
  </si>
  <si>
    <t>893465512</t>
  </si>
  <si>
    <t>W 80 P578 1980</t>
  </si>
  <si>
    <t>0                      W  0080000P  578         1980</t>
  </si>
  <si>
    <t>The Physician's practice / [edited by] John M. Eisenberg, Sankey V. Williams, Ellen S. Smith, coordinating editor.</t>
  </si>
  <si>
    <t>New York : Wiley, c1980.</t>
  </si>
  <si>
    <t>2001-06-13</t>
  </si>
  <si>
    <t>54371348:eng</t>
  </si>
  <si>
    <t>6196531</t>
  </si>
  <si>
    <t>991000654979702656</t>
  </si>
  <si>
    <t>2264314230002656</t>
  </si>
  <si>
    <t>9780471054696</t>
  </si>
  <si>
    <t>30001000687741</t>
  </si>
  <si>
    <t>893560379</t>
  </si>
  <si>
    <t>W 80 R332a 2000</t>
  </si>
  <si>
    <t>0                      W  0080000R  332a        2000</t>
  </si>
  <si>
    <t>Assessing and improving staffing and organization / prepared for the American Medical Association by Crystal S. Reeves.</t>
  </si>
  <si>
    <t>Chicago : AMA Press, c2000.</t>
  </si>
  <si>
    <t>2007-04-13</t>
  </si>
  <si>
    <t>34562527:eng</t>
  </si>
  <si>
    <t>45404300</t>
  </si>
  <si>
    <t>991000379699702656</t>
  </si>
  <si>
    <t>2265235550002656</t>
  </si>
  <si>
    <t>9781579470807</t>
  </si>
  <si>
    <t>30001004840098</t>
  </si>
  <si>
    <t>893629183</t>
  </si>
  <si>
    <t>W 80 R431m 1980</t>
  </si>
  <si>
    <t>0                      W  0080000R  431m        1980</t>
  </si>
  <si>
    <t>The medical office : organization and management / Elaine M. Reschke.</t>
  </si>
  <si>
    <t>Reschke, Elaine M., 1931-</t>
  </si>
  <si>
    <t>Hagerstown, Md. : Harper &amp; Row, 1980.</t>
  </si>
  <si>
    <t>2d ed.</t>
  </si>
  <si>
    <t>2067552:eng</t>
  </si>
  <si>
    <t>6379013</t>
  </si>
  <si>
    <t>991000655079702656</t>
  </si>
  <si>
    <t>2267897730002656</t>
  </si>
  <si>
    <t>30001000687758</t>
  </si>
  <si>
    <t>893730851</t>
  </si>
  <si>
    <t>W 80 S313s 1988</t>
  </si>
  <si>
    <t>0                      W  0080000S  313s        1988</t>
  </si>
  <si>
    <t>Selling or buying a medical practice / Gary R. Schaub.</t>
  </si>
  <si>
    <t>Schaub, Gary R.</t>
  </si>
  <si>
    <t>Oradell, N.J. : Medical Economics Books, c1988.</t>
  </si>
  <si>
    <t>1989-07-14</t>
  </si>
  <si>
    <t>17099001:eng</t>
  </si>
  <si>
    <t>18191844</t>
  </si>
  <si>
    <t>991001311079702656</t>
  </si>
  <si>
    <t>2265368540002656</t>
  </si>
  <si>
    <t>9780874894875</t>
  </si>
  <si>
    <t>30001001750845</t>
  </si>
  <si>
    <t>893363954</t>
  </si>
  <si>
    <t>W 80 T258a 2000</t>
  </si>
  <si>
    <t>0                      W  0080000T  258a        2000</t>
  </si>
  <si>
    <t>Assessing and improving billing and collections / prepared for the American Medical Association ; Cam McClellan Teems ; the Coker Group.</t>
  </si>
  <si>
    <t>Teems, Cam McClellan.</t>
  </si>
  <si>
    <t>34644247:eng</t>
  </si>
  <si>
    <t>45266022</t>
  </si>
  <si>
    <t>991000358139702656</t>
  </si>
  <si>
    <t>2268557240002656</t>
  </si>
  <si>
    <t>9781579470784</t>
  </si>
  <si>
    <t>30001004218071</t>
  </si>
  <si>
    <t>893370408</t>
  </si>
  <si>
    <t>W80 W181i 2005</t>
  </si>
  <si>
    <t>0                      W  0080000W  181i        2005</t>
  </si>
  <si>
    <t>Implementing an electronic health record system / James M. Walker, Eric J. Bieber, Frank Richards, editors ; with the collaboration of Sandra A. Buckley.</t>
  </si>
  <si>
    <t>Walker, James M., M.D.</t>
  </si>
  <si>
    <t>London : Springer, c2005.</t>
  </si>
  <si>
    <t>860489722:eng</t>
  </si>
  <si>
    <t>55067876</t>
  </si>
  <si>
    <t>991000462499702656</t>
  </si>
  <si>
    <t>2264975130002656</t>
  </si>
  <si>
    <t>9781852338268</t>
  </si>
  <si>
    <t>30001004913333</t>
  </si>
  <si>
    <t>893275060</t>
  </si>
  <si>
    <t>W 80 Y68k 2007</t>
  </si>
  <si>
    <t>0                      W  0080000Y  68k         2007</t>
  </si>
  <si>
    <t>Kinn's the administrative medical assistant : an applied learning approach / Alexandra Patricia Young.</t>
  </si>
  <si>
    <t>Young-Adams, Alexandra Patricia.</t>
  </si>
  <si>
    <t>St. Louis, Mo. : Saunders Elsevier, c2007.</t>
  </si>
  <si>
    <t>2008-08-14</t>
  </si>
  <si>
    <t>3856125987:eng</t>
  </si>
  <si>
    <t>182912811</t>
  </si>
  <si>
    <t>991000909029702656</t>
  </si>
  <si>
    <t>2269940460002656</t>
  </si>
  <si>
    <t>9781416032014</t>
  </si>
  <si>
    <t>30001005294337</t>
  </si>
  <si>
    <t>893161461</t>
  </si>
  <si>
    <t>W82 E14i 2007</t>
  </si>
  <si>
    <t>0                      W  0082000E  14i         2007</t>
  </si>
  <si>
    <t>Innovation in medical technology : ethical issues and challenges / Margaret L. Eaton and Donald Kennedy.</t>
  </si>
  <si>
    <t>Eaton, Margaret L.</t>
  </si>
  <si>
    <t>Baltimore : Johns Hopkins University Press, 2007.</t>
  </si>
  <si>
    <t>2008-05-30</t>
  </si>
  <si>
    <t>2007-11-08</t>
  </si>
  <si>
    <t>800039959:eng</t>
  </si>
  <si>
    <t>70164452</t>
  </si>
  <si>
    <t>991000658609702656</t>
  </si>
  <si>
    <t>2267139120002656</t>
  </si>
  <si>
    <t>9780801885266</t>
  </si>
  <si>
    <t>30001005270360</t>
  </si>
  <si>
    <t>893368141</t>
  </si>
  <si>
    <t>W83 AA1 T269 2002</t>
  </si>
  <si>
    <t>0                      W  0083000AA 1                  T  269         2002</t>
  </si>
  <si>
    <t>Telephone medicine : a guide for the practicing physician / [edited by] Anna B. Reisman, David L. Stevens.</t>
  </si>
  <si>
    <t>Philadelphia : American College of Physicians, 2002.</t>
  </si>
  <si>
    <t>2004-05-27</t>
  </si>
  <si>
    <t>364632538:eng</t>
  </si>
  <si>
    <t>45618952</t>
  </si>
  <si>
    <t>991000316199702656</t>
  </si>
  <si>
    <t>2255847120002656</t>
  </si>
  <si>
    <t>9780943126876</t>
  </si>
  <si>
    <t>30001004239424</t>
  </si>
  <si>
    <t>893456553</t>
  </si>
  <si>
    <t>W 84 AA1 A235 2003</t>
  </si>
  <si>
    <t>0                      W  0084000AA 1                  A  235         2003</t>
  </si>
  <si>
    <t>Advances in health care organization theory / Stephen S. Mick, Mindy E. Wyttenbach, editors.</t>
  </si>
  <si>
    <t>San Francisco, Calif. : Jossey-Bass, 2003.</t>
  </si>
  <si>
    <t>2006-02-28</t>
  </si>
  <si>
    <t>351682224:eng</t>
  </si>
  <si>
    <t>51172043</t>
  </si>
  <si>
    <t>991000358829702656</t>
  </si>
  <si>
    <t>2263364260002656</t>
  </si>
  <si>
    <t>9780787957643</t>
  </si>
  <si>
    <t>30001004218048</t>
  </si>
  <si>
    <t>893354245</t>
  </si>
  <si>
    <t>W 84 AA1 A39L 1988</t>
  </si>
  <si>
    <t>0                      W  0084000AA 1                  A  39L         1988</t>
  </si>
  <si>
    <t>Looking ahead at American health care / Roy Amara, J. Ian Morrison, Gregory Schmid.</t>
  </si>
  <si>
    <t>Amara, Roy.</t>
  </si>
  <si>
    <t>Washington, DC : McGraw Hill Book Co., Healthcare Information Center, c1988.</t>
  </si>
  <si>
    <t>1995-04-05</t>
  </si>
  <si>
    <t>1989-05-19</t>
  </si>
  <si>
    <t>15745301:eng</t>
  </si>
  <si>
    <t>17621412</t>
  </si>
  <si>
    <t>991001248669702656</t>
  </si>
  <si>
    <t>2259242930002656</t>
  </si>
  <si>
    <t>9780070013841</t>
  </si>
  <si>
    <t>30001001678277</t>
  </si>
  <si>
    <t>893278902</t>
  </si>
  <si>
    <t>W 84 AA1 A512n 1977</t>
  </si>
  <si>
    <t>0                      W  0084000AA 1                  A  512n        1977</t>
  </si>
  <si>
    <t>A national policy for health care : principles and positions / American Nurses' Association.</t>
  </si>
  <si>
    <t>Kansas City, Mo. : The Association, c1977.</t>
  </si>
  <si>
    <t>ANA pub ; no. G-130</t>
  </si>
  <si>
    <t>2000-06-15</t>
  </si>
  <si>
    <t>20177993:eng</t>
  </si>
  <si>
    <t>5837729</t>
  </si>
  <si>
    <t>991000177369702656</t>
  </si>
  <si>
    <t>2257503470002656</t>
  </si>
  <si>
    <t>30001000602443</t>
  </si>
  <si>
    <t>893811246</t>
  </si>
  <si>
    <t>W84 AA1 B268i 2002</t>
  </si>
  <si>
    <t>0                      W  0084000AA 1                  B  268i        2002</t>
  </si>
  <si>
    <t>Introduction to U.S. health policy : the organization, financing, and delivery of health care in America / Donald A. Barr.</t>
  </si>
  <si>
    <t>Barr, Donald A.</t>
  </si>
  <si>
    <t>San Francisco : Benjamin Cummings, c2002.</t>
  </si>
  <si>
    <t>2004-03-29</t>
  </si>
  <si>
    <t>198978273:eng</t>
  </si>
  <si>
    <t>47995897</t>
  </si>
  <si>
    <t>991000321949702656</t>
  </si>
  <si>
    <t>2272164270002656</t>
  </si>
  <si>
    <t>9780205324194</t>
  </si>
  <si>
    <t>30001004443067</t>
  </si>
  <si>
    <t>893354202</t>
  </si>
  <si>
    <t>W 84 AA1 B324w 1993</t>
  </si>
  <si>
    <t>0                      W  0084000AA 1                  B  324w        1993</t>
  </si>
  <si>
    <t>Why we spend too much on health care : and what we can do about it / by Joseph L. Bast, Richard C. Rue, and Stuart A. Wesbury, Jr.</t>
  </si>
  <si>
    <t>Bast, Joseph L. (Joseph Lee), 1958-</t>
  </si>
  <si>
    <t>Chicago, Ill. : Heartland Institute, c1993.</t>
  </si>
  <si>
    <t>1993-06-15</t>
  </si>
  <si>
    <t>1808640846:eng</t>
  </si>
  <si>
    <t>27728009</t>
  </si>
  <si>
    <t>991001481449702656</t>
  </si>
  <si>
    <t>2266405850002656</t>
  </si>
  <si>
    <t>9780963202727</t>
  </si>
  <si>
    <t>30001002569848</t>
  </si>
  <si>
    <t>893816455</t>
  </si>
  <si>
    <t>W84 AA1 C386 2001</t>
  </si>
  <si>
    <t>0                      W  0084000AA 1                  C  386         2001</t>
  </si>
  <si>
    <t>Changing health care systems from ethical, economic, and cross cultural perspectives / edited by Erich H. Loewy and Roberta Springer Loewy.</t>
  </si>
  <si>
    <t>New York : Kluwer Academic / Plenum Publishers, c2001.</t>
  </si>
  <si>
    <t>2006-01-21</t>
  </si>
  <si>
    <t>2004-06-03</t>
  </si>
  <si>
    <t>864927681:eng</t>
  </si>
  <si>
    <t>46384114</t>
  </si>
  <si>
    <t>991000371149702656</t>
  </si>
  <si>
    <t>2269962230002656</t>
  </si>
  <si>
    <t>9780306465789</t>
  </si>
  <si>
    <t>30001004921187</t>
  </si>
  <si>
    <t>893461437</t>
  </si>
  <si>
    <t>W 84 AA1 C613m 1996</t>
  </si>
  <si>
    <t>0                      W  0084000AA 1                  C  613m        1996</t>
  </si>
  <si>
    <t>Making integrated health care work : case studies / by Dean C. Coddington, Cary R. Chapman, and Katherine M. Pokoski.</t>
  </si>
  <si>
    <t>Coddington, Dean C.</t>
  </si>
  <si>
    <t>Englewood, Colo. : Center for Research in Ambulatory Health Care Administration, c1996.</t>
  </si>
  <si>
    <t>1998-01-29</t>
  </si>
  <si>
    <t>2053849:eng</t>
  </si>
  <si>
    <t>34586844</t>
  </si>
  <si>
    <t>991001562369702656</t>
  </si>
  <si>
    <t>2266497480002656</t>
  </si>
  <si>
    <t>9781568290119</t>
  </si>
  <si>
    <t>30001003605013</t>
  </si>
  <si>
    <t>893541512</t>
  </si>
  <si>
    <t>W 84 AA1 C615na 2000</t>
  </si>
  <si>
    <t>0                      W  0084000AA 1                  C  615na       2000</t>
  </si>
  <si>
    <t>New century healthcare : strategies for providers, purchasers, and plans / Russell C. Coile, Jr.</t>
  </si>
  <si>
    <t>Coile, Russell C.</t>
  </si>
  <si>
    <t>Chicago : Health Administration Press, c2000.</t>
  </si>
  <si>
    <t>ACHE management series</t>
  </si>
  <si>
    <t>2008-09-21</t>
  </si>
  <si>
    <t>866847929:eng</t>
  </si>
  <si>
    <t>43569591</t>
  </si>
  <si>
    <t>991000379909702656</t>
  </si>
  <si>
    <t>2263180990002656</t>
  </si>
  <si>
    <t>9781567931235</t>
  </si>
  <si>
    <t>30001004840148</t>
  </si>
  <si>
    <t>893811450</t>
  </si>
  <si>
    <t>W 84 AA1 C62 1978</t>
  </si>
  <si>
    <t>0                      W  0084000AA 1                  C  62          1978</t>
  </si>
  <si>
    <t>Community health and medical care / edited by Anthony R. Kovner, Samuel P. Martin.</t>
  </si>
  <si>
    <t>-- New York : Grune &amp; Stratton, c1978.</t>
  </si>
  <si>
    <t>352682908:eng</t>
  </si>
  <si>
    <t>3541417</t>
  </si>
  <si>
    <t>991000655159702656</t>
  </si>
  <si>
    <t>2264310460002656</t>
  </si>
  <si>
    <t>9780808910466</t>
  </si>
  <si>
    <t>30001000687782</t>
  </si>
  <si>
    <t>893830908</t>
  </si>
  <si>
    <t>W 84 AA1 C679r 1993</t>
  </si>
  <si>
    <t>0                      W  0084000AA 1                  C  679r        1993</t>
  </si>
  <si>
    <t>Revolution / Russell C. Coile, Jr.</t>
  </si>
  <si>
    <t>Knoxville, Tenn. : Whittle Direct Books, c1993.</t>
  </si>
  <si>
    <t>1994-10-14</t>
  </si>
  <si>
    <t>1994-01-25</t>
  </si>
  <si>
    <t>32392749:eng</t>
  </si>
  <si>
    <t>29986998</t>
  </si>
  <si>
    <t>991000668059702656</t>
  </si>
  <si>
    <t>2270472630002656</t>
  </si>
  <si>
    <t>9781879736146</t>
  </si>
  <si>
    <t>30001002695296</t>
  </si>
  <si>
    <t>893743057</t>
  </si>
  <si>
    <t>W 84 AA1 C86 1990</t>
  </si>
  <si>
    <t>0                      W  0084000AA 1                  C  86          1990</t>
  </si>
  <si>
    <t>The Crisis in health care : costs, choices, and strategies / Dean C. Coddington ... [et al.].</t>
  </si>
  <si>
    <t>San Francisco : Jossey-Bass Publishers, c1990.</t>
  </si>
  <si>
    <t>The Jossey-Bass health series.</t>
  </si>
  <si>
    <t>1992-06-17</t>
  </si>
  <si>
    <t>836613532:eng</t>
  </si>
  <si>
    <t>21950416</t>
  </si>
  <si>
    <t>991000945399702656</t>
  </si>
  <si>
    <t>2270167260002656</t>
  </si>
  <si>
    <t>9781555422738</t>
  </si>
  <si>
    <t>30001002193565</t>
  </si>
  <si>
    <t>893134112</t>
  </si>
  <si>
    <t>W 84 AA1 C934 1988</t>
  </si>
  <si>
    <t>0                      W  0084000AA 1                  C  934         1988</t>
  </si>
  <si>
    <t>Critical condition : America's health care in jeopardy / Robert J. Rubin ... [et al.].</t>
  </si>
  <si>
    <t>Washington : National Committee for Quality Health Care, 1988.</t>
  </si>
  <si>
    <t>16905983:eng</t>
  </si>
  <si>
    <t>17884392</t>
  </si>
  <si>
    <t>991001415569702656</t>
  </si>
  <si>
    <t>2272696490002656</t>
  </si>
  <si>
    <t>30001001180407</t>
  </si>
  <si>
    <t>893460570</t>
  </si>
  <si>
    <t>W84 AA1 C967 1999</t>
  </si>
  <si>
    <t>0                      W  0084000AA 1                  C  967         1999</t>
  </si>
  <si>
    <t>Cultural competence compendium.</t>
  </si>
  <si>
    <t>Chicago, IL : American Medical Association, c1999.</t>
  </si>
  <si>
    <t>2004-06-06</t>
  </si>
  <si>
    <t>2005-09-29</t>
  </si>
  <si>
    <t>34857225:eng</t>
  </si>
  <si>
    <t>45094036</t>
  </si>
  <si>
    <t>991000324509702656</t>
  </si>
  <si>
    <t>2263769440002656</t>
  </si>
  <si>
    <t>9781579470500</t>
  </si>
  <si>
    <t>30001004442747</t>
  </si>
  <si>
    <t>893269354</t>
  </si>
  <si>
    <t>30001004509743</t>
  </si>
  <si>
    <t>893274962</t>
  </si>
  <si>
    <t>W 84 AA1 D626q 2004</t>
  </si>
  <si>
    <t>0                      W  0084000AA 1                  D  626q        2004</t>
  </si>
  <si>
    <t>The quality handbook for health care organizations : a manager's guide to tools and programs / Yosef D. Dlugacz, Andrea Restifo, Alice Greenwood.</t>
  </si>
  <si>
    <t>Dlugacz, Yosef D., 1947-</t>
  </si>
  <si>
    <t>San Francisco : Jossey-Bass, c2004.</t>
  </si>
  <si>
    <t>2007-02-07</t>
  </si>
  <si>
    <t>429813308:eng</t>
  </si>
  <si>
    <t>52937977</t>
  </si>
  <si>
    <t>991001730899702656</t>
  </si>
  <si>
    <t>2262690850002656</t>
  </si>
  <si>
    <t>9780787969219</t>
  </si>
  <si>
    <t>30001004924124</t>
  </si>
  <si>
    <t>893741358</t>
  </si>
  <si>
    <t>W84 AA1 E96 2006</t>
  </si>
  <si>
    <t>0                      W  0084000AA 1                  E  96          2006</t>
  </si>
  <si>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</si>
  <si>
    <t>Washington, D.C. : National Academy Press, c2006.</t>
  </si>
  <si>
    <t>2007-03-28</t>
  </si>
  <si>
    <t>2008-04-17</t>
  </si>
  <si>
    <t>797223859:eng</t>
  </si>
  <si>
    <t>65617478</t>
  </si>
  <si>
    <t>991000604959702656</t>
  </si>
  <si>
    <t>2266090920002656</t>
  </si>
  <si>
    <t>9780309101219</t>
  </si>
  <si>
    <t>30001005176609</t>
  </si>
  <si>
    <t>893647600</t>
  </si>
  <si>
    <t>2008-03-20</t>
  </si>
  <si>
    <t>30001005270634</t>
  </si>
  <si>
    <t>893641995</t>
  </si>
  <si>
    <t>30001005292273</t>
  </si>
  <si>
    <t>893651244</t>
  </si>
  <si>
    <t>W 84 AA1 F996 1987</t>
  </si>
  <si>
    <t>0                      W  0084000AA 1                  F  996         1987</t>
  </si>
  <si>
    <t>The Future of healthcare : changes and choices / Arthur Anderson &amp; Co., American College of Healthcare Executives.</t>
  </si>
  <si>
    <t>Chicago : Arthur Anderson &amp; Co., c1987.</t>
  </si>
  <si>
    <t>1999-03-26</t>
  </si>
  <si>
    <t>9094314903:eng</t>
  </si>
  <si>
    <t>29033708</t>
  </si>
  <si>
    <t>991001105259702656</t>
  </si>
  <si>
    <t>2258147180002656</t>
  </si>
  <si>
    <t>30001001610775</t>
  </si>
  <si>
    <t>893552142</t>
  </si>
  <si>
    <t>W 84 AA1 G35 1998</t>
  </si>
  <si>
    <t>0                      W  0084000AA 1                  G  35          1998</t>
  </si>
  <si>
    <t>Getting doctors to listen : ethics and outcomes data in context / edited by Philip J. Boyle.</t>
  </si>
  <si>
    <t>Washington, D.C. : Georgetown University Press, c1998.</t>
  </si>
  <si>
    <t>Hastings Center studies in ethics</t>
  </si>
  <si>
    <t>1999-02-12</t>
  </si>
  <si>
    <t>56158002:eng</t>
  </si>
  <si>
    <t>36501355</t>
  </si>
  <si>
    <t>991001568069702656</t>
  </si>
  <si>
    <t>2267860990002656</t>
  </si>
  <si>
    <t>9780878406548</t>
  </si>
  <si>
    <t>30001003961556</t>
  </si>
  <si>
    <t>893741260</t>
  </si>
  <si>
    <t>W 84 AA1 G4m 1990</t>
  </si>
  <si>
    <t>0                      W  0084000AA 1                  G  4m          1990</t>
  </si>
  <si>
    <t>The medical triangle : physicians, politicians, and the public / Eli Ginzberg.</t>
  </si>
  <si>
    <t>Ginzberg, Eli, 1911-2002.</t>
  </si>
  <si>
    <t>Cambridge, Mass. : Harvard University Press, c1990.</t>
  </si>
  <si>
    <t>1993-08-03</t>
  </si>
  <si>
    <t>836735554:eng</t>
  </si>
  <si>
    <t>20492239</t>
  </si>
  <si>
    <t>991001449109702656</t>
  </si>
  <si>
    <t>2267885640002656</t>
  </si>
  <si>
    <t>9780674563254</t>
  </si>
  <si>
    <t>30001001882234</t>
  </si>
  <si>
    <t>893541420</t>
  </si>
  <si>
    <t>W 84 AA1 G626 1998</t>
  </si>
  <si>
    <t>0                      W  0084000AA 1                  G  626         1998</t>
  </si>
  <si>
    <t>Society's mirror : reflections on health care reform / John W. Gollatz.</t>
  </si>
  <si>
    <t>Gollatz, John W., 1945-</t>
  </si>
  <si>
    <t>Los Angeles, Calif. : Health Information Press, c1998.</t>
  </si>
  <si>
    <t>622335:eng</t>
  </si>
  <si>
    <t>37806142</t>
  </si>
  <si>
    <t>991000396899702656</t>
  </si>
  <si>
    <t>2259209080002656</t>
  </si>
  <si>
    <t>9781885987099</t>
  </si>
  <si>
    <t>30001004978971</t>
  </si>
  <si>
    <t>893354273</t>
  </si>
  <si>
    <t>W 84 AA1 G816d 1998</t>
  </si>
  <si>
    <t>0                      W  0084000AA 1                  G  816d        1998</t>
  </si>
  <si>
    <t>Designing 21st century healthcare : leadership in hospitals and healthcare systems / John R. Griffith.</t>
  </si>
  <si>
    <t>Griffith, John R.</t>
  </si>
  <si>
    <t>2001-11-28</t>
  </si>
  <si>
    <t>1999-02-19</t>
  </si>
  <si>
    <t>862865151:eng</t>
  </si>
  <si>
    <t>38898909</t>
  </si>
  <si>
    <t>991000876899702656</t>
  </si>
  <si>
    <t>2260995440002656</t>
  </si>
  <si>
    <t>9781567930870</t>
  </si>
  <si>
    <t>30001004159580</t>
  </si>
  <si>
    <t>893357978</t>
  </si>
  <si>
    <t>W 84 AA1 G816w 2002</t>
  </si>
  <si>
    <t>0                      W  0084000AA 1                  G  816w        2002</t>
  </si>
  <si>
    <t>The well-managed healthcare organization / John R. Griffith, Kenneth R. White.</t>
  </si>
  <si>
    <t>5</t>
  </si>
  <si>
    <t>Chicago, IL : AUPHA Press ; Washington, DC : Association of University Programs in Health Administration, c2002.</t>
  </si>
  <si>
    <t>2009-01-19</t>
  </si>
  <si>
    <t>8263144:eng</t>
  </si>
  <si>
    <t>49250232</t>
  </si>
  <si>
    <t>991001343929702656</t>
  </si>
  <si>
    <t>22136059350002656</t>
  </si>
  <si>
    <t>9781567931884</t>
  </si>
  <si>
    <t>30001004506202</t>
  </si>
  <si>
    <t>893826667</t>
  </si>
  <si>
    <t>W84 AA1 G939 2002</t>
  </si>
  <si>
    <t>0                      W  0084000AA 1                  G  939         2002</t>
  </si>
  <si>
    <t>Guidance for the national healthcare disparities report / Elaine K. Swift, editor ; Committee on Guidance for Designing a National Healthcare Disparities Report, Institute of Medicine of the National Academies.</t>
  </si>
  <si>
    <t>Washington, D.C. : National Academies Press, c2002.</t>
  </si>
  <si>
    <t>2006-04-26</t>
  </si>
  <si>
    <t>2005-06-08</t>
  </si>
  <si>
    <t>1013291747:eng</t>
  </si>
  <si>
    <t>50805588</t>
  </si>
  <si>
    <t>991000439669702656</t>
  </si>
  <si>
    <t>2257000930002656</t>
  </si>
  <si>
    <t>9780309085199</t>
  </si>
  <si>
    <t>30001004929818</t>
  </si>
  <si>
    <t>893537244</t>
  </si>
  <si>
    <t>W 84 AA1 H23 1983</t>
  </si>
  <si>
    <t>0                      W  0084000AA 1                  H  23          1983</t>
  </si>
  <si>
    <t>Handbook of health, health care, and the health professions / edited by David Mechanic.</t>
  </si>
  <si>
    <t>New York : Free Press, c1983.</t>
  </si>
  <si>
    <t>400668:eng</t>
  </si>
  <si>
    <t>8533525</t>
  </si>
  <si>
    <t>991000655409702656</t>
  </si>
  <si>
    <t>2254781850002656</t>
  </si>
  <si>
    <t>9780029206904</t>
  </si>
  <si>
    <t>30001000687824</t>
  </si>
  <si>
    <t>893267060</t>
  </si>
  <si>
    <t>W 84 AA1 H3753 1997</t>
  </si>
  <si>
    <t>0                      W  0084000AA 1                  H  3753        1997</t>
  </si>
  <si>
    <t>Health care choice for today's consumer : guide to quality &amp; cost / edited by Marc S. Miller.</t>
  </si>
  <si>
    <t>New York : Wiley, 1997.</t>
  </si>
  <si>
    <t>1st John Wiley &amp; Sons, Inc., pbk. ed.; rev. and expanded.</t>
  </si>
  <si>
    <t>2008-02-20</t>
  </si>
  <si>
    <t>1809530184:eng</t>
  </si>
  <si>
    <t>35566015</t>
  </si>
  <si>
    <t>991000397279702656</t>
  </si>
  <si>
    <t>2258069020002656</t>
  </si>
  <si>
    <t>9780471170907</t>
  </si>
  <si>
    <t>30001004978682</t>
  </si>
  <si>
    <t>893109512</t>
  </si>
  <si>
    <t>W 84 AA1 H376 1990</t>
  </si>
  <si>
    <t>0                      W  0084000AA 1                  H  376         1990</t>
  </si>
  <si>
    <t>Health care delivery in the United States / Anthony R. Kovner [editor] with contributors ; founding editor, Steven Jonas.</t>
  </si>
  <si>
    <t>New York : Springer Pub. Co., c1990.</t>
  </si>
  <si>
    <t>3753289444:eng</t>
  </si>
  <si>
    <t>20995256</t>
  </si>
  <si>
    <t>991001449489702656</t>
  </si>
  <si>
    <t>2268805400002656</t>
  </si>
  <si>
    <t>9780826120762</t>
  </si>
  <si>
    <t>30001001882366</t>
  </si>
  <si>
    <t>893741141</t>
  </si>
  <si>
    <t>W 84 AA1 H393n 1985</t>
  </si>
  <si>
    <t>0                      W  0084000AA 1                  H  393n        1985</t>
  </si>
  <si>
    <t>Nursing and the American health care delivery system / Joellen Beck Watson Hawkins, Loretta Pierfedeici Higgins.</t>
  </si>
  <si>
    <t>Hawkins, Joellen Watson.</t>
  </si>
  <si>
    <t>New York City : Tiresias Press, c1985.</t>
  </si>
  <si>
    <t>558265:eng</t>
  </si>
  <si>
    <t>12055046</t>
  </si>
  <si>
    <t>991000771449702656</t>
  </si>
  <si>
    <t>2260492260002656</t>
  </si>
  <si>
    <t>9780913292358</t>
  </si>
  <si>
    <t>30001002062224</t>
  </si>
  <si>
    <t>893148249</t>
  </si>
  <si>
    <t>W84 AA1 H43471 2001</t>
  </si>
  <si>
    <t>0                      W  0084000AA 1                  H  43471       2001</t>
  </si>
  <si>
    <t>Health issues in the Latino community / Marilyn Aguirre-Molina, Carlos W. Molina, Ruth Enid Zambrana, editors.</t>
  </si>
  <si>
    <t>San Francisco : Jossey Bass Publishers 2001.</t>
  </si>
  <si>
    <t>Jossey-Bass health series</t>
  </si>
  <si>
    <t>2004-09-11</t>
  </si>
  <si>
    <t>2004-09-10</t>
  </si>
  <si>
    <t>864038759:eng</t>
  </si>
  <si>
    <t>45835637</t>
  </si>
  <si>
    <t>991000386499702656</t>
  </si>
  <si>
    <t>2268276990002656</t>
  </si>
  <si>
    <t>9780787953157</t>
  </si>
  <si>
    <t>30001004922524</t>
  </si>
  <si>
    <t>893466236</t>
  </si>
  <si>
    <t>W84 AA1 H43478 2001</t>
  </si>
  <si>
    <t>0                      W  0084000AA 1                  H  43478       2001</t>
  </si>
  <si>
    <t>Health policy : crisis and reform in the U.S. health care delivery system / edited by Charlene Harrington, Carroll L. Estes.</t>
  </si>
  <si>
    <t>Sudbury, Mass. : Jones and Bartlett Publishers, c2001.</t>
  </si>
  <si>
    <t>The Jones and Bartlett series in health sciences</t>
  </si>
  <si>
    <t>2003-04-23</t>
  </si>
  <si>
    <t>799777205:eng</t>
  </si>
  <si>
    <t>44681708</t>
  </si>
  <si>
    <t>991000340259702656</t>
  </si>
  <si>
    <t>2259156930002656</t>
  </si>
  <si>
    <t>9780763714604</t>
  </si>
  <si>
    <t>30001004502011</t>
  </si>
  <si>
    <t>893639090</t>
  </si>
  <si>
    <t>W84 AA1 H43478 2004</t>
  </si>
  <si>
    <t>0                      W  0084000AA 1                  H  43478       2004</t>
  </si>
  <si>
    <t>Health policy : crisis and reform in the U.S. health care delivery system / edited by Charlene Harrington, Carroll L. Estes. ; with assistance from Cassandra Crawford.</t>
  </si>
  <si>
    <t>Sudbury, Mass. : Jones and Bartlett Publishers, c2004.</t>
  </si>
  <si>
    <t>2006-10-10</t>
  </si>
  <si>
    <t>2006-04-07</t>
  </si>
  <si>
    <t>53138750</t>
  </si>
  <si>
    <t>991000472859702656</t>
  </si>
  <si>
    <t>2266203830002656</t>
  </si>
  <si>
    <t>9780763707538</t>
  </si>
  <si>
    <t>30001004911048</t>
  </si>
  <si>
    <t>893269480</t>
  </si>
  <si>
    <t>W 84 AA1 H46s 2008</t>
  </si>
  <si>
    <t>0                      W  0084000AA 1                  H  46s         2008</t>
  </si>
  <si>
    <t>SBAR basics : a resource guide for healthcare managers / by Susan W. Hendrickson.</t>
  </si>
  <si>
    <t>Hendrickson, Susan W.</t>
  </si>
  <si>
    <t>[S.l.] : HCPro, 2008.</t>
  </si>
  <si>
    <t>2009-09-08</t>
  </si>
  <si>
    <t>138420262:eng</t>
  </si>
  <si>
    <t>230204802</t>
  </si>
  <si>
    <t>991001466189702656</t>
  </si>
  <si>
    <t>2271853210002656</t>
  </si>
  <si>
    <t>9781601462589</t>
  </si>
  <si>
    <t>30001004917185</t>
  </si>
  <si>
    <t>893552535</t>
  </si>
  <si>
    <t>W 84 AA1 I296 1997</t>
  </si>
  <si>
    <t>0                      W  0084000AA 1                  I  296         1997</t>
  </si>
  <si>
    <t>Improving quality : a guide to effective programs / [edited by] Claire Gavin Meisenheimer.</t>
  </si>
  <si>
    <t>Gaithersburg, Md. : Aspen Publication, c1997.</t>
  </si>
  <si>
    <t>1998-12-21</t>
  </si>
  <si>
    <t>1998-09-01</t>
  </si>
  <si>
    <t>55516718:eng</t>
  </si>
  <si>
    <t>36252892</t>
  </si>
  <si>
    <t>991001566199702656</t>
  </si>
  <si>
    <t>2261766080002656</t>
  </si>
  <si>
    <t>9780834209107</t>
  </si>
  <si>
    <t>30001004092211</t>
  </si>
  <si>
    <t>893279227</t>
  </si>
  <si>
    <t>W 84 AA1 I482f 1988</t>
  </si>
  <si>
    <t>0                      W  0084000AA 1                  I  482f        1988</t>
  </si>
  <si>
    <t>The future of public health / Committee for the Study of the Future of Public Health, Division of Health Care Services, Institute of Medicine.</t>
  </si>
  <si>
    <t>Institute of Medicine (U.S.). Committee for the Study of the Future of Public Health.</t>
  </si>
  <si>
    <t>Washington, D.C. : National Academy Press, c1988.</t>
  </si>
  <si>
    <t>2003-10-31</t>
  </si>
  <si>
    <t>875524:eng</t>
  </si>
  <si>
    <t>18464873</t>
  </si>
  <si>
    <t>991000763839702656</t>
  </si>
  <si>
    <t>2267489780002656</t>
  </si>
  <si>
    <t>9780309038300</t>
  </si>
  <si>
    <t>30001002060665</t>
  </si>
  <si>
    <t>893825643</t>
  </si>
  <si>
    <t>W84 AA1 I88 2004</t>
  </si>
  <si>
    <t>0                      W  0084000AA 1                  I  88          2004</t>
  </si>
  <si>
    <t>Introduction to health care delivery : a primer for pharmacists / [edited by] Robert L. McCarthy, Kenneth W. Schafermeyer.</t>
  </si>
  <si>
    <t>2010-08-25</t>
  </si>
  <si>
    <t>824458046:eng</t>
  </si>
  <si>
    <t>53802093</t>
  </si>
  <si>
    <t>991000381779702656</t>
  </si>
  <si>
    <t>2255583620002656</t>
  </si>
  <si>
    <t>9780763732813</t>
  </si>
  <si>
    <t>30001004922383</t>
  </si>
  <si>
    <t>893275016</t>
  </si>
  <si>
    <t>W 84 AA1 J68 1999</t>
  </si>
  <si>
    <t>0                      W  0084000AA 1                  J  68          1999</t>
  </si>
  <si>
    <t>Jonas and Kovner's health care delivery in the United States / Anthony R. Kovner and Steven Jonas, editors.</t>
  </si>
  <si>
    <t>New York : Springer Pub. Co. c1999.</t>
  </si>
  <si>
    <t>2001-09-24</t>
  </si>
  <si>
    <t>355665954:eng</t>
  </si>
  <si>
    <t>39275837</t>
  </si>
  <si>
    <t>991000689879702656</t>
  </si>
  <si>
    <t>2264517670002656</t>
  </si>
  <si>
    <t>9780826120823</t>
  </si>
  <si>
    <t>30001004036366</t>
  </si>
  <si>
    <t>893647995</t>
  </si>
  <si>
    <t>W84 AA1 J68 2002</t>
  </si>
  <si>
    <t>0                      W  0084000AA 1                  J  68          2002</t>
  </si>
  <si>
    <t>Jonas and Kovner's health care delivery in the United States / Anthony R. Kovner, Steven Jonas, editors.</t>
  </si>
  <si>
    <t>New York : Springer Pub., c2002.</t>
  </si>
  <si>
    <t>2004-11-02</t>
  </si>
  <si>
    <t>48773933</t>
  </si>
  <si>
    <t>991000316339702656</t>
  </si>
  <si>
    <t>2257689200002656</t>
  </si>
  <si>
    <t>9780826120847</t>
  </si>
  <si>
    <t>30001004239481</t>
  </si>
  <si>
    <t>893723358</t>
  </si>
  <si>
    <t>W84 AA1 J68 2005</t>
  </si>
  <si>
    <t>0                      W  0084000AA 1                  J  68          2005</t>
  </si>
  <si>
    <t>Jonas &amp; Kovner's health care delivery in the United States / Anthony R. Kovner, James R. Knickman, editors ; Steven Jonas, founding editor.</t>
  </si>
  <si>
    <t>New York : Springer Pub. Co., c2005.</t>
  </si>
  <si>
    <t>2006-02-07</t>
  </si>
  <si>
    <t>58533857</t>
  </si>
  <si>
    <t>991000463139702656</t>
  </si>
  <si>
    <t>2271695750002656</t>
  </si>
  <si>
    <t>9780826120878</t>
  </si>
  <si>
    <t>30001004913531</t>
  </si>
  <si>
    <t>893354379</t>
  </si>
  <si>
    <t>W 84 AA1 J7i 1986</t>
  </si>
  <si>
    <t>0                      W  0084000AA 1                  J  7i          1986</t>
  </si>
  <si>
    <t>An introduction to the U.S. health care system / Milton I. Roemer.</t>
  </si>
  <si>
    <t>Roemer, Milton Irwin, 1916-2001.</t>
  </si>
  <si>
    <t>New York : Springer Pub. Co., c1986.</t>
  </si>
  <si>
    <t>1990-06-26</t>
  </si>
  <si>
    <t>5219063405:eng</t>
  </si>
  <si>
    <t>12749726</t>
  </si>
  <si>
    <t>991001449449702656</t>
  </si>
  <si>
    <t>2257010270002656</t>
  </si>
  <si>
    <t>9780826139832</t>
  </si>
  <si>
    <t>30001001882374</t>
  </si>
  <si>
    <t>893552515</t>
  </si>
  <si>
    <t>W 84 AA1 J7i 1992</t>
  </si>
  <si>
    <t>0                      W  0084000AA 1                  J  7i          1992</t>
  </si>
  <si>
    <t>An introduction to the U.S. health care system / Steven Jonas.</t>
  </si>
  <si>
    <t>Jonas, Steven.</t>
  </si>
  <si>
    <t>New York : Springer Pub. Co., c1992.</t>
  </si>
  <si>
    <t>1999-08-31</t>
  </si>
  <si>
    <t>718996:eng</t>
  </si>
  <si>
    <t>23694103</t>
  </si>
  <si>
    <t>991000946719702656</t>
  </si>
  <si>
    <t>2260778910002656</t>
  </si>
  <si>
    <t>9780826139849</t>
  </si>
  <si>
    <t>30001002193953</t>
  </si>
  <si>
    <t>893727109</t>
  </si>
  <si>
    <t>W 84 AA1 K17h 1993</t>
  </si>
  <si>
    <t>0                      W  0084000AA 1                  K  17h         1993</t>
  </si>
  <si>
    <t>The Hippocratic predicament : affordability, access, and accountability in American medicine / Robert M. Kaplan.</t>
  </si>
  <si>
    <t>Kaplan, Robert M.</t>
  </si>
  <si>
    <t>San Diego : Academic Press, c1993.</t>
  </si>
  <si>
    <t>20860206:eng</t>
  </si>
  <si>
    <t>25788462</t>
  </si>
  <si>
    <t>991001513669702656</t>
  </si>
  <si>
    <t>2254715500002656</t>
  </si>
  <si>
    <t>9780123973702</t>
  </si>
  <si>
    <t>30001002601369</t>
  </si>
  <si>
    <t>893149296</t>
  </si>
  <si>
    <t>W 84 AA1 K82m 1993</t>
  </si>
  <si>
    <t>0                      W  0084000AA 1                  K  82m         1993</t>
  </si>
  <si>
    <t>Medicine at the crossroads : the crisis in health care / Melvin Konner.</t>
  </si>
  <si>
    <t>Konner, Melvin.</t>
  </si>
  <si>
    <t>New York : Pantheon Books, c1993.</t>
  </si>
  <si>
    <t>28805424:eng</t>
  </si>
  <si>
    <t>26214003</t>
  </si>
  <si>
    <t>991001481269702656</t>
  </si>
  <si>
    <t>2262704220002656</t>
  </si>
  <si>
    <t>9780679415459</t>
  </si>
  <si>
    <t>30001002569707</t>
  </si>
  <si>
    <t>893274210</t>
  </si>
  <si>
    <t>W 84 AA1 K88h 2000</t>
  </si>
  <si>
    <t>0                      W  0084000AA 1                  K  88h         2000</t>
  </si>
  <si>
    <t>Health care management in mind : eight careers / Anthony R. Kovner.</t>
  </si>
  <si>
    <t>Kovner, Anthony R.</t>
  </si>
  <si>
    <t>New York : Springer, c2000.</t>
  </si>
  <si>
    <t>10142951873:eng</t>
  </si>
  <si>
    <t>42849691</t>
  </si>
  <si>
    <t>991000395979702656</t>
  </si>
  <si>
    <t>2269283460002656</t>
  </si>
  <si>
    <t>9780826113153</t>
  </si>
  <si>
    <t>30001004979037</t>
  </si>
  <si>
    <t>893151008</t>
  </si>
  <si>
    <t>W 84 AA1 L25m 1997</t>
  </si>
  <si>
    <t>0                      W  0084000AA 1                  L  25m         1997</t>
  </si>
  <si>
    <t>Medicine &amp; public health : the power of collaboration / by Roz D. Lasker and the Committee on Medicine and Public Health at The New York Academy of Medicine ; foreword by Mohammad N. Akhter, Nancy W. Dickey.</t>
  </si>
  <si>
    <t>Lasker, Roz Diane.</t>
  </si>
  <si>
    <t>New York, NY : The Academy, c1997.</t>
  </si>
  <si>
    <t>2006-01-10</t>
  </si>
  <si>
    <t>655581:eng</t>
  </si>
  <si>
    <t>37801421</t>
  </si>
  <si>
    <t>991000317809702656</t>
  </si>
  <si>
    <t>2256508770002656</t>
  </si>
  <si>
    <t>9780924143052</t>
  </si>
  <si>
    <t>30001004443604</t>
  </si>
  <si>
    <t>893644230</t>
  </si>
  <si>
    <t>W 84 AA1 L58h 1984</t>
  </si>
  <si>
    <t>0                      W  0084000AA 1                  L  58h         1984</t>
  </si>
  <si>
    <t>Health care administration : a managerial perspective.</t>
  </si>
  <si>
    <t>Levey, Samuel.</t>
  </si>
  <si>
    <t>Philadelphia : Lippincott, c1984.</t>
  </si>
  <si>
    <t>2nd ed. / Samuel Levey, N. Paul Loomba, with the assistance of Robert E. Brown.</t>
  </si>
  <si>
    <t>2004-07-26</t>
  </si>
  <si>
    <t>889763188:eng</t>
  </si>
  <si>
    <t>10277824</t>
  </si>
  <si>
    <t>991000655819702656</t>
  </si>
  <si>
    <t>2258483260002656</t>
  </si>
  <si>
    <t>9780397521005</t>
  </si>
  <si>
    <t>30001000687907</t>
  </si>
  <si>
    <t>893286814</t>
  </si>
  <si>
    <t>W84 AA1 M111c 1999</t>
  </si>
  <si>
    <t>0                      W  0084000AA 1                  M  111c        1999</t>
  </si>
  <si>
    <t>The culture of health : Asian communities in the United States / Grace Xueqin Ma ; foreword by Walter Tsou.</t>
  </si>
  <si>
    <t>Ma, Grace Xueqin, 1962-</t>
  </si>
  <si>
    <t>Westport, Conn. : Bergin &amp; Garvey, 1999.</t>
  </si>
  <si>
    <t>2004-08-05</t>
  </si>
  <si>
    <t>802686135:eng</t>
  </si>
  <si>
    <t>40716197</t>
  </si>
  <si>
    <t>991000371769702656</t>
  </si>
  <si>
    <t>2270754130002656</t>
  </si>
  <si>
    <t>9780897896252</t>
  </si>
  <si>
    <t>30001004921211</t>
  </si>
  <si>
    <t>893279959</t>
  </si>
  <si>
    <t>W84 AA1 M365i 1998</t>
  </si>
  <si>
    <t>0                      W  0084000AA 1                  M  365i        1998</t>
  </si>
  <si>
    <t>Introduction to health care delivery : a primer for pharmacists / edited by Robert L. McCarthy.</t>
  </si>
  <si>
    <t>1998-03-04</t>
  </si>
  <si>
    <t>37580653</t>
  </si>
  <si>
    <t>991001306659702656</t>
  </si>
  <si>
    <t>2258380630002656</t>
  </si>
  <si>
    <t>9780834209145</t>
  </si>
  <si>
    <t>30001003749977</t>
  </si>
  <si>
    <t>893557817</t>
  </si>
  <si>
    <t>W 84 AA1 M3685c 1994</t>
  </si>
  <si>
    <t>0                      W  0084000AA 1                  M  3685c       1994</t>
  </si>
  <si>
    <t>Continuous quality improvement in health care : theory, implementation and applications / Curtis P. McLaughlin, Arnold D. Kaluzny, [editors]</t>
  </si>
  <si>
    <t>Gaithersburg, Md. : Aspen Publishers, Inc., c1994.</t>
  </si>
  <si>
    <t>2006-05-16</t>
  </si>
  <si>
    <t>1995-02-13</t>
  </si>
  <si>
    <t>2287425027:eng</t>
  </si>
  <si>
    <t>29669205</t>
  </si>
  <si>
    <t>991001397119702656</t>
  </si>
  <si>
    <t>2269764560002656</t>
  </si>
  <si>
    <t>9780834205369</t>
  </si>
  <si>
    <t>30001003146422</t>
  </si>
  <si>
    <t>893460527</t>
  </si>
  <si>
    <t>W 84 AA1 M369 1993</t>
  </si>
  <si>
    <t>0                      W  0084000AA 1                  M  369         1993</t>
  </si>
  <si>
    <t>The Measurement mandate : on the road to performance improvement in health care / Joint Commission on Accreditation of Healthcare Organizations.</t>
  </si>
  <si>
    <t>Oakbrook Terrace, Ill. : The Commission, c1993.</t>
  </si>
  <si>
    <t>1998-01-19</t>
  </si>
  <si>
    <t>55710281:eng</t>
  </si>
  <si>
    <t>28268101</t>
  </si>
  <si>
    <t>991001294349702656</t>
  </si>
  <si>
    <t>2261274700002656</t>
  </si>
  <si>
    <t>9780866883344</t>
  </si>
  <si>
    <t>30001003740364</t>
  </si>
  <si>
    <t>893284655</t>
  </si>
  <si>
    <t>W 84 AA1 M48g 1976</t>
  </si>
  <si>
    <t>0                      W  0084000AA 1                  M  48g         1976</t>
  </si>
  <si>
    <t>The growth of bureaucratic medicine : an inquiry into the dynamics of patient behavior and the organization of medical care / David Mechanic ; with the collaboration of Linda H. Aiken ... [et al.].</t>
  </si>
  <si>
    <t>Mechanic, David, 1936-</t>
  </si>
  <si>
    <t>New York : Wiley, c1976.</t>
  </si>
  <si>
    <t>Health, medicine, and society</t>
  </si>
  <si>
    <t>1991-08-07</t>
  </si>
  <si>
    <t>147055504:eng</t>
  </si>
  <si>
    <t>1676263</t>
  </si>
  <si>
    <t>991000656099702656</t>
  </si>
  <si>
    <t>2265518840002656</t>
  </si>
  <si>
    <t>9780471590217</t>
  </si>
  <si>
    <t>30001000687923</t>
  </si>
  <si>
    <t>893730864</t>
  </si>
  <si>
    <t>W 84 AA1 M59d 1997</t>
  </si>
  <si>
    <t>0                      W  0084000AA 1                  M  59d         1997</t>
  </si>
  <si>
    <t>Demanding medical excellence : doctors and accountability in the information age / Michael L. Millenson.</t>
  </si>
  <si>
    <t>Millenson, Michael L.</t>
  </si>
  <si>
    <t>Chicago, Ill. : University of Chicago Press, c1997.</t>
  </si>
  <si>
    <t>2006-03-11</t>
  </si>
  <si>
    <t>1998-11-03</t>
  </si>
  <si>
    <t>4020254817:eng</t>
  </si>
  <si>
    <t>36755970</t>
  </si>
  <si>
    <t>991000666699702656</t>
  </si>
  <si>
    <t>2265844020002656</t>
  </si>
  <si>
    <t>9780226525877</t>
  </si>
  <si>
    <t>30001004030658</t>
  </si>
  <si>
    <t>893735268</t>
  </si>
  <si>
    <t>W 84 AA1 M7 1988</t>
  </si>
  <si>
    <t>0                      W  0084000AA 1                  M  7           1988</t>
  </si>
  <si>
    <t>Money, power, and health care / Evan M. Melhado, Walter Feinberg, Harold M. Swartz, editors.</t>
  </si>
  <si>
    <t>Ann Arbor, Mich. : Health Administration Press, c1988.</t>
  </si>
  <si>
    <t>55020525:eng</t>
  </si>
  <si>
    <t>16832152</t>
  </si>
  <si>
    <t>991001244289702656</t>
  </si>
  <si>
    <t>2254944000002656</t>
  </si>
  <si>
    <t>9780910701266</t>
  </si>
  <si>
    <t>30001001676602</t>
  </si>
  <si>
    <t>893557720</t>
  </si>
  <si>
    <t>W 84 AA1 N17f 1989</t>
  </si>
  <si>
    <t>0                      W  0084000AA 1                  N  17f         1989</t>
  </si>
  <si>
    <t>For the health of a nation : a shared responsibility / report of the National Leadership Commission on Health Care.</t>
  </si>
  <si>
    <t>National Leadership Commission on Health Care (U.S.)</t>
  </si>
  <si>
    <t>1993-07-01</t>
  </si>
  <si>
    <t>1990-01-11</t>
  </si>
  <si>
    <t>9236761613:eng</t>
  </si>
  <si>
    <t>19672691</t>
  </si>
  <si>
    <t>991001383369702656</t>
  </si>
  <si>
    <t>2259820580002656</t>
  </si>
  <si>
    <t>9780910701518</t>
  </si>
  <si>
    <t>30001001799214</t>
  </si>
  <si>
    <t>893649148</t>
  </si>
  <si>
    <t>W 84 AA1 O4c 1996</t>
  </si>
  <si>
    <t>0                      W  0084000AA 1                  O  4c          1996</t>
  </si>
  <si>
    <t>Clinical performance data : a guide to interpretation / Margaret R. O'Leary.</t>
  </si>
  <si>
    <t>O'Leary, Margaret R.</t>
  </si>
  <si>
    <t>Oakbrook Terrace, IL : Joint Commission on Accreditation of Healthcare Organizations, c1996.</t>
  </si>
  <si>
    <t>2002-03-25</t>
  </si>
  <si>
    <t>39404574:eng</t>
  </si>
  <si>
    <t>35744517</t>
  </si>
  <si>
    <t>991001562339702656</t>
  </si>
  <si>
    <t>2261994440002656</t>
  </si>
  <si>
    <t>9780866884341</t>
  </si>
  <si>
    <t>30001003605021</t>
  </si>
  <si>
    <t>893168270</t>
  </si>
  <si>
    <t>W 84 AA1 P168s 1991</t>
  </si>
  <si>
    <t>0                      W  0084000AA 1                  P  168s        1991</t>
  </si>
  <si>
    <t>Striving for quality in health care : an inquiry into policy and practice / R. Heather Palmer, Avedis Donabedian, Gail J. Povar.</t>
  </si>
  <si>
    <t>Palmer, R. Heather (Ruth Heather), 1939-</t>
  </si>
  <si>
    <t>Ann Arbor, Mich. : Health Administration Press, c1991.</t>
  </si>
  <si>
    <t>1994-04-15</t>
  </si>
  <si>
    <t>1020768771:eng</t>
  </si>
  <si>
    <t>23287801</t>
  </si>
  <si>
    <t>991001160169702656</t>
  </si>
  <si>
    <t>2271971750002656</t>
  </si>
  <si>
    <t>9780910701693</t>
  </si>
  <si>
    <t>30001002973917</t>
  </si>
  <si>
    <t>893552193</t>
  </si>
  <si>
    <t>W84 AA1 P286 2005</t>
  </si>
  <si>
    <t>0                      W  0084000AA 1                  P  286         2005</t>
  </si>
  <si>
    <t>Patient safety : essentials for health care / Joint Commission Resources.</t>
  </si>
  <si>
    <t>Oakbrook Terrace, IL : Joint Commission on Accreditation of Healthcare Organizations, c2005.</t>
  </si>
  <si>
    <t>2005-02-25</t>
  </si>
  <si>
    <t>56913681:eng</t>
  </si>
  <si>
    <t>52037640</t>
  </si>
  <si>
    <t>991000429329702656</t>
  </si>
  <si>
    <t>2272500270002656</t>
  </si>
  <si>
    <t>9780866889018</t>
  </si>
  <si>
    <t>30001004928042</t>
  </si>
  <si>
    <t>893285545</t>
  </si>
  <si>
    <t>W 84 AA1 P4 1988</t>
  </si>
  <si>
    <t>0                      W  0084000AA 1                  P  4           1988</t>
  </si>
  <si>
    <t>Perspectives on quality in American health care / Edward F.X. Hughes (editor) ; [with contributions by Donald M. Berwick ... et al.].</t>
  </si>
  <si>
    <t>Washington, DC : McGraw-Hill Book Co., Healthcare Information Center, c1988.</t>
  </si>
  <si>
    <t>1997-02-04</t>
  </si>
  <si>
    <t>15736590:eng</t>
  </si>
  <si>
    <t>17620883</t>
  </si>
  <si>
    <t>991001243359702656</t>
  </si>
  <si>
    <t>2258769680002656</t>
  </si>
  <si>
    <t>9780070311206</t>
  </si>
  <si>
    <t>30001001676289</t>
  </si>
  <si>
    <t>893273924</t>
  </si>
  <si>
    <t>W 84 AA1 P4995 2002</t>
  </si>
  <si>
    <t>0                      W  0084000AA 1                  P  4995        2002</t>
  </si>
  <si>
    <t>A Physician's guide to health care management / edited by Daniel M. Albert.</t>
  </si>
  <si>
    <t>Malden, Mass. : Blackwell Science, c2002.</t>
  </si>
  <si>
    <t>56682944:eng</t>
  </si>
  <si>
    <t>47013921</t>
  </si>
  <si>
    <t>991000379539702656</t>
  </si>
  <si>
    <t>2255244290002656</t>
  </si>
  <si>
    <t>9780632045815</t>
  </si>
  <si>
    <t>30001004219897</t>
  </si>
  <si>
    <t>893644346</t>
  </si>
  <si>
    <t>W 84 AA1 P69d 1992</t>
  </si>
  <si>
    <t>0                      W  0084000AA 1                  P  69d         1992</t>
  </si>
  <si>
    <t>The demography of health and health care / Louis G. Pol, Richard K. Thomas.</t>
  </si>
  <si>
    <t>Pol, Louis G.</t>
  </si>
  <si>
    <t>New York : Plenum Press, c1992.</t>
  </si>
  <si>
    <t>The Plenum series on demographic methods and population analysis.</t>
  </si>
  <si>
    <t>1997-11-24</t>
  </si>
  <si>
    <t>1992-05-06</t>
  </si>
  <si>
    <t>998269:eng</t>
  </si>
  <si>
    <t>25163392</t>
  </si>
  <si>
    <t>991001300889702656</t>
  </si>
  <si>
    <t>2261652470002656</t>
  </si>
  <si>
    <t>9780306439810</t>
  </si>
  <si>
    <t>30001002411686</t>
  </si>
  <si>
    <t>893740976</t>
  </si>
  <si>
    <t>W 84 AA1 P7 1981</t>
  </si>
  <si>
    <t>0                      W  0084000AA 1                  P  7           1981</t>
  </si>
  <si>
    <t>Politics and health care / edited by John B. McKinlay.</t>
  </si>
  <si>
    <t>Milbank reader ; 6</t>
  </si>
  <si>
    <t>1998-10-15</t>
  </si>
  <si>
    <t>29681387:eng</t>
  </si>
  <si>
    <t>7733670</t>
  </si>
  <si>
    <t>991000656139702656</t>
  </si>
  <si>
    <t>2270023420002656</t>
  </si>
  <si>
    <t>9780262131810</t>
  </si>
  <si>
    <t>30001000687931</t>
  </si>
  <si>
    <t>893133174</t>
  </si>
  <si>
    <t>W 84 AA1 Q2 1976</t>
  </si>
  <si>
    <t>0                      W  0084000AA 1                  Q  2           1976</t>
  </si>
  <si>
    <t>Quality assurance in health care / edited by Richard H. Egdahl and Paul M. Gertman.</t>
  </si>
  <si>
    <t>Germantown, Md. : Aspen Systems Corp., c1976.</t>
  </si>
  <si>
    <t>557981:eng</t>
  </si>
  <si>
    <t>2421629</t>
  </si>
  <si>
    <t>991000656609702656</t>
  </si>
  <si>
    <t>2263795850002656</t>
  </si>
  <si>
    <t>9780912862231</t>
  </si>
  <si>
    <t>30001000687980</t>
  </si>
  <si>
    <t>893277868</t>
  </si>
  <si>
    <t>W 84 AA1 R2272 2010</t>
  </si>
  <si>
    <t>0                      W  0084000AA 1                  R  2272        2010</t>
  </si>
  <si>
    <t>Redesigning innovative healthcare operation and the role of knowledge management / M. Saito ... [et al.].</t>
  </si>
  <si>
    <t>Hershey, PA : Medical Information Science Reference, c2010.</t>
  </si>
  <si>
    <t>2010-03-09</t>
  </si>
  <si>
    <t>2010-03-02</t>
  </si>
  <si>
    <t>863354838:eng</t>
  </si>
  <si>
    <t>312728587</t>
  </si>
  <si>
    <t>991001576489702656</t>
  </si>
  <si>
    <t>2272300700002656</t>
  </si>
  <si>
    <t>9781605662848</t>
  </si>
  <si>
    <t>30001005364072</t>
  </si>
  <si>
    <t>893162164</t>
  </si>
  <si>
    <t>W 84 AA1 R5m 1983</t>
  </si>
  <si>
    <t>0                      W  0084000AA 1                  R  5m          1983</t>
  </si>
  <si>
    <t>Medical risk management : preventive legal strategies for health care providers / Edward P. Richards, III, Katharine C. Rathbun.</t>
  </si>
  <si>
    <t>Richards, Edward P.</t>
  </si>
  <si>
    <t>Rockville, Md. : Aspen Systems Corp., c1983.</t>
  </si>
  <si>
    <t>1995-03-20</t>
  </si>
  <si>
    <t>8277040:eng</t>
  </si>
  <si>
    <t>8764085</t>
  </si>
  <si>
    <t>991000656819702656</t>
  </si>
  <si>
    <t>2268122900002656</t>
  </si>
  <si>
    <t>9780894438400</t>
  </si>
  <si>
    <t>30001000688004</t>
  </si>
  <si>
    <t>893459580</t>
  </si>
  <si>
    <t>W 84 AA1 S18f 1998</t>
  </si>
  <si>
    <t>0                      W  0084000AA 1                  S  18f         1998</t>
  </si>
  <si>
    <t>The foundations of integrated care : facing the challenges of change / Marjorie A. Satinsky.</t>
  </si>
  <si>
    <t>Satinsky, Marjorie A.</t>
  </si>
  <si>
    <t>Chicago : American Hospital Pub., c1998.</t>
  </si>
  <si>
    <t>1998-05-04</t>
  </si>
  <si>
    <t>1998-05-01</t>
  </si>
  <si>
    <t>364721118:eng</t>
  </si>
  <si>
    <t>37031316</t>
  </si>
  <si>
    <t>991000901059702656</t>
  </si>
  <si>
    <t>2254883080002656</t>
  </si>
  <si>
    <t>9781556482076</t>
  </si>
  <si>
    <t>30001004176246</t>
  </si>
  <si>
    <t>893642947</t>
  </si>
  <si>
    <t>W84 AA1 S96h 2001</t>
  </si>
  <si>
    <t>0                      W  0084000AA 1                  S  96h         2001</t>
  </si>
  <si>
    <t>Health care USA : understanding its organization and delivery / Harry A. Sultz, Kristina M. Young.</t>
  </si>
  <si>
    <t>Sultz, Harry A.</t>
  </si>
  <si>
    <t>Gaithersburg, MD : Aspen Publishers, 2001.</t>
  </si>
  <si>
    <t>2001-12-06</t>
  </si>
  <si>
    <t>758354:eng</t>
  </si>
  <si>
    <t>45556157</t>
  </si>
  <si>
    <t>991000294849702656</t>
  </si>
  <si>
    <t>2259380060002656</t>
  </si>
  <si>
    <t>9780834219120</t>
  </si>
  <si>
    <t>30001004560563</t>
  </si>
  <si>
    <t>893108263</t>
  </si>
  <si>
    <t>W 84 AA1 S96h 2004</t>
  </si>
  <si>
    <t>0                      W  0084000AA 1                  S  96h         2004</t>
  </si>
  <si>
    <t>Sudbury, Mass. : Jones and Bartlett, c2004.</t>
  </si>
  <si>
    <t>52041377</t>
  </si>
  <si>
    <t>991000392469702656</t>
  </si>
  <si>
    <t>2258984560002656</t>
  </si>
  <si>
    <t>9780763725716</t>
  </si>
  <si>
    <t>30001004840908</t>
  </si>
  <si>
    <t>893461452</t>
  </si>
  <si>
    <t>W 84 AA1 T2 1976</t>
  </si>
  <si>
    <t>0                      W  0084000AA 1                  T  2           1976</t>
  </si>
  <si>
    <t>Technology and the quality of health care / Richard H. Egdahl and Paul M. Gertman, editors.</t>
  </si>
  <si>
    <t>Germantown, Md. : Aspen Systems Corp., c1978.</t>
  </si>
  <si>
    <t>2004-04-20</t>
  </si>
  <si>
    <t>13285483:eng</t>
  </si>
  <si>
    <t>3843068</t>
  </si>
  <si>
    <t>991000657299702656</t>
  </si>
  <si>
    <t>2266352270002656</t>
  </si>
  <si>
    <t>9780894430251</t>
  </si>
  <si>
    <t>30001000688053</t>
  </si>
  <si>
    <t>893357269</t>
  </si>
  <si>
    <t>W 84 AA1 T322h 1999</t>
  </si>
  <si>
    <t>0                      W  0084000AA 1                  T  322h        1999</t>
  </si>
  <si>
    <t>Health services planning : skills for effective strategy, management, and implementation / Richard K. Thomas.</t>
  </si>
  <si>
    <t>Thomas, Richard K., 1944-</t>
  </si>
  <si>
    <t>672850:eng</t>
  </si>
  <si>
    <t>40173918</t>
  </si>
  <si>
    <t>991000396789702656</t>
  </si>
  <si>
    <t>2260356890002656</t>
  </si>
  <si>
    <t>9780070647596</t>
  </si>
  <si>
    <t>30001004978997</t>
  </si>
  <si>
    <t>893279976</t>
  </si>
  <si>
    <t>W 84 AA1 T5 1998</t>
  </si>
  <si>
    <t>0                      W  0084000AA 1                  T  5           1998</t>
  </si>
  <si>
    <t>To improve health and health care, 1998-1999 : the Robert Wood Johnson Foundation anthology / Stephen L. Isaacs and James R. Knickman, editors ; foreword by Stephen A. Schroeder.</t>
  </si>
  <si>
    <t>San Francisco : Jossey-Bass, c1998.</t>
  </si>
  <si>
    <t>1999-06-08</t>
  </si>
  <si>
    <t>1999-04-30</t>
  </si>
  <si>
    <t>42296668:eng</t>
  </si>
  <si>
    <t>39633999</t>
  </si>
  <si>
    <t>991001557549702656</t>
  </si>
  <si>
    <t>2268511700002656</t>
  </si>
  <si>
    <t>9780787943912</t>
  </si>
  <si>
    <t>30001004072148</t>
  </si>
  <si>
    <t>893274293</t>
  </si>
  <si>
    <t>W 84 AA1 T5 2003</t>
  </si>
  <si>
    <t>0                      W  0084000AA 1                  T  5           2003</t>
  </si>
  <si>
    <t>To improve health and health care. Volume VI : the Robert Wood Johnson Foundation anthology / Stephen L. Isaacs and James R. Knickman, editors ; foreword by Steven A. Schroeder.</t>
  </si>
  <si>
    <t>San Francisco : Jossey-Bass, c2003.</t>
  </si>
  <si>
    <t>2004-07-17</t>
  </si>
  <si>
    <t>2863931384:eng</t>
  </si>
  <si>
    <t>50669983</t>
  </si>
  <si>
    <t>991000359019702656</t>
  </si>
  <si>
    <t>2269594790002656</t>
  </si>
  <si>
    <t>9780787952761</t>
  </si>
  <si>
    <t>30001004218170</t>
  </si>
  <si>
    <t>893644314</t>
  </si>
  <si>
    <t>W 84 AA1 T5 2006 V.10</t>
  </si>
  <si>
    <t>0                      W  0084000AA 1                  T  5           2006                  V.10</t>
  </si>
  <si>
    <t>To improve health and health care : the Robert Wood Johnson Foundation anthology. Vol. 10 / edited by Stephen Isaacs.</t>
  </si>
  <si>
    <t>V.10</t>
  </si>
  <si>
    <t>San Francisco, Calif. : Jossey-Bass ; Chichester : John Wiley [distributor], 2006.</t>
  </si>
  <si>
    <t>2008-02-02</t>
  </si>
  <si>
    <t>70882018</t>
  </si>
  <si>
    <t>991000581739702656</t>
  </si>
  <si>
    <t>2257526660002656</t>
  </si>
  <si>
    <t>9780787988951</t>
  </si>
  <si>
    <t>30001005209277</t>
  </si>
  <si>
    <t>893277216</t>
  </si>
  <si>
    <t>W 84 AA1 T7 1998</t>
  </si>
  <si>
    <t>0                      W  0084000AA 1                  T  7           1998</t>
  </si>
  <si>
    <t>Transforming health care : action strategies for health care leaders / Daniel J. Anderson ... [et al.].</t>
  </si>
  <si>
    <t>1998-10-29</t>
  </si>
  <si>
    <t>3858026077:eng</t>
  </si>
  <si>
    <t>38439237</t>
  </si>
  <si>
    <t>991001391499702656</t>
  </si>
  <si>
    <t>2271345360002656</t>
  </si>
  <si>
    <t>9781556482328</t>
  </si>
  <si>
    <t>30001003809359</t>
  </si>
  <si>
    <t>893274067</t>
  </si>
  <si>
    <t>W 84 AA1 W262e 1975</t>
  </si>
  <si>
    <t>0                      W  0084000AA 1                  W  262e        1975</t>
  </si>
  <si>
    <t>The economics of health resources / Richard A. Ward.</t>
  </si>
  <si>
    <t>Ward, Richard Alexander, 1929-</t>
  </si>
  <si>
    <t>Reading, Mass. : Addison-Wesley, c1975.</t>
  </si>
  <si>
    <t>2301067:eng</t>
  </si>
  <si>
    <t>1454328</t>
  </si>
  <si>
    <t>991000657689702656</t>
  </si>
  <si>
    <t>2259220080002656</t>
  </si>
  <si>
    <t>9780201085228</t>
  </si>
  <si>
    <t>30001000688111</t>
  </si>
  <si>
    <t>893739877</t>
  </si>
  <si>
    <t>W 84 AA1 W62m 1982</t>
  </si>
  <si>
    <t>0                      W  0084000AA 1                  W  62m         1982</t>
  </si>
  <si>
    <t>Medical care quality and the public trust : a corporate guide for hospital trustees, medical staff, and administrators / Kenneth J. Williams, Paul R. Donnelly.</t>
  </si>
  <si>
    <t>Williams, Kenneth J.</t>
  </si>
  <si>
    <t>Chicago : Pluribus Press, c1982.</t>
  </si>
  <si>
    <t>1994-09-16</t>
  </si>
  <si>
    <t>11549890:eng</t>
  </si>
  <si>
    <t>8496625</t>
  </si>
  <si>
    <t>991000657639702656</t>
  </si>
  <si>
    <t>2263275440002656</t>
  </si>
  <si>
    <t>9780931028229</t>
  </si>
  <si>
    <t>30001000688103</t>
  </si>
  <si>
    <t>893637176</t>
  </si>
  <si>
    <t>W 84 AP4 M4i 1989</t>
  </si>
  <si>
    <t>0                      W  0084000AP 4                  M  4i          1989</t>
  </si>
  <si>
    <t>Integrating the city of medicine : Blacks in Philadelphia health care, 1910-1965 / David McBride.</t>
  </si>
  <si>
    <t>McBride, David, 1949-</t>
  </si>
  <si>
    <t>Philadelphia : Temple University Press, c1989.</t>
  </si>
  <si>
    <t>16808968:eng</t>
  </si>
  <si>
    <t>17981048</t>
  </si>
  <si>
    <t>991001299189702656</t>
  </si>
  <si>
    <t>2257484990002656</t>
  </si>
  <si>
    <t>9780877225461</t>
  </si>
  <si>
    <t>30001002411215</t>
  </si>
  <si>
    <t>893731869</t>
  </si>
  <si>
    <t>W 84 AT2 M876r 2001</t>
  </si>
  <si>
    <t>0                      W  0084000AT 2                  M  876r        2001</t>
  </si>
  <si>
    <t>Relief for the body, renewal for the soul : a doctor's true stories of healing and hope / G. Scott Morris.</t>
  </si>
  <si>
    <t>Morris, G. Scott, 1954-</t>
  </si>
  <si>
    <t>Brewster, Mass. : Paraclete Press, c2001.</t>
  </si>
  <si>
    <t>2008-11-06</t>
  </si>
  <si>
    <t>2008-10-31</t>
  </si>
  <si>
    <t>5221180939:eng</t>
  </si>
  <si>
    <t>45363112</t>
  </si>
  <si>
    <t>991001328029702656</t>
  </si>
  <si>
    <t>2256663600002656</t>
  </si>
  <si>
    <t>9781557252692</t>
  </si>
  <si>
    <t>30001005126901</t>
  </si>
  <si>
    <t>893731895</t>
  </si>
  <si>
    <t>W 84 C466b 1975</t>
  </si>
  <si>
    <t>0                      W  0084000C  466b        1975</t>
  </si>
  <si>
    <t>Behavior and health care : a humanistic helping process / Jane E. Chapman, Harry H. Chapman.</t>
  </si>
  <si>
    <t>Chapman, Jane E., 1932-</t>
  </si>
  <si>
    <t>St. Louis : Mosby, c1975.</t>
  </si>
  <si>
    <t>1997-03-15</t>
  </si>
  <si>
    <t>143666343:eng</t>
  </si>
  <si>
    <t>1365215</t>
  </si>
  <si>
    <t>991000657769702656</t>
  </si>
  <si>
    <t>2256100000002656</t>
  </si>
  <si>
    <t>9780801609473</t>
  </si>
  <si>
    <t>30001000688145</t>
  </si>
  <si>
    <t>893368139</t>
  </si>
  <si>
    <t>W84 DA2 T7 2003</t>
  </si>
  <si>
    <t>0                      W  0084000DA 2                  T  7           2003</t>
  </si>
  <si>
    <t>Transcultural health care : a culturally competent approach / [edited by] Larry D. Purnell, Betty J. Paulanka.</t>
  </si>
  <si>
    <t>Philadelphia, PA : F.A. Davis, c2003.</t>
  </si>
  <si>
    <t>2004-04-13</t>
  </si>
  <si>
    <t>2005-03-10</t>
  </si>
  <si>
    <t>2003-04-25</t>
  </si>
  <si>
    <t>865560996:eng</t>
  </si>
  <si>
    <t>51454541</t>
  </si>
  <si>
    <t>991001722189702656</t>
  </si>
  <si>
    <t>2255480470002656</t>
  </si>
  <si>
    <t>9780803610576</t>
  </si>
  <si>
    <t>30001004504215</t>
  </si>
  <si>
    <t>893732224</t>
  </si>
  <si>
    <t>W 84 DA2 T7 2008</t>
  </si>
  <si>
    <t>0                      W  0084000DA 2                  T  7           2008</t>
  </si>
  <si>
    <t>Philadelphia : F.A. Davis, c2008.</t>
  </si>
  <si>
    <t>2010-05-27</t>
  </si>
  <si>
    <t>176925207</t>
  </si>
  <si>
    <t>991001794709702656</t>
  </si>
  <si>
    <t>2261284200002656</t>
  </si>
  <si>
    <t>9780803618657</t>
  </si>
  <si>
    <t>30001005371978</t>
  </si>
  <si>
    <t>893451780</t>
  </si>
  <si>
    <t>W84 FA1 E84 2000</t>
  </si>
  <si>
    <t>0                      W  0084000FA 1                  E  84          2000</t>
  </si>
  <si>
    <t>Ethnicity, disability, and chronic illness / edited by Waqar I.U. Ahmad.</t>
  </si>
  <si>
    <t>Buckingham [England] ; Philadelphia : Open University Press, 2000.</t>
  </si>
  <si>
    <t>Race, health, and social care</t>
  </si>
  <si>
    <t>2003-02-11</t>
  </si>
  <si>
    <t>2002-10-02</t>
  </si>
  <si>
    <t>14433631:eng</t>
  </si>
  <si>
    <t>42009386</t>
  </si>
  <si>
    <t>991000329909702656</t>
  </si>
  <si>
    <t>2259141250002656</t>
  </si>
  <si>
    <t>9780335199822</t>
  </si>
  <si>
    <t>30001004441079</t>
  </si>
  <si>
    <t>893644252</t>
  </si>
  <si>
    <t>W84 FA1 G481w 2003</t>
  </si>
  <si>
    <t>0                      W  0084000FA 1                  G  481w        2003</t>
  </si>
  <si>
    <t>What makes a good healthcare system? : comparisons, values, drivers / Alan Gillies.</t>
  </si>
  <si>
    <t>Gillies, Alan.</t>
  </si>
  <si>
    <t>Abingdon, U.K. : Radcliffe Medical Press, c2003.</t>
  </si>
  <si>
    <t>800682845:eng</t>
  </si>
  <si>
    <t>52231713</t>
  </si>
  <si>
    <t>991000367019702656</t>
  </si>
  <si>
    <t>2267971800002656</t>
  </si>
  <si>
    <t>9781857759211</t>
  </si>
  <si>
    <t>30001004509602</t>
  </si>
  <si>
    <t>893136762</t>
  </si>
  <si>
    <t>W84 FA1 S854 2001</t>
  </si>
  <si>
    <t>0                      W  0084000FA 1                  S  854         2001</t>
  </si>
  <si>
    <t>Stigma and social exclusion in healthcare / edited by Tom Mason ... [et al.].</t>
  </si>
  <si>
    <t>London ; New York : Routledge, 2001.</t>
  </si>
  <si>
    <t>2006-05-25</t>
  </si>
  <si>
    <t>2006-04-20</t>
  </si>
  <si>
    <t>864032035:eng</t>
  </si>
  <si>
    <t>45951577</t>
  </si>
  <si>
    <t>991000476219702656</t>
  </si>
  <si>
    <t>2255626530002656</t>
  </si>
  <si>
    <t>9780415221993</t>
  </si>
  <si>
    <t>30001004914521</t>
  </si>
  <si>
    <t>893466282</t>
  </si>
  <si>
    <t>W 84 GA1 E894 2003</t>
  </si>
  <si>
    <t>0                      W  0084000GA 1                  E  894         2003</t>
  </si>
  <si>
    <t>The European patient of the future / edited by Angela Coulter and Helen Magee.</t>
  </si>
  <si>
    <t>Maidenhead ; Philadelphia : Open University Press, 2003.</t>
  </si>
  <si>
    <t>2006-02-05</t>
  </si>
  <si>
    <t>5614625881:eng</t>
  </si>
  <si>
    <t>52143287</t>
  </si>
  <si>
    <t>991000386419702656</t>
  </si>
  <si>
    <t>2257978430002656</t>
  </si>
  <si>
    <t>9780335211876</t>
  </si>
  <si>
    <t>30001004840999</t>
  </si>
  <si>
    <t>893109501</t>
  </si>
  <si>
    <t>W 84 GS8 G7 1988</t>
  </si>
  <si>
    <t>0                      W  0084000GS 8                  G  7           1988</t>
  </si>
  <si>
    <t>Women living longer and better : ideas and ideals in Swedish health care / edited by Gunnela Westlander, Jeanne Mager Stellman.</t>
  </si>
  <si>
    <t>Government policy and women's health care.</t>
  </si>
  <si>
    <t>New York : Harrington Park Press, c1988.</t>
  </si>
  <si>
    <t>1992-10-21</t>
  </si>
  <si>
    <t>1992-06-29</t>
  </si>
  <si>
    <t>836707170:eng</t>
  </si>
  <si>
    <t>17483644</t>
  </si>
  <si>
    <t>991001307049702656</t>
  </si>
  <si>
    <t>2259546060002656</t>
  </si>
  <si>
    <t>9780918393463</t>
  </si>
  <si>
    <t>30001002414110</t>
  </si>
  <si>
    <t>893284669</t>
  </si>
  <si>
    <t>W 84 JC6 S5h 1982</t>
  </si>
  <si>
    <t>0                      W  0084000JC 6                  S  5h          1982</t>
  </si>
  <si>
    <t>The health of China / Ruth Sidel and Victor W. Sidel, with a chapter on education by Mark Sidel.</t>
  </si>
  <si>
    <t>Sidel, Ruth.</t>
  </si>
  <si>
    <t>Boston : Beacon Press, c1982.</t>
  </si>
  <si>
    <t>1993-01-28</t>
  </si>
  <si>
    <t>4363838:eng</t>
  </si>
  <si>
    <t>8111619</t>
  </si>
  <si>
    <t>991001323349702656</t>
  </si>
  <si>
    <t>2269926500002656</t>
  </si>
  <si>
    <t>9780807021606</t>
  </si>
  <si>
    <t>30001001754227</t>
  </si>
  <si>
    <t>893541255</t>
  </si>
  <si>
    <t>W 84 K24h 1993</t>
  </si>
  <si>
    <t>0                      W  0084000K  24h         1993</t>
  </si>
  <si>
    <t>Health care reform : a Catholic view / Philip S. Keane.</t>
  </si>
  <si>
    <t>Keane, Philip S.</t>
  </si>
  <si>
    <t>New York, NY : Paulist Press, c1993.</t>
  </si>
  <si>
    <t>2002-09-30</t>
  </si>
  <si>
    <t>1993-08-04</t>
  </si>
  <si>
    <t>353072:eng</t>
  </si>
  <si>
    <t>27935553</t>
  </si>
  <si>
    <t>991001480079702656</t>
  </si>
  <si>
    <t>2258635690002656</t>
  </si>
  <si>
    <t>9780809133857</t>
  </si>
  <si>
    <t>30001002568568</t>
  </si>
  <si>
    <t>893460629</t>
  </si>
  <si>
    <t>W 84 KA8 D835a 2004</t>
  </si>
  <si>
    <t>0                      W  0084000KA 8                  D  835a        2004</t>
  </si>
  <si>
    <t>The Australian health care system / S.J. Duckett.</t>
  </si>
  <si>
    <t>Duckett, S. J.</t>
  </si>
  <si>
    <t>South Melbourne, Vic. ; Oxford : Oxford University Press, 2004.</t>
  </si>
  <si>
    <t>2009-04-30</t>
  </si>
  <si>
    <t>8910296795:eng</t>
  </si>
  <si>
    <t>56106085</t>
  </si>
  <si>
    <t>991000441109702656</t>
  </si>
  <si>
    <t>2260691410002656</t>
  </si>
  <si>
    <t>9780195517453</t>
  </si>
  <si>
    <t>30001005000460</t>
  </si>
  <si>
    <t>893811508</t>
  </si>
  <si>
    <t>W84. L419f 2003</t>
  </si>
  <si>
    <t>0                      W  0084000L  419f        2003</t>
  </si>
  <si>
    <t>From chaos to care : the promise of team-based medicine / David Lawrence.</t>
  </si>
  <si>
    <t>Lawrence, David, 1940-</t>
  </si>
  <si>
    <t>Cambridge, Mass. : Da Capo Press, 2003.</t>
  </si>
  <si>
    <t>2010-06-10</t>
  </si>
  <si>
    <t>2005-04-01</t>
  </si>
  <si>
    <t>891239757:eng</t>
  </si>
  <si>
    <t>53809127</t>
  </si>
  <si>
    <t>991000434479702656</t>
  </si>
  <si>
    <t>2261695730002656</t>
  </si>
  <si>
    <t>9780738208596</t>
  </si>
  <si>
    <t>30001004929008</t>
  </si>
  <si>
    <t>893723556</t>
  </si>
  <si>
    <t>W 84 M571r 1994</t>
  </si>
  <si>
    <t>0                      W  0084000M  571r        1994</t>
  </si>
  <si>
    <t>The road to health care reform : designing a system that works / Jeffrey C. Merrill.</t>
  </si>
  <si>
    <t>Merrill, Jeffrey C.</t>
  </si>
  <si>
    <t>New York : Plenum Press, c1994.</t>
  </si>
  <si>
    <t>1997-02-06</t>
  </si>
  <si>
    <t>1995-02-20</t>
  </si>
  <si>
    <t>32748400:eng</t>
  </si>
  <si>
    <t>30814160</t>
  </si>
  <si>
    <t>991001397199702656</t>
  </si>
  <si>
    <t>2268739750002656</t>
  </si>
  <si>
    <t>9780306447709</t>
  </si>
  <si>
    <t>30001003146414</t>
  </si>
  <si>
    <t>893821170</t>
  </si>
  <si>
    <t>W 84 R33 1980</t>
  </si>
  <si>
    <t>0                      W  0084000R  33          1980</t>
  </si>
  <si>
    <t>The U.S. health system : origins and functions / by Marshall W. Raffel.</t>
  </si>
  <si>
    <t>Raffel, Marshall W.</t>
  </si>
  <si>
    <t>1992-04-16</t>
  </si>
  <si>
    <t>796284012:eng</t>
  </si>
  <si>
    <t>5946309</t>
  </si>
  <si>
    <t>991000658019702656</t>
  </si>
  <si>
    <t>2257707310002656</t>
  </si>
  <si>
    <t>9780471045120</t>
  </si>
  <si>
    <t>30001000688202</t>
  </si>
  <si>
    <t>893637177</t>
  </si>
  <si>
    <t>W 84 S145e 1992</t>
  </si>
  <si>
    <t>0                      W  0084000S  145e        1992</t>
  </si>
  <si>
    <t>Evaluating health services' effectiveness : a guide for health professionals, service managers, and policy makers / A.S. St. Leger, H. Schnieden, J.P. Walsworth-Bell.</t>
  </si>
  <si>
    <t>St. Leger, A. S. (Anthony Selwyn), 1948-</t>
  </si>
  <si>
    <t>Milton Keynes ; Philadelphia : Open University Press, c1992.</t>
  </si>
  <si>
    <t>1998-06-03</t>
  </si>
  <si>
    <t>1993-03-04</t>
  </si>
  <si>
    <t>24135447:eng</t>
  </si>
  <si>
    <t>24068595</t>
  </si>
  <si>
    <t>991001432169702656</t>
  </si>
  <si>
    <t>2261408060002656</t>
  </si>
  <si>
    <t>9780335093564</t>
  </si>
  <si>
    <t>30001002529776</t>
  </si>
  <si>
    <t>893161985</t>
  </si>
  <si>
    <t>W84 S512d 2004</t>
  </si>
  <si>
    <t>0                      W  0084000S  512d        2004</t>
  </si>
  <si>
    <t>Delivering health care in America : a systems approach / Leiyu Shi, Douglas A. Singh.</t>
  </si>
  <si>
    <t>Shi, Leiyu.</t>
  </si>
  <si>
    <t>Boston : Jones and Bartlett, c2004.</t>
  </si>
  <si>
    <t>2009-11-20</t>
  </si>
  <si>
    <t>2003-12-05</t>
  </si>
  <si>
    <t>758330:eng</t>
  </si>
  <si>
    <t>52494322</t>
  </si>
  <si>
    <t>991000360859702656</t>
  </si>
  <si>
    <t>2260790880002656</t>
  </si>
  <si>
    <t>9780763731991</t>
  </si>
  <si>
    <t>30001004506996</t>
  </si>
  <si>
    <t>893629170</t>
  </si>
  <si>
    <t>W 84 S555d 1998</t>
  </si>
  <si>
    <t>0                      W  0084000S  555d        1998</t>
  </si>
  <si>
    <t>39116645</t>
  </si>
  <si>
    <t>991001531909702656</t>
  </si>
  <si>
    <t>2258499670002656</t>
  </si>
  <si>
    <t>9780834210813</t>
  </si>
  <si>
    <t>30001003961721</t>
  </si>
  <si>
    <t>893558073</t>
  </si>
  <si>
    <t>W 84 U58h 1991</t>
  </si>
  <si>
    <t>0                      W  0084000U  58h         1991</t>
  </si>
  <si>
    <t>Universal health care coverage in the United States / edited by James E. Hamner III, Ph.D., M.B.A.</t>
  </si>
  <si>
    <t>Memphis, Tenn. : University of Tennessee, Memphis, The Frank M. Norfleet Forum for the Advancement of Health, c1991.</t>
  </si>
  <si>
    <t>1997-03-23</t>
  </si>
  <si>
    <t>1991-08-23</t>
  </si>
  <si>
    <t>28824846:eng</t>
  </si>
  <si>
    <t>26318683</t>
  </si>
  <si>
    <t>991000945979702656</t>
  </si>
  <si>
    <t>2265238390002656</t>
  </si>
  <si>
    <t>30001002193763</t>
  </si>
  <si>
    <t>893826250</t>
  </si>
  <si>
    <t>W 84.1 A512c 1992</t>
  </si>
  <si>
    <t>0                      W  0084100A  512c        1992</t>
  </si>
  <si>
    <t>Change and continuity in health care in the United States : a position paper on access, health care financing, and reform.</t>
  </si>
  <si>
    <t>American Dental Association. Task Force on Access, Health Care Financing and Reform.</t>
  </si>
  <si>
    <t>[Chicago] : The Association, [1992]</t>
  </si>
  <si>
    <t>1151645368:eng</t>
  </si>
  <si>
    <t>27212369</t>
  </si>
  <si>
    <t>991001509769702656</t>
  </si>
  <si>
    <t>2270319280002656</t>
  </si>
  <si>
    <t>30001002600585</t>
  </si>
  <si>
    <t>893162093</t>
  </si>
  <si>
    <t>W 84.1 A549h 1989</t>
  </si>
  <si>
    <t>0                      W  0084100A  549h        1989</t>
  </si>
  <si>
    <t>The health services continuum in democratic states : an inquiry into solvable problems / Odin W. Anderson.</t>
  </si>
  <si>
    <t>Anderson, Odin W. (Odin Waldemar), 1914-2003.</t>
  </si>
  <si>
    <t>1994-02-28</t>
  </si>
  <si>
    <t>2762070846:eng</t>
  </si>
  <si>
    <t>19814503</t>
  </si>
  <si>
    <t>991001383309702656</t>
  </si>
  <si>
    <t>2264669980002656</t>
  </si>
  <si>
    <t>9780910701068</t>
  </si>
  <si>
    <t>30001001799198</t>
  </si>
  <si>
    <t>893161924</t>
  </si>
  <si>
    <t>W 84.1 B219h 1993</t>
  </si>
  <si>
    <t>0                      W  0084100B  219h        1993</t>
  </si>
  <si>
    <t>Health care technology and its assessment : an international perspective / H. David Banta and Bryan R. Luce.</t>
  </si>
  <si>
    <t>Banta, H. David (Henry David), 1938-</t>
  </si>
  <si>
    <t>Oxford ; New York : Oxford University Press, c1993.</t>
  </si>
  <si>
    <t>1999-07-06</t>
  </si>
  <si>
    <t>1993-12-15</t>
  </si>
  <si>
    <t>836727343:eng</t>
  </si>
  <si>
    <t>27728640</t>
  </si>
  <si>
    <t>991000646469702656</t>
  </si>
  <si>
    <t>2265921270002656</t>
  </si>
  <si>
    <t>9780192622976</t>
  </si>
  <si>
    <t>30001002690396</t>
  </si>
  <si>
    <t>893730836</t>
  </si>
  <si>
    <t>W 84.1 D225e 1987</t>
  </si>
  <si>
    <t>0                      W  0084100D  225e        1987</t>
  </si>
  <si>
    <t>Ethics in health services management / Kurt Darr.</t>
  </si>
  <si>
    <t>Darr, Kurt.</t>
  </si>
  <si>
    <t>New York : Praeger, c1987.</t>
  </si>
  <si>
    <t>1988-05-17</t>
  </si>
  <si>
    <t>1067623:eng</t>
  </si>
  <si>
    <t>15107372</t>
  </si>
  <si>
    <t>991001191549702656</t>
  </si>
  <si>
    <t>2257937660002656</t>
  </si>
  <si>
    <t>9780275924447</t>
  </si>
  <si>
    <t>30001000979437</t>
  </si>
  <si>
    <t>893541103</t>
  </si>
  <si>
    <t>W84.1 D225e 2005</t>
  </si>
  <si>
    <t>0                      W  0084100D  225e        2005</t>
  </si>
  <si>
    <t>Ethics in health services management / by Kurt Darr.</t>
  </si>
  <si>
    <t>Baltimore : Health Professions Press, c2005.</t>
  </si>
  <si>
    <t>2005-03-14</t>
  </si>
  <si>
    <t>55738858</t>
  </si>
  <si>
    <t>991000432579702656</t>
  </si>
  <si>
    <t>2270737990002656</t>
  </si>
  <si>
    <t>9781878812995</t>
  </si>
  <si>
    <t>30001004928505</t>
  </si>
  <si>
    <t>893456716</t>
  </si>
  <si>
    <t>W 84.1 D2938 2001</t>
  </si>
  <si>
    <t>0                      W  0084100D  2938        2001</t>
  </si>
  <si>
    <t>Decision making in health and medicine : integrating evidence and values / M.G. Myriam Hunink ... [et al.].</t>
  </si>
  <si>
    <t>Cambridge ; New York : Cambridge University Press, 2001.</t>
  </si>
  <si>
    <t>2005-04-08</t>
  </si>
  <si>
    <t>795354110:eng</t>
  </si>
  <si>
    <t>46402451</t>
  </si>
  <si>
    <t>991000358789702656</t>
  </si>
  <si>
    <t>2263720810002656</t>
  </si>
  <si>
    <t>9780521770293</t>
  </si>
  <si>
    <t>30001004218097</t>
  </si>
  <si>
    <t>893359502</t>
  </si>
  <si>
    <t>W 84.1 F263 1994 v.1</t>
  </si>
  <si>
    <t>0                      W  0084100F  263         1994                                        v.1</t>
  </si>
  <si>
    <t>Clinical practice improvement : a new technology for developing cost-effective quality health care / editors, Susan D. Horn and David S.P. Hopkins.</t>
  </si>
  <si>
    <t>New York, NY : Faulkner &amp; Gray, c1994.</t>
  </si>
  <si>
    <t>Faulkner &amp; Gray's medical outcomes and practice guidelines library ; v. 1</t>
  </si>
  <si>
    <t>2010-02-04</t>
  </si>
  <si>
    <t>1996-09-03</t>
  </si>
  <si>
    <t>33395801:eng</t>
  </si>
  <si>
    <t>30992807</t>
  </si>
  <si>
    <t>991000835249702656</t>
  </si>
  <si>
    <t>2257669390002656</t>
  </si>
  <si>
    <t>9781881393252</t>
  </si>
  <si>
    <t>30001003441518</t>
  </si>
  <si>
    <t>893648452</t>
  </si>
  <si>
    <t>W84.1 F761a 2002</t>
  </si>
  <si>
    <t>0                      W  0084100F  761a        2002</t>
  </si>
  <si>
    <t>Achieving service excellence : strategies for healthcare / Myron D. Fottler, Robert C. Ford, Cherrill Heaton.</t>
  </si>
  <si>
    <t>Fottler, Myron D.</t>
  </si>
  <si>
    <t>Chicago : Health Administration Press, C2002.</t>
  </si>
  <si>
    <t>2010-03-31</t>
  </si>
  <si>
    <t>2003-06-11</t>
  </si>
  <si>
    <t>797260006:eng</t>
  </si>
  <si>
    <t>49711637</t>
  </si>
  <si>
    <t>991000350029702656</t>
  </si>
  <si>
    <t>2268437520002656</t>
  </si>
  <si>
    <t>9781567931907</t>
  </si>
  <si>
    <t>30001004504595</t>
  </si>
  <si>
    <t>893365362</t>
  </si>
  <si>
    <t>W 84.1 G489q 1999</t>
  </si>
  <si>
    <t>0                      W  0084100G  489q        1999</t>
  </si>
  <si>
    <t>Quality improvement projects in health care : problem solving in the workplace / by Eleanor Gilpatrick.</t>
  </si>
  <si>
    <t>Gilpatrick, Eleanor G.</t>
  </si>
  <si>
    <t>Thousand Oaks, Calif. : Sage Publications, c1999.</t>
  </si>
  <si>
    <t>1999-08-13</t>
  </si>
  <si>
    <t>42507938:eng</t>
  </si>
  <si>
    <t>39289824</t>
  </si>
  <si>
    <t>991001573999702656</t>
  </si>
  <si>
    <t>2271976730002656</t>
  </si>
  <si>
    <t>9780761911661</t>
  </si>
  <si>
    <t>30001004011708</t>
  </si>
  <si>
    <t>893149341</t>
  </si>
  <si>
    <t>W 84.1 G624h 1981</t>
  </si>
  <si>
    <t>0                      W  0084100G  624h        1981</t>
  </si>
  <si>
    <t>Health care management : a contemporary perspective / Seth B. Goldsmith.</t>
  </si>
  <si>
    <t>Goldsmith, Seth B.</t>
  </si>
  <si>
    <t>1999-10-11</t>
  </si>
  <si>
    <t>252929895:eng</t>
  </si>
  <si>
    <t>6915052</t>
  </si>
  <si>
    <t>991000658739702656</t>
  </si>
  <si>
    <t>2269348530002656</t>
  </si>
  <si>
    <t>9780894433368</t>
  </si>
  <si>
    <t>30001000688285</t>
  </si>
  <si>
    <t>893631766</t>
  </si>
  <si>
    <t>W 84.1 H241m 2004</t>
  </si>
  <si>
    <t>0                      W  0084100H  241m        2004</t>
  </si>
  <si>
    <t>Management accounting for health care organizations : tools and techniques for decision support / Robert W. Hankins, Judith J. Baker.</t>
  </si>
  <si>
    <t>Hankins, Robert W.</t>
  </si>
  <si>
    <t>2004-08-10</t>
  </si>
  <si>
    <t>864148569:eng</t>
  </si>
  <si>
    <t>53926837</t>
  </si>
  <si>
    <t>991000377099702656</t>
  </si>
  <si>
    <t>2266581450002656</t>
  </si>
  <si>
    <t>9780763732257</t>
  </si>
  <si>
    <t>30001004445260</t>
  </si>
  <si>
    <t>893150995</t>
  </si>
  <si>
    <t>W 84.1 H4365 1983</t>
  </si>
  <si>
    <t>0                      W  0084100H  4365        1983</t>
  </si>
  <si>
    <t>Health care ministry assessment : a basic accountability process for sponsors of Catholic health care facilities.</t>
  </si>
  <si>
    <t>St. Louis, MO : Catholic Health Association of the United States, c1983.</t>
  </si>
  <si>
    <t>43437882:eng</t>
  </si>
  <si>
    <t>9576550</t>
  </si>
  <si>
    <t>991000658569702656</t>
  </si>
  <si>
    <t>2267593990002656</t>
  </si>
  <si>
    <t>9780871250872</t>
  </si>
  <si>
    <t>30001000688277</t>
  </si>
  <si>
    <t>893368140</t>
  </si>
  <si>
    <t>W 84.1 K92e 1994</t>
  </si>
  <si>
    <t>0                      W  0084100K  92e         1994</t>
  </si>
  <si>
    <t>Effective communication in multicultural health care settings / Gary L. Kreps, Elizabeth N. Kunimoto.</t>
  </si>
  <si>
    <t>Kreps, Gary L.</t>
  </si>
  <si>
    <t>Thousand Oaks, CA : Sage Publications, c1994.</t>
  </si>
  <si>
    <t>Communicating effectively in multicultural contexts ; 3</t>
  </si>
  <si>
    <t>2001-11-23</t>
  </si>
  <si>
    <t>31712956:eng</t>
  </si>
  <si>
    <t>29704254</t>
  </si>
  <si>
    <t>991001405229702656</t>
  </si>
  <si>
    <t>2260147380002656</t>
  </si>
  <si>
    <t>9780803947146</t>
  </si>
  <si>
    <t>30001003149822</t>
  </si>
  <si>
    <t>893638294</t>
  </si>
  <si>
    <t>W84.1 L4785e 2000</t>
  </si>
  <si>
    <t>0                      W  0084100L  4785e       2000</t>
  </si>
  <si>
    <t>Economics for healthcare managers / Robert H. Lee.</t>
  </si>
  <si>
    <t>Lee, Robert H., 1948-</t>
  </si>
  <si>
    <t>Chicago : Health Administration Press ; Washington, D.C. : AUPHA Press, c2000.</t>
  </si>
  <si>
    <t>2008-11-07</t>
  </si>
  <si>
    <t>55423:eng</t>
  </si>
  <si>
    <t>43903767</t>
  </si>
  <si>
    <t>991000324239702656</t>
  </si>
  <si>
    <t>2258224420002656</t>
  </si>
  <si>
    <t>9781567931303</t>
  </si>
  <si>
    <t>30001004442994</t>
  </si>
  <si>
    <t>893553419</t>
  </si>
  <si>
    <t>W84.1 L852m 2004</t>
  </si>
  <si>
    <t>0                      W  0084100L  852m        2004</t>
  </si>
  <si>
    <t>Managing health programs and projects / Beaufort B. Longest, Jr.</t>
  </si>
  <si>
    <t>Longest, Beaufort B., Jr.</t>
  </si>
  <si>
    <t>2005-11-22</t>
  </si>
  <si>
    <t>1051973:eng</t>
  </si>
  <si>
    <t>54896945</t>
  </si>
  <si>
    <t>991000449979702656</t>
  </si>
  <si>
    <t>2255100900002656</t>
  </si>
  <si>
    <t>9780787971854</t>
  </si>
  <si>
    <t>30001004911501</t>
  </si>
  <si>
    <t>893553582</t>
  </si>
  <si>
    <t>W84.1 L881 2001</t>
  </si>
  <si>
    <t>0                      W  0084100L  881         2001</t>
  </si>
  <si>
    <t>The lost art of caring : a challenge to health professionals, families, communities, and society / edited by Leighton E. Cluff and Robert H. Binstock.</t>
  </si>
  <si>
    <t>Baltimore, Md. : Johns Hopkins University Press, 2001.</t>
  </si>
  <si>
    <t>793896665:eng</t>
  </si>
  <si>
    <t>44585959</t>
  </si>
  <si>
    <t>991000316289702656</t>
  </si>
  <si>
    <t>2266064520002656</t>
  </si>
  <si>
    <t>9780801865916</t>
  </si>
  <si>
    <t>30001004239432</t>
  </si>
  <si>
    <t>893264111</t>
  </si>
  <si>
    <t>W 84.1 M2665 1999</t>
  </si>
  <si>
    <t>0                      W  0084100M  2665        1999</t>
  </si>
  <si>
    <t>Managing change in healthcare : innovative solutions for people-based organizations / M.K. Key.</t>
  </si>
  <si>
    <t>Key, M. K., 1949-</t>
  </si>
  <si>
    <t>311810816:eng</t>
  </si>
  <si>
    <t>40255982</t>
  </si>
  <si>
    <t>991000396859702656</t>
  </si>
  <si>
    <t>2258011820002656</t>
  </si>
  <si>
    <t>9780071341134</t>
  </si>
  <si>
    <t>30001004978989</t>
  </si>
  <si>
    <t>893123073</t>
  </si>
  <si>
    <t>W84.1 M267 2001</t>
  </si>
  <si>
    <t>0                      W  0084100M  267         2001</t>
  </si>
  <si>
    <t>Managing ethically : an executive's guide / edited by Paul B. Hofmann and William A. Nelson.</t>
  </si>
  <si>
    <t>Chicago, IL : Health Administration Press, c2001.</t>
  </si>
  <si>
    <t>35719308:eng</t>
  </si>
  <si>
    <t>45879809</t>
  </si>
  <si>
    <t>991000324169702656</t>
  </si>
  <si>
    <t>2254905370002656</t>
  </si>
  <si>
    <t>9781567931495</t>
  </si>
  <si>
    <t>30001004443000</t>
  </si>
  <si>
    <t>893639047</t>
  </si>
  <si>
    <t>W 84.1 M4893 1985</t>
  </si>
  <si>
    <t>0                      W  0084100M  4893        1985</t>
  </si>
  <si>
    <t>Medical innovation and bad outcomes : legal, social, and ethical responses / edited by Mark Siegler, and by Stephen Toulmin, Franklin E. Zimring, Kenneth F. Schaffner.</t>
  </si>
  <si>
    <t>Ann Arbor, Mich. : Health Administration Press, c1987.</t>
  </si>
  <si>
    <t>1989-07-29</t>
  </si>
  <si>
    <t>889714507:eng</t>
  </si>
  <si>
    <t>13796250</t>
  </si>
  <si>
    <t>991001251109702656</t>
  </si>
  <si>
    <t>2270079940002656</t>
  </si>
  <si>
    <t>9780910701150</t>
  </si>
  <si>
    <t>30001001678913</t>
  </si>
  <si>
    <t>893363912</t>
  </si>
  <si>
    <t>W 84.1 N277 1997</t>
  </si>
  <si>
    <t>0                      W  0084100N  277         1997</t>
  </si>
  <si>
    <t>The nation's health / edited by Philip R. Lee, Carroll L. Estes ; Liz Close, assoc. ed.</t>
  </si>
  <si>
    <t>Boston : Jones and Bartlett, c1997.</t>
  </si>
  <si>
    <t>2001-03-20</t>
  </si>
  <si>
    <t>502773115:eng</t>
  </si>
  <si>
    <t>36476977</t>
  </si>
  <si>
    <t>991000839969702656</t>
  </si>
  <si>
    <t>22101747170002656</t>
  </si>
  <si>
    <t>9780763704056</t>
  </si>
  <si>
    <t>30001003443787</t>
  </si>
  <si>
    <t>893648455</t>
  </si>
  <si>
    <t>W84.1 N277 2003</t>
  </si>
  <si>
    <t>0                      W  0084100N  277         2003</t>
  </si>
  <si>
    <t>The nation's health / edited by Philip R. Lee and Carroll L. Estes ; Fatima Rodriguez, assistant editor.</t>
  </si>
  <si>
    <t>Sudbury, Mass. : Jones and Bartlett Pub., c2003.</t>
  </si>
  <si>
    <t>2004-05-09</t>
  </si>
  <si>
    <t>2003-04-04</t>
  </si>
  <si>
    <t>51046827</t>
  </si>
  <si>
    <t>991001721429702656</t>
  </si>
  <si>
    <t>2270703720002656</t>
  </si>
  <si>
    <t>9780763707590</t>
  </si>
  <si>
    <t>30001004504025</t>
  </si>
  <si>
    <t>893546890</t>
  </si>
  <si>
    <t>W 84.1 O68 1983</t>
  </si>
  <si>
    <t>0                      W  0084100O  68          1983</t>
  </si>
  <si>
    <t>Organization and change in health care quality assurance / edited by Roice D. Luke, Janelle C. Krueger, Robert E. Modrow.</t>
  </si>
  <si>
    <t>2001-12-02</t>
  </si>
  <si>
    <t>1988-11-21</t>
  </si>
  <si>
    <t>429164874:eng</t>
  </si>
  <si>
    <t>9084242</t>
  </si>
  <si>
    <t>991000659019702656</t>
  </si>
  <si>
    <t>2266522700002656</t>
  </si>
  <si>
    <t>9780894439308</t>
  </si>
  <si>
    <t>30001000688327</t>
  </si>
  <si>
    <t>893454663</t>
  </si>
  <si>
    <t>W 84.1 P957s 1998</t>
  </si>
  <si>
    <t>0                      W  0084100P  957s        1998</t>
  </si>
  <si>
    <t>Strategic management for health care entities : creative frameworks for financial and operational analysis / Thomas R. Prince ; foreword by Stephen M. Shortell.</t>
  </si>
  <si>
    <t>Prince, Thomas R.</t>
  </si>
  <si>
    <t>42602237:eng</t>
  </si>
  <si>
    <t>38249145</t>
  </si>
  <si>
    <t>991000396589702656</t>
  </si>
  <si>
    <t>2272285830002656</t>
  </si>
  <si>
    <t>9781556482144</t>
  </si>
  <si>
    <t>30001004979086</t>
  </si>
  <si>
    <t>893447262</t>
  </si>
  <si>
    <t>W 84.1 P9656 2006</t>
  </si>
  <si>
    <t>0                      W  0084100P  9656        2006</t>
  </si>
  <si>
    <t>Promoting civic engagement in healthcare management education : concepts and case / Mary E. Stefl, Sherril B. Gelmon, Anne M. Hewitt, editors.</t>
  </si>
  <si>
    <t>Arlington, Va. : Association of University Programs in Health Administration, c2006.</t>
  </si>
  <si>
    <t>2010-11-29</t>
  </si>
  <si>
    <t>2010-10-26</t>
  </si>
  <si>
    <t>905705631:eng</t>
  </si>
  <si>
    <t>76942623</t>
  </si>
  <si>
    <t>991000062259702656</t>
  </si>
  <si>
    <t>2260141110002656</t>
  </si>
  <si>
    <t>30001005431020</t>
  </si>
  <si>
    <t>893122284</t>
  </si>
  <si>
    <t>W 84.1 R823L 2002</t>
  </si>
  <si>
    <t>0                      W  0084100R  823L        2002</t>
  </si>
  <si>
    <t>Leadership for the future : core competencies in healthcare / Austin Ross, Frederick J. Wenzel, Joseph W. Mitlyng.</t>
  </si>
  <si>
    <t>Ross, Austin.</t>
  </si>
  <si>
    <t>Chicago : Health Administration Press ; Washington, D.C. : AUPHA Press, c2002.</t>
  </si>
  <si>
    <t>941756:eng</t>
  </si>
  <si>
    <t>47177741</t>
  </si>
  <si>
    <t>991000379449702656</t>
  </si>
  <si>
    <t>2265012530002656</t>
  </si>
  <si>
    <t>9781567931600</t>
  </si>
  <si>
    <t>30001004219939</t>
  </si>
  <si>
    <t>893629182</t>
  </si>
  <si>
    <t>W 84.1 R896i 1975</t>
  </si>
  <si>
    <t>0                      W  0084100R  896i        1975</t>
  </si>
  <si>
    <t>Improving the coordination of care : a program for health team development / Irwin M. Rubin, Mark S. Plovnick, and Ronald E. Fry.</t>
  </si>
  <si>
    <t>Rubin, Irwin M., 1939-</t>
  </si>
  <si>
    <t>Cambridge, MA. : Ballinger Pub. Co., c1975.</t>
  </si>
  <si>
    <t>221921922:eng</t>
  </si>
  <si>
    <t>1531881</t>
  </si>
  <si>
    <t>991000659049702656</t>
  </si>
  <si>
    <t>2271830610002656</t>
  </si>
  <si>
    <t>9780884101208</t>
  </si>
  <si>
    <t>30001000688343</t>
  </si>
  <si>
    <t>893283317</t>
  </si>
  <si>
    <t>W 84.1 S258 1987</t>
  </si>
  <si>
    <t>0                      W  0084100S  258         1987</t>
  </si>
  <si>
    <t>Scarce medical resources and justice / contributors to this volume, Fiorenzo Angelini ... [et al.].</t>
  </si>
  <si>
    <t>Braintree, Mass. : Pope John Center, c1987.</t>
  </si>
  <si>
    <t>138589996:eng</t>
  </si>
  <si>
    <t>16227518</t>
  </si>
  <si>
    <t>991001423719702656</t>
  </si>
  <si>
    <t>2268615580002656</t>
  </si>
  <si>
    <t>9780935372212</t>
  </si>
  <si>
    <t>30001001183401</t>
  </si>
  <si>
    <t>893284794</t>
  </si>
  <si>
    <t>W84.1 S746 2004</t>
  </si>
  <si>
    <t>0                      W  0084100S  746         2004</t>
  </si>
  <si>
    <t>Spending wisely : buying health services for the poor / Alexander S. Preker, John C. Langenbrunner.</t>
  </si>
  <si>
    <t>Washington, DC : World Bank, 2004.</t>
  </si>
  <si>
    <t>2008-10-27</t>
  </si>
  <si>
    <t>793948841:eng</t>
  </si>
  <si>
    <t>55885446</t>
  </si>
  <si>
    <t>991000674139702656</t>
  </si>
  <si>
    <t>2258772850002656</t>
  </si>
  <si>
    <t>9780821359181</t>
  </si>
  <si>
    <t>30001005127255</t>
  </si>
  <si>
    <t>893834148</t>
  </si>
  <si>
    <t>W 84.1 T268 1998</t>
  </si>
  <si>
    <t>0                      W  0084100T  268         1998</t>
  </si>
  <si>
    <t>Telemedicine : practicing in the information age / edited by Steven F. Viegas, Kim Dunn.</t>
  </si>
  <si>
    <t>Philadelphia, Pa. : Lippincott-Raven, c1998.</t>
  </si>
  <si>
    <t>2003-06-30</t>
  </si>
  <si>
    <t>1999-01-07</t>
  </si>
  <si>
    <t>476244105:eng</t>
  </si>
  <si>
    <t>38562382</t>
  </si>
  <si>
    <t>991001549019702656</t>
  </si>
  <si>
    <t>2265751910002656</t>
  </si>
  <si>
    <t>9780397518432</t>
  </si>
  <si>
    <t>30001004037786</t>
  </si>
  <si>
    <t>893826857</t>
  </si>
  <si>
    <t>W 84.1 T584p 2003</t>
  </si>
  <si>
    <t>0                      W  0084100T  584p        2003</t>
  </si>
  <si>
    <t>Planning, program development, and evaluation : a handbook for health promotion, aging, and health services / Thomas C. Timmreck.</t>
  </si>
  <si>
    <t>Timmreck, Thomas C.</t>
  </si>
  <si>
    <t>Sudbury, Mass. : Jones and Bartlett, c2003.</t>
  </si>
  <si>
    <t>2010-07-29</t>
  </si>
  <si>
    <t>2009-01-15</t>
  </si>
  <si>
    <t>1045619:eng</t>
  </si>
  <si>
    <t>48892511</t>
  </si>
  <si>
    <t>991001343159702656</t>
  </si>
  <si>
    <t>2269212500002656</t>
  </si>
  <si>
    <t>9780763700621</t>
  </si>
  <si>
    <t>30001005384567</t>
  </si>
  <si>
    <t>893741053</t>
  </si>
  <si>
    <t>W 84.1 W729w 1992</t>
  </si>
  <si>
    <t>0                      W  0084100W  729w        1992</t>
  </si>
  <si>
    <t>Whose standards : consumer and professional standards in health care / Charlotte Williamson.</t>
  </si>
  <si>
    <t>Williamson, Charlotte, 1932-</t>
  </si>
  <si>
    <t>Buckingham ; Philadelphia : Open University Press, c1992.</t>
  </si>
  <si>
    <t>1097261805:eng</t>
  </si>
  <si>
    <t>25677438</t>
  </si>
  <si>
    <t>991001431959702656</t>
  </si>
  <si>
    <t>2269021210002656</t>
  </si>
  <si>
    <t>9780335097203</t>
  </si>
  <si>
    <t>30001002529651</t>
  </si>
  <si>
    <t>893460582</t>
  </si>
  <si>
    <t>W 84.1 W731h 1981</t>
  </si>
  <si>
    <t>0                      W  0084100W  731h        1981</t>
  </si>
  <si>
    <t>Health accounting for quality assurance : a manual for assessing &amp; improving outcomes of care / John W. Williamson, Patricia Curran Ostrow, Harriet R. Braswell.</t>
  </si>
  <si>
    <t>Williamson, John W., 1931-</t>
  </si>
  <si>
    <t>Rockville, Md. : American Occupational Therapy Association, c1981.</t>
  </si>
  <si>
    <t>2000-03-20</t>
  </si>
  <si>
    <t>1010442380:eng</t>
  </si>
  <si>
    <t>10724344</t>
  </si>
  <si>
    <t>991000659089702656</t>
  </si>
  <si>
    <t>2263182530002656</t>
  </si>
  <si>
    <t>9780910317085</t>
  </si>
  <si>
    <t>30001000688350</t>
  </si>
  <si>
    <t>893830930</t>
  </si>
  <si>
    <t>W 84.3 E92 1998</t>
  </si>
  <si>
    <t>0                      W  0084300E  92          1998</t>
  </si>
  <si>
    <t>Evaluating the healthcare system : effectiveness, efficiency, and equity / Lu Ann Aday ... [et al.].</t>
  </si>
  <si>
    <t>Chicago : Health Administration Press, c1998.</t>
  </si>
  <si>
    <t>896238895:eng</t>
  </si>
  <si>
    <t>38386686</t>
  </si>
  <si>
    <t>991001561319702656</t>
  </si>
  <si>
    <t>2260036700002656</t>
  </si>
  <si>
    <t>9781567930795</t>
  </si>
  <si>
    <t>30001004159200</t>
  </si>
  <si>
    <t>893826866</t>
  </si>
  <si>
    <t>W 84.3 H434 1991</t>
  </si>
  <si>
    <t>0                      W  0084300H  434         1991</t>
  </si>
  <si>
    <t>Health services research : key to health policy / edited by Eli Ginzberg.</t>
  </si>
  <si>
    <t>Cambridge, Mass. : Harvard University Press, c1991.</t>
  </si>
  <si>
    <t>1995-09-13</t>
  </si>
  <si>
    <t>1991-06-26</t>
  </si>
  <si>
    <t>836716474:eng</t>
  </si>
  <si>
    <t>21973604</t>
  </si>
  <si>
    <t>991000940369702656</t>
  </si>
  <si>
    <t>2266549880002656</t>
  </si>
  <si>
    <t>9780674385757</t>
  </si>
  <si>
    <t>30001002192484</t>
  </si>
  <si>
    <t>893727103</t>
  </si>
  <si>
    <t>W 84.3 I347 1992</t>
  </si>
  <si>
    <t>0                      W  0084300I  347         1992</t>
  </si>
  <si>
    <t>Improving health policy and management : nine critical research issues for the 1990s / edited by Stephen M. Shortell, Uwe E. Reinhardt.</t>
  </si>
  <si>
    <t>Ann Arbor, Mich. : AHSR/HAP, c1992.</t>
  </si>
  <si>
    <t>The Baxter health policy review.</t>
  </si>
  <si>
    <t>1993-06-21</t>
  </si>
  <si>
    <t>428312386:eng</t>
  </si>
  <si>
    <t>25200488</t>
  </si>
  <si>
    <t>991001480849702656</t>
  </si>
  <si>
    <t>2262715310002656</t>
  </si>
  <si>
    <t>9780910701822</t>
  </si>
  <si>
    <t>30001002569368</t>
  </si>
  <si>
    <t>893284846</t>
  </si>
  <si>
    <t>W84.3 M647r 2001</t>
  </si>
  <si>
    <t>0                      W  0084300M  647r        2001</t>
  </si>
  <si>
    <t>Risk stratification : a practical guide for clinicians / Charles C. Miller III, Michael J. Reardon, Hazim J. Safi.</t>
  </si>
  <si>
    <t>Miller, Charles C. (Charles Claude), 1961-</t>
  </si>
  <si>
    <t>Cambridge, UK ; New York, NY : Cambridge University Press, 2001.</t>
  </si>
  <si>
    <t>2003-06-09</t>
  </si>
  <si>
    <t>2003-06-06</t>
  </si>
  <si>
    <t>837010673:eng</t>
  </si>
  <si>
    <t>45682563</t>
  </si>
  <si>
    <t>991000349139702656</t>
  </si>
  <si>
    <t>2261419780002656</t>
  </si>
  <si>
    <t>9780521669450</t>
  </si>
  <si>
    <t>30001004502847</t>
  </si>
  <si>
    <t>893633814</t>
  </si>
  <si>
    <t>W 84.3 V457e 1998</t>
  </si>
  <si>
    <t>0                      W  0084300V  457e        1998</t>
  </si>
  <si>
    <t>Evaluation &amp; decision making for health services / James E. Veney, Arnold D. Kaluzny.</t>
  </si>
  <si>
    <t>Veney, James E.</t>
  </si>
  <si>
    <t>1999-11-29</t>
  </si>
  <si>
    <t>43400539:eng</t>
  </si>
  <si>
    <t>39069333</t>
  </si>
  <si>
    <t>991000794909702656</t>
  </si>
  <si>
    <t>2259842600002656</t>
  </si>
  <si>
    <t>9781567930887</t>
  </si>
  <si>
    <t>30001004077907</t>
  </si>
  <si>
    <t>893368569</t>
  </si>
  <si>
    <t>W 84.3 V624w 1993</t>
  </si>
  <si>
    <t>0                      W  0084300V  624w        1993</t>
  </si>
  <si>
    <t>What works / Spencer Vibbert.</t>
  </si>
  <si>
    <t>[Knoxville, Tenn.] : Whittle Direct Books, c1993.</t>
  </si>
  <si>
    <t>The Grand Rounds Press, 1053-6620</t>
  </si>
  <si>
    <t>1995-07-11</t>
  </si>
  <si>
    <t>5164550648:eng</t>
  </si>
  <si>
    <t>28938224</t>
  </si>
  <si>
    <t>991001509819702656</t>
  </si>
  <si>
    <t>2271151960002656</t>
  </si>
  <si>
    <t>30001002600635</t>
  </si>
  <si>
    <t>893816480</t>
  </si>
  <si>
    <t>W 84.5 C55c 1978</t>
  </si>
  <si>
    <t>0                      W  0084500C  55c         1978</t>
  </si>
  <si>
    <t>Community medicine : some new perspectives / Rodney M. Coe, Max Pepper.</t>
  </si>
  <si>
    <t>Coe, Rodney M.</t>
  </si>
  <si>
    <t>New York : McGraw-Hill, c1978.</t>
  </si>
  <si>
    <t>2001-03-07</t>
  </si>
  <si>
    <t>347086333:eng</t>
  </si>
  <si>
    <t>3669342</t>
  </si>
  <si>
    <t>991000659129702656</t>
  </si>
  <si>
    <t>2262067240002656</t>
  </si>
  <si>
    <t>9780070115484</t>
  </si>
  <si>
    <t>30001000688376</t>
  </si>
  <si>
    <t>893368142</t>
  </si>
  <si>
    <t>W 84.5 G558c 1987</t>
  </si>
  <si>
    <t>0                      W  0084500G  558c        1987</t>
  </si>
  <si>
    <t>Collaborative health care : a family-oriented model / Michael L. Glenn.</t>
  </si>
  <si>
    <t>Glenn, Michael L. (Michael Lyon), 1938-</t>
  </si>
  <si>
    <t>836709563:eng</t>
  </si>
  <si>
    <t>15252047</t>
  </si>
  <si>
    <t>991000812289702656</t>
  </si>
  <si>
    <t>2266490770002656</t>
  </si>
  <si>
    <t>9780275923198</t>
  </si>
  <si>
    <t>30001002085084</t>
  </si>
  <si>
    <t>893148377</t>
  </si>
  <si>
    <t>W 84.5 P993 2003</t>
  </si>
  <si>
    <t>0                      W  0084500P  993         2003</t>
  </si>
  <si>
    <t>Putting patients first : designing and practicing patient-centered care / Susan B. Frampton, Laura Gilpin, Patrick Charmel, editors.</t>
  </si>
  <si>
    <t>2004-09-20</t>
  </si>
  <si>
    <t>3858664275:eng</t>
  </si>
  <si>
    <t>51724604</t>
  </si>
  <si>
    <t>991000365539702656</t>
  </si>
  <si>
    <t>2259688100002656</t>
  </si>
  <si>
    <t>9780787964122</t>
  </si>
  <si>
    <t>30001004922995</t>
  </si>
  <si>
    <t>893723405</t>
  </si>
  <si>
    <t>W 84.6 B422 1997</t>
  </si>
  <si>
    <t>0                      W  0084600B  422         1997</t>
  </si>
  <si>
    <t>Behavioral medicine in primary care : a practical guide / edited by Mitchell D. Feldman, John F. Christensen.</t>
  </si>
  <si>
    <t>2002-07-15</t>
  </si>
  <si>
    <t>3856263859:eng</t>
  </si>
  <si>
    <t>36986491</t>
  </si>
  <si>
    <t>991000785029702656</t>
  </si>
  <si>
    <t>2268301340002656</t>
  </si>
  <si>
    <t>9780838506363</t>
  </si>
  <si>
    <t>30001004072627</t>
  </si>
  <si>
    <t>893726805</t>
  </si>
  <si>
    <t>W 84.6 C344d 1997</t>
  </si>
  <si>
    <t>0                      W  0084600C  344d        1997</t>
  </si>
  <si>
    <t>Doctoring : the nature of primary care medicine / Eric J. Cassell.</t>
  </si>
  <si>
    <t>New York : Oxford University Press, c1997.</t>
  </si>
  <si>
    <t>1999-12-30</t>
  </si>
  <si>
    <t>1998-01-22</t>
  </si>
  <si>
    <t>793952417:eng</t>
  </si>
  <si>
    <t>35262302</t>
  </si>
  <si>
    <t>991001294859702656</t>
  </si>
  <si>
    <t>2264304100002656</t>
  </si>
  <si>
    <t>9780195113235</t>
  </si>
  <si>
    <t>30001003741446</t>
  </si>
  <si>
    <t>893826637</t>
  </si>
  <si>
    <t>W 84.6 D355 1992</t>
  </si>
  <si>
    <t>0                      W  0084600D  355         1992</t>
  </si>
  <si>
    <t>Delivering health care to homeless persons : the diagnosis and management of medical and mental health conditions / David Wood, editor.</t>
  </si>
  <si>
    <t>New York, N.Y. : Springer Pub. Co., c1992.</t>
  </si>
  <si>
    <t>1992-05-08</t>
  </si>
  <si>
    <t>1020766949:eng</t>
  </si>
  <si>
    <t>24319745</t>
  </si>
  <si>
    <t>991001033619702656</t>
  </si>
  <si>
    <t>2265747060002656</t>
  </si>
  <si>
    <t>9780826177803</t>
  </si>
  <si>
    <t>30001002244301</t>
  </si>
  <si>
    <t>893121128</t>
  </si>
  <si>
    <t>W 84.6 D657 1992</t>
  </si>
  <si>
    <t>0                      W  0084600D  657         1992</t>
  </si>
  <si>
    <t>Doing qualitative research : multiple strategies / edited by Benjamin F. Crabtree, William L. Miller.</t>
  </si>
  <si>
    <t>Sage Publications : Newbury Park, CA, c1992.</t>
  </si>
  <si>
    <t>Research methods for primary care ; v. 3</t>
  </si>
  <si>
    <t>2000-02-27</t>
  </si>
  <si>
    <t>350246582:eng</t>
  </si>
  <si>
    <t>25369633</t>
  </si>
  <si>
    <t>991001340359702656</t>
  </si>
  <si>
    <t>2271977430002656</t>
  </si>
  <si>
    <t>9780803943117</t>
  </si>
  <si>
    <t>30001002455394</t>
  </si>
  <si>
    <t>893821127</t>
  </si>
  <si>
    <t>W 84.6 E925s 1997</t>
  </si>
  <si>
    <t>0                      W  0084600E  925s        1997</t>
  </si>
  <si>
    <t>Seamless connections : refocusing your organization to create a successful continuum of care / Connie J. Evashwick ; foreword by Philip A. Newbold.</t>
  </si>
  <si>
    <t>Evashwick, Connie.</t>
  </si>
  <si>
    <t>Chicago : American Hospital Pub., c1997.</t>
  </si>
  <si>
    <t>666828:eng</t>
  </si>
  <si>
    <t>36083998</t>
  </si>
  <si>
    <t>991000396989702656</t>
  </si>
  <si>
    <t>2266229750002656</t>
  </si>
  <si>
    <t>9781556481833</t>
  </si>
  <si>
    <t>30001004978948</t>
  </si>
  <si>
    <t>893269435</t>
  </si>
  <si>
    <t>W 84.6 F979 1988</t>
  </si>
  <si>
    <t>0                      W  0084600F  979         1988</t>
  </si>
  <si>
    <t>Functional status measurement in primary care / foreword by Sheldon Greenfield ; with contributions by M. Baker ... [et al.].</t>
  </si>
  <si>
    <t>New York : Springer-Verlag, c1990.</t>
  </si>
  <si>
    <t>2007-03-07</t>
  </si>
  <si>
    <t>1992-02-04</t>
  </si>
  <si>
    <t>22710197:eng</t>
  </si>
  <si>
    <t>20894192</t>
  </si>
  <si>
    <t>991001031769702656</t>
  </si>
  <si>
    <t>2266182200002656</t>
  </si>
  <si>
    <t>9780387971988</t>
  </si>
  <si>
    <t>30001002243956</t>
  </si>
  <si>
    <t>893134200</t>
  </si>
  <si>
    <t>W 84.6 I587p 1996</t>
  </si>
  <si>
    <t>0                      W  0084600I  587p        1996</t>
  </si>
  <si>
    <t>Primary care : America's health in a new era / Molla S. Donaldson ... [et al.], editors ; Committee on the Future of Primary Care, Division of Health Care Services, Institute of Medicine.</t>
  </si>
  <si>
    <t>Institute of Medicine (U.S.). Division of Health Care Services. Committee on the Future of Primary Care.</t>
  </si>
  <si>
    <t>Washington, D.C. : National Academy Press, c1996.</t>
  </si>
  <si>
    <t>1997-08-12</t>
  </si>
  <si>
    <t>1997-05-02</t>
  </si>
  <si>
    <t>794357632:eng</t>
  </si>
  <si>
    <t>34766631</t>
  </si>
  <si>
    <t>991001058439702656</t>
  </si>
  <si>
    <t>2270143400002656</t>
  </si>
  <si>
    <t>9780309053990</t>
  </si>
  <si>
    <t>30001003588722</t>
  </si>
  <si>
    <t>893632686</t>
  </si>
  <si>
    <t>W84.6 LI619 1999</t>
  </si>
  <si>
    <t>0                      W  0084600LI 619         1999</t>
  </si>
  <si>
    <t>Primary health care in urban communities / [edited by] Beverly J. McElmurry, Cynthia Tyska, Randy Spreen Parker ; with the assistance of Todd Hissong.</t>
  </si>
  <si>
    <t>Sudbury, Mass. : Jones and Bartlett Publishers : NLN Press, c1999.</t>
  </si>
  <si>
    <t>National League for Nursing series</t>
  </si>
  <si>
    <t>2007-04-16</t>
  </si>
  <si>
    <t>2002-07-03</t>
  </si>
  <si>
    <t>3901683686:eng</t>
  </si>
  <si>
    <t>40444072</t>
  </si>
  <si>
    <t>991001705239702656</t>
  </si>
  <si>
    <t>2271368400002656</t>
  </si>
  <si>
    <t>9780763710101</t>
  </si>
  <si>
    <t>30001004442853</t>
  </si>
  <si>
    <t>893834744</t>
  </si>
  <si>
    <t>W 84.6 M266 1979</t>
  </si>
  <si>
    <t>0                      W  0084600M  266         1979</t>
  </si>
  <si>
    <t>The Management of common human miseries : a text for primary health care practitioners / Bonnie Bullough, editor ; with contributors.</t>
  </si>
  <si>
    <t>New York : Springer, c1979.</t>
  </si>
  <si>
    <t>2001-04-23</t>
  </si>
  <si>
    <t>14790722:eng</t>
  </si>
  <si>
    <t>4504138</t>
  </si>
  <si>
    <t>991000659379702656</t>
  </si>
  <si>
    <t>2264935200002656</t>
  </si>
  <si>
    <t>9780826121905</t>
  </si>
  <si>
    <t>30001000688392</t>
  </si>
  <si>
    <t>893551272</t>
  </si>
  <si>
    <t>W 84.6 M4891 1996</t>
  </si>
  <si>
    <t>0                      W  0084600M  4891        1996</t>
  </si>
  <si>
    <t>Medicine : a primary care approach / [edited by] Richard H. Rubin ... [et al.].</t>
  </si>
  <si>
    <t>2008-12-10</t>
  </si>
  <si>
    <t>836953589:eng</t>
  </si>
  <si>
    <t>32705459</t>
  </si>
  <si>
    <t>991000852729702656</t>
  </si>
  <si>
    <t>2271165090002656</t>
  </si>
  <si>
    <t>9780721652009</t>
  </si>
  <si>
    <t>30001003474246</t>
  </si>
  <si>
    <t>893648579</t>
  </si>
  <si>
    <t>W 84.6 P94912 1999</t>
  </si>
  <si>
    <t>0                      W  0084600P  94912       1999</t>
  </si>
  <si>
    <t>Primary care : a collaborative practice / [edited by] Terry Mahan Buttaro ... [et al.].</t>
  </si>
  <si>
    <t>St. Louis : Mosby, c1999.</t>
  </si>
  <si>
    <t>2000-11-18</t>
  </si>
  <si>
    <t>1999-08-20</t>
  </si>
  <si>
    <t>796701911:eng</t>
  </si>
  <si>
    <t>41211416</t>
  </si>
  <si>
    <t>991000576229702656</t>
  </si>
  <si>
    <t>2260017450002656</t>
  </si>
  <si>
    <t>9780815138235</t>
  </si>
  <si>
    <t>30001004011658</t>
  </si>
  <si>
    <t>893641361</t>
  </si>
  <si>
    <t>W84.6 P94916 2006</t>
  </si>
  <si>
    <t>0                      W  0084600P  94916       2006</t>
  </si>
  <si>
    <t>Primary care medicine : office evaluation and management of the adult patient / [edited by] Allan H. Goroll, Albert G. Mulley, Jr. ; with 65 contributors.</t>
  </si>
  <si>
    <t>2005-11-04</t>
  </si>
  <si>
    <t>1077434923:eng</t>
  </si>
  <si>
    <t>60414518</t>
  </si>
  <si>
    <t>991000447409702656</t>
  </si>
  <si>
    <t>2258395440002656</t>
  </si>
  <si>
    <t>9780781748780</t>
  </si>
  <si>
    <t>30001004913150</t>
  </si>
  <si>
    <t>893537248</t>
  </si>
  <si>
    <t>W84.6 P94918 2000</t>
  </si>
  <si>
    <t>0                      W  0084600P  94918       2000</t>
  </si>
  <si>
    <t>Primary care of the older adult : a multidisciplinary approach / [edited by] Mary M. Burke, Joy A. Laramie.</t>
  </si>
  <si>
    <t>St. Louis : Mosby, c2000.</t>
  </si>
  <si>
    <t>2002-06-27</t>
  </si>
  <si>
    <t>837020357:eng</t>
  </si>
  <si>
    <t>42969532</t>
  </si>
  <si>
    <t>991001714749702656</t>
  </si>
  <si>
    <t>2266510690002656</t>
  </si>
  <si>
    <t>9780815189169</t>
  </si>
  <si>
    <t>30001004442416</t>
  </si>
  <si>
    <t>893552702</t>
  </si>
  <si>
    <t>W 84.6 P9493 1991</t>
  </si>
  <si>
    <t>0                      W  0084600P  9493        1991</t>
  </si>
  <si>
    <t>Primary care research : traditional and innovative approaches / edited by Peter G. Norton ... [et al.].</t>
  </si>
  <si>
    <t>Newbury Park : Sage Publications, c1991.</t>
  </si>
  <si>
    <t>Research methods for primary care ; v. 1</t>
  </si>
  <si>
    <t>1992-09-04</t>
  </si>
  <si>
    <t>836747251:eng</t>
  </si>
  <si>
    <t>22664412</t>
  </si>
  <si>
    <t>991001341409702656</t>
  </si>
  <si>
    <t>2261219770002656</t>
  </si>
  <si>
    <t>9780803938700</t>
  </si>
  <si>
    <t>30001002455907</t>
  </si>
  <si>
    <t>893287359</t>
  </si>
  <si>
    <t>W 84.6 P953 1972</t>
  </si>
  <si>
    <t>0                      W  0084600P  953         1972</t>
  </si>
  <si>
    <t>Primary health care - everybody's business : papers presented at the sixth annual meeting of the Council of Hospital and Related Institutional Nursing Services held at Miami Beach, Florida, on October 12-13, 1972.</t>
  </si>
  <si>
    <t>New York : National League for Nursing, c1973.</t>
  </si>
  <si>
    <t>NLN pub. no. 20-1482</t>
  </si>
  <si>
    <t>1990-05-04</t>
  </si>
  <si>
    <t>6858193:eng</t>
  </si>
  <si>
    <t>2932038</t>
  </si>
  <si>
    <t>991001384319702656</t>
  </si>
  <si>
    <t>2258668300002656</t>
  </si>
  <si>
    <t>30001000463390</t>
  </si>
  <si>
    <t>893557920</t>
  </si>
  <si>
    <t>W84.6 P963 1994</t>
  </si>
  <si>
    <t>0                      W  0084600P  963         1994</t>
  </si>
  <si>
    <t>Procedures for primary care physicians / edited by John L. Pfenninger, Grant C. Fowler ; illustrated by Theodore G. Huff and associates.</t>
  </si>
  <si>
    <t>Mosby-Year Book primary care series</t>
  </si>
  <si>
    <t>1996-03-05</t>
  </si>
  <si>
    <t>1995-12-07</t>
  </si>
  <si>
    <t>503061968:eng</t>
  </si>
  <si>
    <t>30068082</t>
  </si>
  <si>
    <t>991001500159702656</t>
  </si>
  <si>
    <t>2256531100002656</t>
  </si>
  <si>
    <t>9780801663840</t>
  </si>
  <si>
    <t>30001003262328</t>
  </si>
  <si>
    <t>893652048</t>
  </si>
  <si>
    <t>W84.6 S933 2003</t>
  </si>
  <si>
    <t>0                      W  0084600S  933         2003</t>
  </si>
  <si>
    <t>Student guide to primary care : making the most of your early clinical experience / edited by David J. Steele, Jeffrey L. Susman, Fredrick A. McCurdy.</t>
  </si>
  <si>
    <t>Philadelphia : Hanley &amp; Belfus, c2003.</t>
  </si>
  <si>
    <t>836893176:eng</t>
  </si>
  <si>
    <t>49874661</t>
  </si>
  <si>
    <t>991000338799702656</t>
  </si>
  <si>
    <t>2267062180002656</t>
  </si>
  <si>
    <t>9781560535454</t>
  </si>
  <si>
    <t>30001004501682</t>
  </si>
  <si>
    <t>893639083</t>
  </si>
  <si>
    <t>W 84.6 W683m 1992</t>
  </si>
  <si>
    <t>0                      W  0084600W  683m        1992</t>
  </si>
  <si>
    <t>Measures of need and outcome for primary health care / David Wilkin, Lesley Hallam, and Marie-Anne Doggett.</t>
  </si>
  <si>
    <t>Wilkin, David.</t>
  </si>
  <si>
    <t>Oxford ; New York : Oxford University Press, c1992.</t>
  </si>
  <si>
    <t>2001-09-18</t>
  </si>
  <si>
    <t>1992-04-08</t>
  </si>
  <si>
    <t>26400820:eng</t>
  </si>
  <si>
    <t>24318702</t>
  </si>
  <si>
    <t>991001301399702656</t>
  </si>
  <si>
    <t>2272729470002656</t>
  </si>
  <si>
    <t>9780192618184</t>
  </si>
  <si>
    <t>30001002411975</t>
  </si>
  <si>
    <t>893465391</t>
  </si>
  <si>
    <t>W84.7 D611 1996</t>
  </si>
  <si>
    <t>0                      W  0084700D  611         1996</t>
  </si>
  <si>
    <t>Disease management : a systems approach to improving patient outcomes / Warren E. Todd, David Nash, editors ; foreword by Bill Frist.</t>
  </si>
  <si>
    <t>2005-01-24</t>
  </si>
  <si>
    <t>1998-07-29</t>
  </si>
  <si>
    <t>478402953:eng</t>
  </si>
  <si>
    <t>35235612</t>
  </si>
  <si>
    <t>991001809589702656</t>
  </si>
  <si>
    <t>2254834800002656</t>
  </si>
  <si>
    <t>9781556481680</t>
  </si>
  <si>
    <t>30001004090744</t>
  </si>
  <si>
    <t>893285339</t>
  </si>
  <si>
    <t>W 84.7 H434 1998</t>
  </si>
  <si>
    <t>0                      W  0084700H  434         1998</t>
  </si>
  <si>
    <t>Health care outcomes : collaborative, path-based approaches / [edited by] Suzanne Smith Blancett, Dominick L. Flarey.</t>
  </si>
  <si>
    <t>2000-04-22</t>
  </si>
  <si>
    <t>42166709:eng</t>
  </si>
  <si>
    <t>38431144</t>
  </si>
  <si>
    <t>991000595419702656</t>
  </si>
  <si>
    <t>2258024890002656</t>
  </si>
  <si>
    <t>9780834211377</t>
  </si>
  <si>
    <t>30001004014900</t>
  </si>
  <si>
    <t>893454108</t>
  </si>
  <si>
    <t>W84.7 I612 2000</t>
  </si>
  <si>
    <t>0                      W  0084700I  612         2000</t>
  </si>
  <si>
    <t>Integrated care pathways : a practical approach to implementation / edited by Sue Middleton and Adrian Roberts.</t>
  </si>
  <si>
    <t>Oxford ; Boston : Butterworth-Heinemann, 2000.</t>
  </si>
  <si>
    <t>36554689:eng</t>
  </si>
  <si>
    <t>47137138</t>
  </si>
  <si>
    <t>991000318949702656</t>
  </si>
  <si>
    <t>2267118810002656</t>
  </si>
  <si>
    <t>9780750640879</t>
  </si>
  <si>
    <t>30001004239572</t>
  </si>
  <si>
    <t>893359437</t>
  </si>
  <si>
    <t>W 84.7 L297e 1997</t>
  </si>
  <si>
    <t>0                      W  0084700L  297e        1997</t>
  </si>
  <si>
    <t>Essentials for the activity professional in long-term care / Susan E. Lanza.</t>
  </si>
  <si>
    <t>Lanza, Susan E.</t>
  </si>
  <si>
    <t>Albany, N.Y. : Delmar Publishers, c1997.</t>
  </si>
  <si>
    <t>1998-07-30</t>
  </si>
  <si>
    <t>5579374929:eng</t>
  </si>
  <si>
    <t>34724004</t>
  </si>
  <si>
    <t>991001568189702656</t>
  </si>
  <si>
    <t>2258397460002656</t>
  </si>
  <si>
    <t>9780827373877</t>
  </si>
  <si>
    <t>30001004090496</t>
  </si>
  <si>
    <t>893121645</t>
  </si>
  <si>
    <t>W84.7 L722 2004</t>
  </si>
  <si>
    <t>0                      W  0084700L  722         2004</t>
  </si>
  <si>
    <t>Life care planning and case management handbook / edited by Roger O. Weed.</t>
  </si>
  <si>
    <t>Boca Raton : CRC Press, c2004.</t>
  </si>
  <si>
    <t>2005-09-30</t>
  </si>
  <si>
    <t>766933529:eng</t>
  </si>
  <si>
    <t>53285179</t>
  </si>
  <si>
    <t>991000445309702656</t>
  </si>
  <si>
    <t>2259669280002656</t>
  </si>
  <si>
    <t>9780849315114</t>
  </si>
  <si>
    <t>30001004913622</t>
  </si>
  <si>
    <t>893461505</t>
  </si>
  <si>
    <t>W 84.7 P712 1997</t>
  </si>
  <si>
    <t>0                      W  0084700P  712         1997</t>
  </si>
  <si>
    <t>Planning, implementing, and evaluating critical pathways : a guide for health care survival into the 21st century / Patricia C. Dykes, Kathleen Wheeler, editors.</t>
  </si>
  <si>
    <t>504866780:eng</t>
  </si>
  <si>
    <t>36768419</t>
  </si>
  <si>
    <t>991001568239702656</t>
  </si>
  <si>
    <t>2261697560002656</t>
  </si>
  <si>
    <t>9780826197900</t>
  </si>
  <si>
    <t>30001004090579</t>
  </si>
  <si>
    <t>893652082</t>
  </si>
  <si>
    <t>W 84.7 Q7s 1993</t>
  </si>
  <si>
    <t>0                      W  0084700Q  7s          1993</t>
  </si>
  <si>
    <t>Successful case management in long-term care / Joan Quinn.</t>
  </si>
  <si>
    <t>Quinn, Joan.</t>
  </si>
  <si>
    <t>New York : Springer Pub. Co., c1993.</t>
  </si>
  <si>
    <t>2005-09-26</t>
  </si>
  <si>
    <t>1993-08-23</t>
  </si>
  <si>
    <t>356657:eng</t>
  </si>
  <si>
    <t>26935117</t>
  </si>
  <si>
    <t>991001547209702656</t>
  </si>
  <si>
    <t>2262486460002656</t>
  </si>
  <si>
    <t>9780826177506</t>
  </si>
  <si>
    <t>30001002643684</t>
  </si>
  <si>
    <t>893652067</t>
  </si>
  <si>
    <t>W84.7 R833c 1999</t>
  </si>
  <si>
    <t>0                      W  0084700R  833c        1999</t>
  </si>
  <si>
    <t>Case management in healthcare : a practical guide / Peggy Rossi.</t>
  </si>
  <si>
    <t>Rossi, Peggy.</t>
  </si>
  <si>
    <t>Philadelphia : W.B. Saunders, c1999.</t>
  </si>
  <si>
    <t>2010-06-23</t>
  </si>
  <si>
    <t>4417394142:eng</t>
  </si>
  <si>
    <t>38386709</t>
  </si>
  <si>
    <t>991000320939702656</t>
  </si>
  <si>
    <t>2260095150002656</t>
  </si>
  <si>
    <t>9780721671758</t>
  </si>
  <si>
    <t>30001004442507</t>
  </si>
  <si>
    <t>893456557</t>
  </si>
  <si>
    <t>W 84.7 W187ca 1997</t>
  </si>
  <si>
    <t>0                      W  0084700W  187ca       1997</t>
  </si>
  <si>
    <t>Critical pathway implementation guide : a methodology for managing critical pathways / Deborah K. Wall, Mitchell M. Proyect.</t>
  </si>
  <si>
    <t>Wall, Deborah K.</t>
  </si>
  <si>
    <t>Chicago : Precept Press, c1997.</t>
  </si>
  <si>
    <t>659754:eng</t>
  </si>
  <si>
    <t>37201370</t>
  </si>
  <si>
    <t>991001566679702656</t>
  </si>
  <si>
    <t>2260784020002656</t>
  </si>
  <si>
    <t>9780944496541</t>
  </si>
  <si>
    <t>30001004037570</t>
  </si>
  <si>
    <t>893743902</t>
  </si>
  <si>
    <t>W 84.8 D822i 1979</t>
  </si>
  <si>
    <t>0                      W  0084800D  822i        1979</t>
  </si>
  <si>
    <t>The interdisciplinary health care team : a handbook / Alex J. Ducanis and Anne K. Golin.</t>
  </si>
  <si>
    <t>Ducanis, Alex J.</t>
  </si>
  <si>
    <t>Germantown, Md. : Aspen Systems Corp., 1979.</t>
  </si>
  <si>
    <t>2004-06-11</t>
  </si>
  <si>
    <t>425823747:eng</t>
  </si>
  <si>
    <t>5411346</t>
  </si>
  <si>
    <t>991000659719702656</t>
  </si>
  <si>
    <t>2264238360002656</t>
  </si>
  <si>
    <t>9780894431678</t>
  </si>
  <si>
    <t>30001000688459</t>
  </si>
  <si>
    <t>893556781</t>
  </si>
  <si>
    <t>W84.8 I612 2003</t>
  </si>
  <si>
    <t>0                      W  0084800I  612         2003</t>
  </si>
  <si>
    <t>Interprofessional collaboration : from policy to practice in health and social care / edited by Audrey Leathard.</t>
  </si>
  <si>
    <t>Hove ; New York : Brunner-Routledge, 2003.</t>
  </si>
  <si>
    <t>2004-03-08</t>
  </si>
  <si>
    <t>800879561:eng</t>
  </si>
  <si>
    <t>50561973</t>
  </si>
  <si>
    <t>991000367469702656</t>
  </si>
  <si>
    <t>2271596260002656</t>
  </si>
  <si>
    <t>9781583911754</t>
  </si>
  <si>
    <t>30001004509701</t>
  </si>
  <si>
    <t>893537117</t>
  </si>
  <si>
    <t>W 85 A244 1984</t>
  </si>
  <si>
    <t>0                      W  0085000A  244         1984</t>
  </si>
  <si>
    <t>Advocacy in health care : the power of a silent constituency / edited by Joan H. Marks.</t>
  </si>
  <si>
    <t>Clifton, N.J. : Humana Press, c1986.</t>
  </si>
  <si>
    <t>1007568826:eng</t>
  </si>
  <si>
    <t>13122478</t>
  </si>
  <si>
    <t>991000659789702656</t>
  </si>
  <si>
    <t>2263805770002656</t>
  </si>
  <si>
    <t>9780896030923</t>
  </si>
  <si>
    <t>30001000688475</t>
  </si>
  <si>
    <t>893272725</t>
  </si>
  <si>
    <t>W85 B162C 2000</t>
  </si>
  <si>
    <t>0                      W  0085000B  162C        2000</t>
  </si>
  <si>
    <t>Customer service in health care : a grassroots approach to creating a culture of service excellence / by Kristin Baird.</t>
  </si>
  <si>
    <t>Baird, Kristin.</t>
  </si>
  <si>
    <t>San Francisco : Jossey-Bass ; Chicago : Health Forum, c2000.</t>
  </si>
  <si>
    <t>2010-09-30</t>
  </si>
  <si>
    <t>2001-05-17</t>
  </si>
  <si>
    <t>20653113:eng</t>
  </si>
  <si>
    <t>41712200</t>
  </si>
  <si>
    <t>991001705799702656</t>
  </si>
  <si>
    <t>2262969910002656</t>
  </si>
  <si>
    <t>9781556482694</t>
  </si>
  <si>
    <t>30001004840023</t>
  </si>
  <si>
    <t>893358753</t>
  </si>
  <si>
    <t>W 85 B499p 1990</t>
  </si>
  <si>
    <t>0                      W  0085000B  499p        1990</t>
  </si>
  <si>
    <t>Purchasing power in health : business, the state and health care politics / Linda A. Bergthold.</t>
  </si>
  <si>
    <t>Bergthold, Linda, 1941-</t>
  </si>
  <si>
    <t>New Brunswick N.J. ; London : Rutgers University Press, c1990.</t>
  </si>
  <si>
    <t>1994-02-23</t>
  </si>
  <si>
    <t>199065174:eng</t>
  </si>
  <si>
    <t>20133794</t>
  </si>
  <si>
    <t>991001450559702656</t>
  </si>
  <si>
    <t>2267432640002656</t>
  </si>
  <si>
    <t>9780813514871</t>
  </si>
  <si>
    <t>30001001882796</t>
  </si>
  <si>
    <t>893727614</t>
  </si>
  <si>
    <t>W 85 C7375 1986</t>
  </si>
  <si>
    <t>0                      W  0085000C  7375        1986</t>
  </si>
  <si>
    <t>Compliance : the dilemma of the chronically ill / Kenneth E. Gerber, Alexis M. Nehemkis, editors.</t>
  </si>
  <si>
    <t>1997-10-12</t>
  </si>
  <si>
    <t>890050844:eng</t>
  </si>
  <si>
    <t>12804660</t>
  </si>
  <si>
    <t>991000659819702656</t>
  </si>
  <si>
    <t>2266549690002656</t>
  </si>
  <si>
    <t>9780826145802</t>
  </si>
  <si>
    <t>30001000688483</t>
  </si>
  <si>
    <t>893631768</t>
  </si>
  <si>
    <t>W 85 C755 1978</t>
  </si>
  <si>
    <t>0                      W  0085000C  755         1978</t>
  </si>
  <si>
    <t>Consumerism and health care.</t>
  </si>
  <si>
    <t>New York : National League for Nursing, c1978.</t>
  </si>
  <si>
    <t>NLN pub. no. 52-1727</t>
  </si>
  <si>
    <t>2006-04-01</t>
  </si>
  <si>
    <t>1987-11-18</t>
  </si>
  <si>
    <t>13914204:eng</t>
  </si>
  <si>
    <t>4570470</t>
  </si>
  <si>
    <t>991001517069702656</t>
  </si>
  <si>
    <t>2268286440002656</t>
  </si>
  <si>
    <t>30001000600108</t>
  </si>
  <si>
    <t>893826833</t>
  </si>
  <si>
    <t>W 85 D631t 1985</t>
  </si>
  <si>
    <t>0                      W  0085000D  631t        1985</t>
  </si>
  <si>
    <t>Teaching patients with low literacy skills / Cecilia Conrath Doak, Leonard G. Doak, Jane H. Root.</t>
  </si>
  <si>
    <t>Doak, Cecilia Conrath.</t>
  </si>
  <si>
    <t>Philadelphia : Lippincott, c1985.</t>
  </si>
  <si>
    <t>3716899:eng</t>
  </si>
  <si>
    <t>10948355</t>
  </si>
  <si>
    <t>991000659859702656</t>
  </si>
  <si>
    <t>2255099070002656</t>
  </si>
  <si>
    <t>9780397544981</t>
  </si>
  <si>
    <t>30001000688491</t>
  </si>
  <si>
    <t>893357271</t>
  </si>
  <si>
    <t>W 85 H145h 1989</t>
  </si>
  <si>
    <t>0                      W  0085000H  145h        1989</t>
  </si>
  <si>
    <t>Handbook of patient education / Ann Haggard.</t>
  </si>
  <si>
    <t>Haggard, Ann.</t>
  </si>
  <si>
    <t>18333664:eng</t>
  </si>
  <si>
    <t>18714969</t>
  </si>
  <si>
    <t>991001449519702656</t>
  </si>
  <si>
    <t>2265069140002656</t>
  </si>
  <si>
    <t>9780834200418</t>
  </si>
  <si>
    <t>30001001882382</t>
  </si>
  <si>
    <t>893826763</t>
  </si>
  <si>
    <t>W 85 H43415 1997</t>
  </si>
  <si>
    <t>0                      W  0085000H  43415       1997</t>
  </si>
  <si>
    <t>Health behavior and health education : theory, research, and practice / Karen Glanz, Frances Marcus Lewis, Barbara K. Rimer, editors ; foreword by J. Michael McGinnis.</t>
  </si>
  <si>
    <t>San Francisco : Jossey-Bass, c1997.</t>
  </si>
  <si>
    <t>2005-03-23</t>
  </si>
  <si>
    <t>1044568331:eng</t>
  </si>
  <si>
    <t>34974564</t>
  </si>
  <si>
    <t>991001564109702656</t>
  </si>
  <si>
    <t>2264513730002656</t>
  </si>
  <si>
    <t>9780787903107</t>
  </si>
  <si>
    <t>30001003669365</t>
  </si>
  <si>
    <t>893369480</t>
  </si>
  <si>
    <t>W 85 H847 1989</t>
  </si>
  <si>
    <t>0                      W  0085000H  847         1989</t>
  </si>
  <si>
    <t>How to teach patients.</t>
  </si>
  <si>
    <t>Springhouse, Pa. : Springhouse Corp., c1989.</t>
  </si>
  <si>
    <t>1780511481:eng</t>
  </si>
  <si>
    <t>18715089</t>
  </si>
  <si>
    <t>991001310879702656</t>
  </si>
  <si>
    <t>2262268240002656</t>
  </si>
  <si>
    <t>9780874341706</t>
  </si>
  <si>
    <t>30001001750811</t>
  </si>
  <si>
    <t>893467905</t>
  </si>
  <si>
    <t>W 85 I29 1991</t>
  </si>
  <si>
    <t>0                      W  0085000I  29          1991</t>
  </si>
  <si>
    <t>The Illness experience : dimensions of suffering / edited by Janice M. Morse, Joy L. Johnson.</t>
  </si>
  <si>
    <t>Newbury Park, Calif. : Sage Publications, c1991.</t>
  </si>
  <si>
    <t>1999-10-05</t>
  </si>
  <si>
    <t>836736700:eng</t>
  </si>
  <si>
    <t>22813088</t>
  </si>
  <si>
    <t>991001481019702656</t>
  </si>
  <si>
    <t>2263660020002656</t>
  </si>
  <si>
    <t>9780803940536</t>
  </si>
  <si>
    <t>30001002569467</t>
  </si>
  <si>
    <t>893364177</t>
  </si>
  <si>
    <t>W 85 L872p 1996</t>
  </si>
  <si>
    <t>0                      W  0085000L  872p        1996</t>
  </si>
  <si>
    <t>Patient education : a practical approach / Kate Lorig.</t>
  </si>
  <si>
    <t>Lorig, Kate.</t>
  </si>
  <si>
    <t>Thousand Oaks, CA : Sage Publications, c1996.</t>
  </si>
  <si>
    <t>2005-07-22</t>
  </si>
  <si>
    <t>1996-01-15</t>
  </si>
  <si>
    <t>836974916:eng</t>
  </si>
  <si>
    <t>32922986</t>
  </si>
  <si>
    <t>991001502169702656</t>
  </si>
  <si>
    <t>2264033730002656</t>
  </si>
  <si>
    <t>9780761900733</t>
  </si>
  <si>
    <t>30001003262823</t>
  </si>
  <si>
    <t>893121573</t>
  </si>
  <si>
    <t>W 85 M158e 1993</t>
  </si>
  <si>
    <t>0                      W  0085000M  158e        1993</t>
  </si>
  <si>
    <t>Enemies of patients / Ruth Macklin.</t>
  </si>
  <si>
    <t>28671300:eng</t>
  </si>
  <si>
    <t>25873736</t>
  </si>
  <si>
    <t>991001480559702656</t>
  </si>
  <si>
    <t>2269586500002656</t>
  </si>
  <si>
    <t>9780195072006</t>
  </si>
  <si>
    <t>30001002569046</t>
  </si>
  <si>
    <t>893460630</t>
  </si>
  <si>
    <t>W 85 M365e 1981</t>
  </si>
  <si>
    <t>0                      W  0085000M  365e        1981</t>
  </si>
  <si>
    <t>The emerging rights of children in treatment for mental and catastrophic illnesses / Frank H. Marsh.</t>
  </si>
  <si>
    <t>Marsh, Frank H.</t>
  </si>
  <si>
    <t>Washington, D.C. : University Press of America, c1981.</t>
  </si>
  <si>
    <t>1997-04-02</t>
  </si>
  <si>
    <t>21264212:eng</t>
  </si>
  <si>
    <t>6162813</t>
  </si>
  <si>
    <t>991000659939702656</t>
  </si>
  <si>
    <t>2259355660002656</t>
  </si>
  <si>
    <t>9780819108302</t>
  </si>
  <si>
    <t>30001000688517</t>
  </si>
  <si>
    <t>893730868</t>
  </si>
  <si>
    <t>W 85 M499f 1987</t>
  </si>
  <si>
    <t>0                      W  0085000M  499f        1987</t>
  </si>
  <si>
    <t>Facilitating treatment adherence : a practitioner's guidebook / Donald Meichenbaum and Dennis C. Turk.</t>
  </si>
  <si>
    <t>Meichenbaum, Donald.</t>
  </si>
  <si>
    <t>New York : Plenum Press, c1987.</t>
  </si>
  <si>
    <t>2000-04-15</t>
  </si>
  <si>
    <t>836639512:eng</t>
  </si>
  <si>
    <t>16091704</t>
  </si>
  <si>
    <t>991001190059702656</t>
  </si>
  <si>
    <t>2261753920002656</t>
  </si>
  <si>
    <t>9780306426384</t>
  </si>
  <si>
    <t>30001000979114</t>
  </si>
  <si>
    <t>893465259</t>
  </si>
  <si>
    <t>W 85 N397i 1987</t>
  </si>
  <si>
    <t>0                      W  0085000N  397i        1987</t>
  </si>
  <si>
    <t>The inner consultation : how to develop an effective and intuitive consulting style / Roger Neighbour ; with cartoons by Patrick Reade.</t>
  </si>
  <si>
    <t>Neighbour, Roger, 1947-</t>
  </si>
  <si>
    <t>Lancaster [Lancashire] ; Boston : MTP Press, c1987.</t>
  </si>
  <si>
    <t>1994-11-16</t>
  </si>
  <si>
    <t>1988-06-04</t>
  </si>
  <si>
    <t>954344:eng</t>
  </si>
  <si>
    <t>16646495</t>
  </si>
  <si>
    <t>991001193889702656</t>
  </si>
  <si>
    <t>2262939650002656</t>
  </si>
  <si>
    <t>9780746200407</t>
  </si>
  <si>
    <t>30001000979916</t>
  </si>
  <si>
    <t>893541104</t>
  </si>
  <si>
    <t>W 85 P2975 1991</t>
  </si>
  <si>
    <t>0                      W  0085000P  2975        1991</t>
  </si>
  <si>
    <t>Patient compliance in medical practice and clinical trials / editors, Joyce A. Cramer, Bert Spilker.</t>
  </si>
  <si>
    <t>New York : Raven Press, c1991.</t>
  </si>
  <si>
    <t>354650170:eng</t>
  </si>
  <si>
    <t>22279867</t>
  </si>
  <si>
    <t>991000948279702656</t>
  </si>
  <si>
    <t>2256973020002656</t>
  </si>
  <si>
    <t>9780881677355</t>
  </si>
  <si>
    <t>30001002194399</t>
  </si>
  <si>
    <t>893358031</t>
  </si>
  <si>
    <t>W 85 P2977 1980</t>
  </si>
  <si>
    <t>0                      W  0085000P  2977        1980</t>
  </si>
  <si>
    <t>Patient education : an inquiry into the state of the art / Wendy D. Squyres, editor ; with contributors.</t>
  </si>
  <si>
    <t>New York : Springer, c1980.</t>
  </si>
  <si>
    <t>Springer series on health care and society ; v. 4</t>
  </si>
  <si>
    <t>1990-08-09</t>
  </si>
  <si>
    <t>20357552:eng</t>
  </si>
  <si>
    <t>5888198</t>
  </si>
  <si>
    <t>991000660049702656</t>
  </si>
  <si>
    <t>2267568800002656</t>
  </si>
  <si>
    <t>9780826131201</t>
  </si>
  <si>
    <t>30001000688541</t>
  </si>
  <si>
    <t>893651424</t>
  </si>
  <si>
    <t>W 85 P29883 1993</t>
  </si>
  <si>
    <t>0                      W  0085000P  29883       1993</t>
  </si>
  <si>
    <t>Patient satisfaction pays : quality service for practice success / Stephen W. Brown ... [et al.].</t>
  </si>
  <si>
    <t>Gaithersburg, Md. : Aspen Publishers, c1993.</t>
  </si>
  <si>
    <t>1996-10-16</t>
  </si>
  <si>
    <t>478823143:eng</t>
  </si>
  <si>
    <t>27432076</t>
  </si>
  <si>
    <t>991001513639702656</t>
  </si>
  <si>
    <t>2264943310002656</t>
  </si>
  <si>
    <t>9780834203945</t>
  </si>
  <si>
    <t>30001002601351</t>
  </si>
  <si>
    <t>893649289</t>
  </si>
  <si>
    <t>W 85 P29888 1997</t>
  </si>
  <si>
    <t>0                      W  0085000P  29888       1997</t>
  </si>
  <si>
    <t>The patient's voice : experiences of illness / [edited by] Jeanine Young-Mason.</t>
  </si>
  <si>
    <t>40642571:eng</t>
  </si>
  <si>
    <t>35086113</t>
  </si>
  <si>
    <t>991001294249702656</t>
  </si>
  <si>
    <t>2255518730002656</t>
  </si>
  <si>
    <t>9780803601628</t>
  </si>
  <si>
    <t>30001003740349</t>
  </si>
  <si>
    <t>893731851</t>
  </si>
  <si>
    <t>W 85 P895 1981</t>
  </si>
  <si>
    <t>0                      W  0085000P  895         1981</t>
  </si>
  <si>
    <t>Practical approaches to patient teaching / edited by Donald A. Bille ; foreword by John C. Weaver.</t>
  </si>
  <si>
    <t>Boston : Little, Brown, c1981.</t>
  </si>
  <si>
    <t>1989-10-31</t>
  </si>
  <si>
    <t>447139:eng</t>
  </si>
  <si>
    <t>7424433</t>
  </si>
  <si>
    <t>991000660009702656</t>
  </si>
  <si>
    <t>2256877200002656</t>
  </si>
  <si>
    <t>9780316094986</t>
  </si>
  <si>
    <t>30001000688533</t>
  </si>
  <si>
    <t>893362707</t>
  </si>
  <si>
    <t>W 85 R514p 1997</t>
  </si>
  <si>
    <t>0                      W  0085000R  514p        1997</t>
  </si>
  <si>
    <t>Putting the patient first : upfront with advocacy and community service / written by Bob Richards, Jeanan Yasiri.</t>
  </si>
  <si>
    <t>Richards, Bob.</t>
  </si>
  <si>
    <t>Englewood, CO : Medical Group Management Association, c1997.</t>
  </si>
  <si>
    <t>2006-01-30</t>
  </si>
  <si>
    <t>41342741:eng</t>
  </si>
  <si>
    <t>38402593</t>
  </si>
  <si>
    <t>991000397209702656</t>
  </si>
  <si>
    <t>2260541870002656</t>
  </si>
  <si>
    <t>9781568290829</t>
  </si>
  <si>
    <t>30001004978815</t>
  </si>
  <si>
    <t>893275032</t>
  </si>
  <si>
    <t>W 85 R651r 1983</t>
  </si>
  <si>
    <t>0                      W  0085000R  651r        1983</t>
  </si>
  <si>
    <t>The rights of the critically ill : the basic ACLU guide to the rights of critically ill and dying patients / John A. Robertson.</t>
  </si>
  <si>
    <t>Robertson, John A. (John Ancona), 1943-</t>
  </si>
  <si>
    <t>Cambridge, Mass. : Ballinger, c1983.</t>
  </si>
  <si>
    <t>An American Civil Liberties Union handbook.</t>
  </si>
  <si>
    <t>1988-11-02</t>
  </si>
  <si>
    <t>4061431065:eng</t>
  </si>
  <si>
    <t>9324741</t>
  </si>
  <si>
    <t>991000660199702656</t>
  </si>
  <si>
    <t>2263606050002656</t>
  </si>
  <si>
    <t>9780884107330</t>
  </si>
  <si>
    <t>30001000688566</t>
  </si>
  <si>
    <t>893560381</t>
  </si>
  <si>
    <t>W 85 Z66p 1983</t>
  </si>
  <si>
    <t>0                      W  0085000Z  66p         1983</t>
  </si>
  <si>
    <t>Patients' rights and professional practice / James T. Ziegenfuss, Jr.</t>
  </si>
  <si>
    <t>Ziegenfuss, James T.</t>
  </si>
  <si>
    <t>New York : Van Nostrand Reinhold, c1983.</t>
  </si>
  <si>
    <t>1992-04-01</t>
  </si>
  <si>
    <t>43196673:eng</t>
  </si>
  <si>
    <t>8786149</t>
  </si>
  <si>
    <t>991000660339702656</t>
  </si>
  <si>
    <t>2268123700002656</t>
  </si>
  <si>
    <t>9780442294342</t>
  </si>
  <si>
    <t>30001000688590</t>
  </si>
  <si>
    <t>893147876</t>
  </si>
  <si>
    <t>W87 B398 2003</t>
  </si>
  <si>
    <t>0                      W  0087000B  398         2003</t>
  </si>
  <si>
    <t>Becoming an advanced healthcare practitioner / edited by Gillian Brown, Susan A. Esdaile, Susan E. Ryan ; foreword by Orvill Adams.</t>
  </si>
  <si>
    <t>Edinburgh ; New York : Butterworth-Heinemann, 2003.</t>
  </si>
  <si>
    <t>943575582:eng</t>
  </si>
  <si>
    <t>51648115</t>
  </si>
  <si>
    <t>991000362259702656</t>
  </si>
  <si>
    <t>2271593550002656</t>
  </si>
  <si>
    <t>9780750654418</t>
  </si>
  <si>
    <t>30001004507861</t>
  </si>
  <si>
    <t>893279948</t>
  </si>
  <si>
    <t>W 87 D489 1998</t>
  </si>
  <si>
    <t>0                      W  0087000D  489         1998</t>
  </si>
  <si>
    <t>Developing professional judgement in health care : learning through the critical appreciation of practice / edited by Della Fish, Colin Coles.</t>
  </si>
  <si>
    <t>Oxford ; Boston : Butterworth-Heinemann, 1998.</t>
  </si>
  <si>
    <t>1999-11-09</t>
  </si>
  <si>
    <t>1999-11-05</t>
  </si>
  <si>
    <t>836991711:eng</t>
  </si>
  <si>
    <t>37443211</t>
  </si>
  <si>
    <t>991000798009702656</t>
  </si>
  <si>
    <t>2262249250002656</t>
  </si>
  <si>
    <t>9780750631235</t>
  </si>
  <si>
    <t>30001004080299</t>
  </si>
  <si>
    <t>893540586</t>
  </si>
  <si>
    <t>W87 G297s 2001</t>
  </si>
  <si>
    <t>0                      W  0087000G  297s        2001</t>
  </si>
  <si>
    <t>7 strategies to improve your bottom line : the healthcare executive's guide / E. Preston Gee.</t>
  </si>
  <si>
    <t>Gee, Erin Preston.</t>
  </si>
  <si>
    <t>2002-08-10</t>
  </si>
  <si>
    <t>800160057:eng</t>
  </si>
  <si>
    <t>46822299</t>
  </si>
  <si>
    <t>991000305919702656</t>
  </si>
  <si>
    <t>2260677220002656</t>
  </si>
  <si>
    <t>9781567931570</t>
  </si>
  <si>
    <t>30001004236818</t>
  </si>
  <si>
    <t>893269339</t>
  </si>
  <si>
    <t>W 87 H711f 1988</t>
  </si>
  <si>
    <t>0                      W  0087000H  711f        1988</t>
  </si>
  <si>
    <t>From residency to reality / Patricia A. Hoffmeir, Jean Astolfi Bohner.</t>
  </si>
  <si>
    <t>Hoffmeir, Patricia A.</t>
  </si>
  <si>
    <t>1997-05-01</t>
  </si>
  <si>
    <t>13267176:eng</t>
  </si>
  <si>
    <t>16709378</t>
  </si>
  <si>
    <t>991001421949702656</t>
  </si>
  <si>
    <t>2262030510002656</t>
  </si>
  <si>
    <t>9780070292123</t>
  </si>
  <si>
    <t>30001001182551</t>
  </si>
  <si>
    <t>893268486</t>
  </si>
  <si>
    <t>W 87 I61 1997</t>
  </si>
  <si>
    <t>0                      W  0087000I  61          1997</t>
  </si>
  <si>
    <t>Integrating the practice of medicine : a decision maker's guide to organizing and managing physician services / Ronald B. Conners, editor.</t>
  </si>
  <si>
    <t>2008-06-17</t>
  </si>
  <si>
    <t>666842:eng</t>
  </si>
  <si>
    <t>37031319</t>
  </si>
  <si>
    <t>991000396949702656</t>
  </si>
  <si>
    <t>2254893150002656</t>
  </si>
  <si>
    <t>9781556482069</t>
  </si>
  <si>
    <t>30001004978963</t>
  </si>
  <si>
    <t>893354274</t>
  </si>
  <si>
    <t>W88 B745a 2003</t>
  </si>
  <si>
    <t>0                      W  0088000B  745a        2003</t>
  </si>
  <si>
    <t>Academic scientists at work : navigating the biomedical research career / Jeremy M. Boss and Susan H. Eckert.</t>
  </si>
  <si>
    <t>Boss, Jeremy M.</t>
  </si>
  <si>
    <t>New York : Kluwer Academic/Plenum Publishers, 2003.</t>
  </si>
  <si>
    <t>2006-06-11</t>
  </si>
  <si>
    <t>2004-03-01</t>
  </si>
  <si>
    <t>793927820:eng</t>
  </si>
  <si>
    <t>55083077</t>
  </si>
  <si>
    <t>991000367289702656</t>
  </si>
  <si>
    <t>2272380720002656</t>
  </si>
  <si>
    <t>9780306474934</t>
  </si>
  <si>
    <t>30001004509669</t>
  </si>
  <si>
    <t>893639125</t>
  </si>
  <si>
    <t>W 88 C512m 1999</t>
  </si>
  <si>
    <t>0                      W  0088000C  512m        1999</t>
  </si>
  <si>
    <t>The medical school dean : reflections &amp; directions / D. Kay Clawson, Emery A. Wilson</t>
  </si>
  <si>
    <t>Clawson, D. Kay, 1927-2016.</t>
  </si>
  <si>
    <t>[Kuttawa, Ky] : McClanahan Publishing House, c1999.</t>
  </si>
  <si>
    <t>1999-04-23</t>
  </si>
  <si>
    <t>27035365:eng</t>
  </si>
  <si>
    <t>41129204</t>
  </si>
  <si>
    <t>991001550099702656</t>
  </si>
  <si>
    <t>2259190320002656</t>
  </si>
  <si>
    <t>9780913383636</t>
  </si>
  <si>
    <t>30001004071702</t>
  </si>
  <si>
    <t>893638438</t>
  </si>
  <si>
    <t>W 88 G54h 1995</t>
  </si>
  <si>
    <t>0                      W  0088000G  54h         1995</t>
  </si>
  <si>
    <t>How to select, orient, and support physician leaders : a guide for hospitals and managed care organizations / [Sandra Gill, Hugh P. Greeley].</t>
  </si>
  <si>
    <t>Gill, Sandra L.</t>
  </si>
  <si>
    <t>Marblehead, MA : Opus Communications, c1995.</t>
  </si>
  <si>
    <t>38598658:eng</t>
  </si>
  <si>
    <t>33446331</t>
  </si>
  <si>
    <t>991000396669702656</t>
  </si>
  <si>
    <t>2265539170002656</t>
  </si>
  <si>
    <t>9781885829184</t>
  </si>
  <si>
    <t>30001004978930</t>
  </si>
  <si>
    <t>893537145</t>
  </si>
  <si>
    <t>W 88 G626c 1981</t>
  </si>
  <si>
    <t>0                      W  0088000G  626c        1981</t>
  </si>
  <si>
    <t>Creative problem solving for health care professionals / Cecelia K. Golightly.</t>
  </si>
  <si>
    <t>Golightly, Cecelia K.</t>
  </si>
  <si>
    <t>Rockville, Md. : Aspen Systems Corporation, c1981.</t>
  </si>
  <si>
    <t>551552:eng</t>
  </si>
  <si>
    <t>7461052</t>
  </si>
  <si>
    <t>991000660449702656</t>
  </si>
  <si>
    <t>2263114240002656</t>
  </si>
  <si>
    <t>9780894433719</t>
  </si>
  <si>
    <t>30001000688624</t>
  </si>
  <si>
    <t>893283327</t>
  </si>
  <si>
    <t>W 88 H236 1981</t>
  </si>
  <si>
    <t>0                      W  0088000H  236         1981</t>
  </si>
  <si>
    <t>Handbook of health care human resources management / edited by Norman Metzger.</t>
  </si>
  <si>
    <t>54442837:eng</t>
  </si>
  <si>
    <t>7460546</t>
  </si>
  <si>
    <t>991000660599702656</t>
  </si>
  <si>
    <t>2256453980002656</t>
  </si>
  <si>
    <t>9780894433634</t>
  </si>
  <si>
    <t>30001000688632</t>
  </si>
  <si>
    <t>893735251</t>
  </si>
  <si>
    <t>W 89 B192g 1978</t>
  </si>
  <si>
    <t>0                      W  0089000B  192g        1978</t>
  </si>
  <si>
    <t>Getting started in private practice / by Gene Balliett.</t>
  </si>
  <si>
    <t>Balliett, Gene.</t>
  </si>
  <si>
    <t>Oradell, N.J. : Medical Economics Co., Book Division, 1979 printing, c1978.</t>
  </si>
  <si>
    <t>15066629:eng</t>
  </si>
  <si>
    <t>4833946</t>
  </si>
  <si>
    <t>991000174979702656</t>
  </si>
  <si>
    <t>2266729650002656</t>
  </si>
  <si>
    <t>9780874891348</t>
  </si>
  <si>
    <t>30001000688657</t>
  </si>
  <si>
    <t>893365223</t>
  </si>
  <si>
    <t>W 89 B398 1989</t>
  </si>
  <si>
    <t>0                      W  0089000B  398         1989</t>
  </si>
  <si>
    <t>Becoming a family physician / Marilyn Little, John E. Midtling, editors.</t>
  </si>
  <si>
    <t>1994-02-16</t>
  </si>
  <si>
    <t>427252529:eng</t>
  </si>
  <si>
    <t>19324675</t>
  </si>
  <si>
    <t>991000761019702656</t>
  </si>
  <si>
    <t>2265101100002656</t>
  </si>
  <si>
    <t>9780387969497</t>
  </si>
  <si>
    <t>30001002060178</t>
  </si>
  <si>
    <t>893362997</t>
  </si>
  <si>
    <t>W 89 D294 1983</t>
  </si>
  <si>
    <t>0                      W  0089000D  294         1983</t>
  </si>
  <si>
    <t>Decision-making in general practice / edited by Michael Sheldon, John Brooke, and Alan Rector.</t>
  </si>
  <si>
    <t>Houndmills, Basingstoke, Hampshire : Macmillan ; New York, NY : Stockton Press, c1985.</t>
  </si>
  <si>
    <t>1992-07-09</t>
  </si>
  <si>
    <t>1988-06-01</t>
  </si>
  <si>
    <t>429879413:eng</t>
  </si>
  <si>
    <t>12082179</t>
  </si>
  <si>
    <t>991001414799702656</t>
  </si>
  <si>
    <t>2264557810002656</t>
  </si>
  <si>
    <t>9780943818115</t>
  </si>
  <si>
    <t>30001001180167</t>
  </si>
  <si>
    <t>893552488</t>
  </si>
  <si>
    <t>W 89 F212 1990</t>
  </si>
  <si>
    <t>0                      W  0089000F  212         1990</t>
  </si>
  <si>
    <t>Family medicine : a systematic approach to the planning and development of a community practice.</t>
  </si>
  <si>
    <t>[Oklahoma City?] : University of Oklahoma Health Sciences Center, 1990.</t>
  </si>
  <si>
    <t>oku</t>
  </si>
  <si>
    <t>25219637:eng</t>
  </si>
  <si>
    <t>24023518</t>
  </si>
  <si>
    <t>991000940999702656</t>
  </si>
  <si>
    <t>2267577040002656</t>
  </si>
  <si>
    <t>9780962890703</t>
  </si>
  <si>
    <t>30001002192609</t>
  </si>
  <si>
    <t>893377004</t>
  </si>
  <si>
    <t>W 89 G3261 1998</t>
  </si>
  <si>
    <t>0                      W  0089000G  3261        1998</t>
  </si>
  <si>
    <t>Assessment tool : designed for medical school administrators and students wanting to assess the minority education environment at their institution.</t>
  </si>
  <si>
    <t>Reston, Va. : Designed by the American Medical Student Association/Foundation, [1998?]</t>
  </si>
  <si>
    <t>2005-06-09</t>
  </si>
  <si>
    <t>23569112:eng</t>
  </si>
  <si>
    <t>40456587</t>
  </si>
  <si>
    <t>991000271829702656</t>
  </si>
  <si>
    <t>2270996260002656</t>
  </si>
  <si>
    <t>30001003793348</t>
  </si>
  <si>
    <t>893536930</t>
  </si>
  <si>
    <t>W 89 G397f 1985</t>
  </si>
  <si>
    <t>0                      W  0089000G  397f        1985</t>
  </si>
  <si>
    <t>Family practice : foundations of changing health care / John P. Geyman.</t>
  </si>
  <si>
    <t>Geyman, John P., 1931-</t>
  </si>
  <si>
    <t>Norwalk, Conn. : Appleton-Century-Crofts, c1985.</t>
  </si>
  <si>
    <t>1993-07-21</t>
  </si>
  <si>
    <t>4934880:eng</t>
  </si>
  <si>
    <t>12215043</t>
  </si>
  <si>
    <t>991000660829702656</t>
  </si>
  <si>
    <t>2268556510002656</t>
  </si>
  <si>
    <t>9780838525388</t>
  </si>
  <si>
    <t>30001000688715</t>
  </si>
  <si>
    <t>893133185</t>
  </si>
  <si>
    <t>W 89 R728p 2004</t>
  </si>
  <si>
    <t>0                      W  0089000R  728p        2004</t>
  </si>
  <si>
    <t>Practical ethics for general practice / by Wendy A. Rogers and Annette J. Braunack-Mayer.</t>
  </si>
  <si>
    <t>Rogers, Wendy, 1957-</t>
  </si>
  <si>
    <t>Oxford ; New York : Oxford University Press, 2004.</t>
  </si>
  <si>
    <t>664056:eng</t>
  </si>
  <si>
    <t>54858246</t>
  </si>
  <si>
    <t>991000389049702656</t>
  </si>
  <si>
    <t>2271332790002656</t>
  </si>
  <si>
    <t>9780198525042</t>
  </si>
  <si>
    <t>30001004921625</t>
  </si>
  <si>
    <t>893827442</t>
  </si>
  <si>
    <t>W 89 R828e 1998</t>
  </si>
  <si>
    <t>0                      W  0089000R  828e        1998</t>
  </si>
  <si>
    <t>Evidence-based family medicine / Walter W. Rosser, M. Sharon Shafir.</t>
  </si>
  <si>
    <t>Rosser, Walter.</t>
  </si>
  <si>
    <t>Hamilton, Ont. : B.C. Decker, c1998.</t>
  </si>
  <si>
    <t>2001-11-02</t>
  </si>
  <si>
    <t>2564962002:eng</t>
  </si>
  <si>
    <t>38547758</t>
  </si>
  <si>
    <t>991001570649702656</t>
  </si>
  <si>
    <t>2255357820002656</t>
  </si>
  <si>
    <t>9781550090536</t>
  </si>
  <si>
    <t>30001004092302</t>
  </si>
  <si>
    <t>893121648</t>
  </si>
  <si>
    <t>W 89 V878f 1992</t>
  </si>
  <si>
    <t>0                      W  0089000V  878f        1992</t>
  </si>
  <si>
    <t>Family physicians and managed care : a view to the 90s / by David E. Vogel.</t>
  </si>
  <si>
    <t>Vogel, David E.</t>
  </si>
  <si>
    <t>[S.l.] : American Academy of Family Physicians, [199-?]</t>
  </si>
  <si>
    <t>1993-03-30</t>
  </si>
  <si>
    <t>30069737:eng</t>
  </si>
  <si>
    <t>29702478</t>
  </si>
  <si>
    <t>991001477489702656</t>
  </si>
  <si>
    <t>2257328730002656</t>
  </si>
  <si>
    <t>30001002563676</t>
  </si>
  <si>
    <t>893149252</t>
  </si>
  <si>
    <t>W 90 T238h 1999</t>
  </si>
  <si>
    <t>0                      W  0090000T  238h        1999</t>
  </si>
  <si>
    <t>How to choose a medical specialty / Anita D. Taylor.</t>
  </si>
  <si>
    <t>Taylor, Anita D.</t>
  </si>
  <si>
    <t>2010-05-03</t>
  </si>
  <si>
    <t>2000-03-30</t>
  </si>
  <si>
    <t>731528:eng</t>
  </si>
  <si>
    <t>40869654</t>
  </si>
  <si>
    <t>991001442469702656</t>
  </si>
  <si>
    <t>2269267630002656</t>
  </si>
  <si>
    <t>9780721674629</t>
  </si>
  <si>
    <t>30001003882976</t>
  </si>
  <si>
    <t>893465547</t>
  </si>
  <si>
    <t>W 90 W386h 1976</t>
  </si>
  <si>
    <t>0                      W  0090000W  386h        1976</t>
  </si>
  <si>
    <t>Handbook of medical specialties / Henry Wechsler.</t>
  </si>
  <si>
    <t>Wechsler, Henry, 1932-</t>
  </si>
  <si>
    <t>-- New York : Human Sciences Press, c1976.</t>
  </si>
  <si>
    <t>Health services series</t>
  </si>
  <si>
    <t>535284:eng</t>
  </si>
  <si>
    <t>2415549</t>
  </si>
  <si>
    <t>991000661929702656</t>
  </si>
  <si>
    <t>2265512650002656</t>
  </si>
  <si>
    <t>9780877052326</t>
  </si>
  <si>
    <t>30001000688764</t>
  </si>
  <si>
    <t>893160763</t>
  </si>
  <si>
    <t>W 92 H388m 1993</t>
  </si>
  <si>
    <t>0                      W  0092000H  388m        1993</t>
  </si>
  <si>
    <t>Medical groups in the U.S. : a survey of practice characteristics / Penny L. Havlicek, Mary Ann Eiler, Ondria T. Neblett.</t>
  </si>
  <si>
    <t>Havlicek, Penny L.</t>
  </si>
  <si>
    <t>Chicago, Ill. : Division of Survey &amp; Data Resources, Dept. of Professional Activities and Information, American Medical Association, 1993, c1992.</t>
  </si>
  <si>
    <t>1993 ed.</t>
  </si>
  <si>
    <t>1994-09-21</t>
  </si>
  <si>
    <t>2034911:eng</t>
  </si>
  <si>
    <t>27000523</t>
  </si>
  <si>
    <t>991001233379702656</t>
  </si>
  <si>
    <t>2259178130002656</t>
  </si>
  <si>
    <t>9780899704999</t>
  </si>
  <si>
    <t>30001003007202</t>
  </si>
  <si>
    <t>893731765</t>
  </si>
  <si>
    <t>W 92 P578 1993</t>
  </si>
  <si>
    <t>0                      W  0092000P  578         1993</t>
  </si>
  <si>
    <t>Physicians in medical groups : a comparative analysis / edited by Penny L. Havlicek, Mary Ann Eiler.</t>
  </si>
  <si>
    <t>[Chicago, Ill.] : American Medical Association, Division of Survey and Data Resources, Department of Professional Activities Information, c1993.</t>
  </si>
  <si>
    <t>32308825:eng</t>
  </si>
  <si>
    <t>29785548</t>
  </si>
  <si>
    <t>991001233729702656</t>
  </si>
  <si>
    <t>2255593110002656</t>
  </si>
  <si>
    <t>30001003007301</t>
  </si>
  <si>
    <t>893546471</t>
  </si>
  <si>
    <t>W 96 T635p 1999</t>
  </si>
  <si>
    <t>0                      W  0096000T  635p        1999</t>
  </si>
  <si>
    <t>Physician employment contract handbook / Maria K. Todd.</t>
  </si>
  <si>
    <t>Todd, Maria K.</t>
  </si>
  <si>
    <t>1808812990:eng</t>
  </si>
  <si>
    <t>40907564</t>
  </si>
  <si>
    <t>991000358389702656</t>
  </si>
  <si>
    <t>2256830040002656</t>
  </si>
  <si>
    <t>9780070653597</t>
  </si>
  <si>
    <t>30001004217925</t>
  </si>
  <si>
    <t>893732807</t>
  </si>
  <si>
    <t>W 100 F962 1974</t>
  </si>
  <si>
    <t>0                      W  0100000F  962         1974</t>
  </si>
  <si>
    <t>Medical care systems : public and private health coverage in selected industrialized countries / Derick Fulcher.</t>
  </si>
  <si>
    <t>Fulcher, Derick.</t>
  </si>
  <si>
    <t>Geneva : International Labour Office, 1974.</t>
  </si>
  <si>
    <t xml:space="preserve">sz </t>
  </si>
  <si>
    <t>1992-11-21</t>
  </si>
  <si>
    <t>798044117:eng</t>
  </si>
  <si>
    <t>3090287</t>
  </si>
  <si>
    <t>991000662519702656</t>
  </si>
  <si>
    <t>2260540950002656</t>
  </si>
  <si>
    <t>9789221011606</t>
  </si>
  <si>
    <t>30001000688830</t>
  </si>
  <si>
    <t>893825349</t>
  </si>
  <si>
    <t>W 100 G548h 1991</t>
  </si>
  <si>
    <t>0                      W  0100000G  548h        1991</t>
  </si>
  <si>
    <t>Health insurance in practice : international variations in financing, benefits, and problems / William A. Glaser.</t>
  </si>
  <si>
    <t>Glaser, William A.</t>
  </si>
  <si>
    <t>San Francisco : Jossey-Bass Publishers, c1991.</t>
  </si>
  <si>
    <t>1996-10-08</t>
  </si>
  <si>
    <t>1991-12-06</t>
  </si>
  <si>
    <t>836841809:eng</t>
  </si>
  <si>
    <t>23287869</t>
  </si>
  <si>
    <t>991001023629702656</t>
  </si>
  <si>
    <t>2271953880002656</t>
  </si>
  <si>
    <t>9781555423735</t>
  </si>
  <si>
    <t>30001002242305</t>
  </si>
  <si>
    <t>893731606</t>
  </si>
  <si>
    <t>W 100 M478s 1994</t>
  </si>
  <si>
    <t>0                      W  0100000M  478s        1994</t>
  </si>
  <si>
    <t>Small business and health care reform : understanding the barriers to employee coverage and implications for workable solutions / by Catherine G. McLaughlin, Wendy K. Zellers.</t>
  </si>
  <si>
    <t>McLaughlin, Catherine G.</t>
  </si>
  <si>
    <t>[Ann Arbor] : Regents of the University of Michigan, School of Public Health, c1994.</t>
  </si>
  <si>
    <t>14981701:eng</t>
  </si>
  <si>
    <t>30503363</t>
  </si>
  <si>
    <t>991000674659702656</t>
  </si>
  <si>
    <t>2269382150002656</t>
  </si>
  <si>
    <t>30001002696534</t>
  </si>
  <si>
    <t>893556839</t>
  </si>
  <si>
    <t>W 100 P344 1992</t>
  </si>
  <si>
    <t>0                      W  0100000P  344         1992</t>
  </si>
  <si>
    <t>Paying for health care : public policy choices for Illinois / edited by Lawrence B. Joseph.</t>
  </si>
  <si>
    <t>Chicago, IL : Center for Urban Research and Policy Studies, University of Chicago ; Champaign, IL : Distributed by University of Illinois Press, c1992.</t>
  </si>
  <si>
    <t>1992-08-24</t>
  </si>
  <si>
    <t>31704333:eng</t>
  </si>
  <si>
    <t>29703739</t>
  </si>
  <si>
    <t>991001340689702656</t>
  </si>
  <si>
    <t>2257252550002656</t>
  </si>
  <si>
    <t>9780962675515</t>
  </si>
  <si>
    <t>30001002455634</t>
  </si>
  <si>
    <t>893741050</t>
  </si>
  <si>
    <t>W 100 T836c 1991</t>
  </si>
  <si>
    <t>0                      W  0100000T  836c        1991</t>
  </si>
  <si>
    <t>Comprehensive health insurance for high risk individuals : a state-by-state analysis / by Aaron K. Trippler.</t>
  </si>
  <si>
    <t>Trippler, Aaron K.</t>
  </si>
  <si>
    <t>Bloomington, MN : Communicating for Agriculture, 1991.</t>
  </si>
  <si>
    <t>2001-09-23</t>
  </si>
  <si>
    <t>1991-09-25</t>
  </si>
  <si>
    <t>55685993:eng</t>
  </si>
  <si>
    <t>24649866</t>
  </si>
  <si>
    <t>991000947649702656</t>
  </si>
  <si>
    <t>2262574840002656</t>
  </si>
  <si>
    <t>30001002194217</t>
  </si>
  <si>
    <t>893560779</t>
  </si>
  <si>
    <t>W 100 W454e 1989</t>
  </si>
  <si>
    <t>0                      W  0100000W  454e        1989</t>
  </si>
  <si>
    <t>The effects of insurance generosity on the psychological distress and well-being of a general population : results from a randomized trial of insurance / Kenneth B. Wells, Willard G. Manning, Jr., R. Burciaga Valdez.</t>
  </si>
  <si>
    <t>Wells, Kenneth B., 1948-</t>
  </si>
  <si>
    <t>Santa Monica, CA : Rand, 1989.</t>
  </si>
  <si>
    <t>[Rand report] ; R-3682</t>
  </si>
  <si>
    <t>1990-02-06</t>
  </si>
  <si>
    <t>143794610:eng</t>
  </si>
  <si>
    <t>20458835</t>
  </si>
  <si>
    <t>991001441269702656</t>
  </si>
  <si>
    <t>2258612080002656</t>
  </si>
  <si>
    <t>9780833009791</t>
  </si>
  <si>
    <t>30001001878372</t>
  </si>
  <si>
    <t>893284824</t>
  </si>
  <si>
    <t>W 102 T355 2004</t>
  </si>
  <si>
    <t>0                      W  0102000T  355         2004</t>
  </si>
  <si>
    <t>Textbook of biological psychiatry / edited by Jaak Panksepp.</t>
  </si>
  <si>
    <t>Hoboken, N.J. : Wiley-Liss, c2004.</t>
  </si>
  <si>
    <t>2008-12-01</t>
  </si>
  <si>
    <t>896228180:eng</t>
  </si>
  <si>
    <t>51924183</t>
  </si>
  <si>
    <t>991000400189702656</t>
  </si>
  <si>
    <t>2259862700002656</t>
  </si>
  <si>
    <t>9780471434788</t>
  </si>
  <si>
    <t>30001004923902</t>
  </si>
  <si>
    <t>893723424</t>
  </si>
  <si>
    <t>W 103 L933p 1999</t>
  </si>
  <si>
    <t>0                      W  0103000L  933p        1999</t>
  </si>
  <si>
    <t>A primer of biomechanics / George L. Lucas, Francis W. Cooke, Elizabeth A. Friis ; illustrations by Danielle Y. Chinn.</t>
  </si>
  <si>
    <t>Lucas, George L.</t>
  </si>
  <si>
    <t>1999-03-30</t>
  </si>
  <si>
    <t>1999-02-16</t>
  </si>
  <si>
    <t>536880:eng</t>
  </si>
  <si>
    <t>38067654</t>
  </si>
  <si>
    <t>991001532609702656</t>
  </si>
  <si>
    <t>2260104920002656</t>
  </si>
  <si>
    <t>9780387984568</t>
  </si>
  <si>
    <t>30001003961994</t>
  </si>
  <si>
    <t>893134693</t>
  </si>
  <si>
    <t>W 130 AA1 B6m 1997</t>
  </si>
  <si>
    <t>0                      W  0130000AA 1                  B  6m          1997</t>
  </si>
  <si>
    <t>Managed care : made in America / Arnold Birenbaum.</t>
  </si>
  <si>
    <t>Birenbaum, Arnold.</t>
  </si>
  <si>
    <t>Westport, Conn. : Praeger, 1997.</t>
  </si>
  <si>
    <t>604699:eng</t>
  </si>
  <si>
    <t>36316005</t>
  </si>
  <si>
    <t>991000397249702656</t>
  </si>
  <si>
    <t>2264856430002656</t>
  </si>
  <si>
    <t>9780275959166</t>
  </si>
  <si>
    <t>30001004978799</t>
  </si>
  <si>
    <t>893365399</t>
  </si>
  <si>
    <t>W 130 AA1 B717c 2002</t>
  </si>
  <si>
    <t>0                      W  0130000AA 1                  B  717c        2002</t>
  </si>
  <si>
    <t>Contracting in a managed care environment : market-based approaches / Robert Bonney and Robert Smith.</t>
  </si>
  <si>
    <t>Bonney, Robert.</t>
  </si>
  <si>
    <t>Management series</t>
  </si>
  <si>
    <t>37191591:eng</t>
  </si>
  <si>
    <t>47973292</t>
  </si>
  <si>
    <t>991000379299702656</t>
  </si>
  <si>
    <t>2271633830002656</t>
  </si>
  <si>
    <t>9781567931693</t>
  </si>
  <si>
    <t>30001004840056</t>
  </si>
  <si>
    <t>893354258</t>
  </si>
  <si>
    <t>W 130 AA1 C912 1998</t>
  </si>
  <si>
    <t>0                      W  0130000AA 1                  C  912         1998</t>
  </si>
  <si>
    <t>Creating consumer choice in healthcare : measuring and communicating health plan performance information / edited by Rick Curtis, Trisha Kurtz, Larry S. Stepnick.</t>
  </si>
  <si>
    <t>42327489:eng</t>
  </si>
  <si>
    <t>38485868</t>
  </si>
  <si>
    <t>991000396109702656</t>
  </si>
  <si>
    <t>2269641800002656</t>
  </si>
  <si>
    <t>9781567930801</t>
  </si>
  <si>
    <t>30001004979011</t>
  </si>
  <si>
    <t>893264209</t>
  </si>
  <si>
    <t>W 130 AA1 D298a 1999</t>
  </si>
  <si>
    <t>0                      W  0130000AA 1                  D  298a        1999</t>
  </si>
  <si>
    <t>Advanced IPA management : direct contracting / William J. DeMarco.</t>
  </si>
  <si>
    <t>DeMarco, William J.</t>
  </si>
  <si>
    <t>[Westchester, Ill.] : Healthcare Financial Management Association, Educational Foundation ; New York : McGraw-Hill, c1999.</t>
  </si>
  <si>
    <t>26193195:eng</t>
  </si>
  <si>
    <t>40693974</t>
  </si>
  <si>
    <t>991000397079702656</t>
  </si>
  <si>
    <t>2266443760002656</t>
  </si>
  <si>
    <t>9780071343206</t>
  </si>
  <si>
    <t>30001004978856</t>
  </si>
  <si>
    <t>893456663</t>
  </si>
  <si>
    <t>W 130 AA1 G237m 1999</t>
  </si>
  <si>
    <t>0                      W  0130000AA 1                  G  237m        1999</t>
  </si>
  <si>
    <t>Managed care contracting : a practical guide for health care executives / William A. Garofalo, Eve T. Horwitz, Thomas M. Reardon ; foreword by Norman C. Payson.</t>
  </si>
  <si>
    <t>Garofalo, William A.</t>
  </si>
  <si>
    <t>San Francisco : Jossey-Bass Publishers, c1999.</t>
  </si>
  <si>
    <t>41564304:eng</t>
  </si>
  <si>
    <t>39857645</t>
  </si>
  <si>
    <t>991000395919702656</t>
  </si>
  <si>
    <t>2258725080002656</t>
  </si>
  <si>
    <t>9780787945817</t>
  </si>
  <si>
    <t>30001004979045</t>
  </si>
  <si>
    <t>893151007</t>
  </si>
  <si>
    <t>W 130 AA1 K64o 2001</t>
  </si>
  <si>
    <t>0                      W  0130000AA 1                  K  64o         2001</t>
  </si>
  <si>
    <t>Oxymorons : the myth of a U.S. health care system / J.D. Kleinke.</t>
  </si>
  <si>
    <t>Kleinke, J. D.</t>
  </si>
  <si>
    <t>San Francisco : Jossey-Bass, c2001.</t>
  </si>
  <si>
    <t>The Jossey-Bass health series</t>
  </si>
  <si>
    <t>795382694:eng</t>
  </si>
  <si>
    <t>47764234</t>
  </si>
  <si>
    <t>991000396209702656</t>
  </si>
  <si>
    <t>2263713750002656</t>
  </si>
  <si>
    <t>9780787959708</t>
  </si>
  <si>
    <t>30001004978732</t>
  </si>
  <si>
    <t>893827449</t>
  </si>
  <si>
    <t>W130 AA1 K82m 2002</t>
  </si>
  <si>
    <t>0                      W  0130000AA 1                  K  82m         2002</t>
  </si>
  <si>
    <t>Managed care : what it is and how it works / Peter R. Kongstvedt.</t>
  </si>
  <si>
    <t>Kongstvedt, Peter R. (Peter Reid)</t>
  </si>
  <si>
    <t>2003-04-10</t>
  </si>
  <si>
    <t>758336:eng</t>
  </si>
  <si>
    <t>48390646</t>
  </si>
  <si>
    <t>991000343849702656</t>
  </si>
  <si>
    <t>2256383570002656</t>
  </si>
  <si>
    <t>9780834220898</t>
  </si>
  <si>
    <t>30001004504090</t>
  </si>
  <si>
    <t>893359489</t>
  </si>
  <si>
    <t>W 130 AA1 M26 1996</t>
  </si>
  <si>
    <t>0                      W  0130000AA 1                  M  26          1996</t>
  </si>
  <si>
    <t>The Managed health care handbook / [edited by] Peter R. Kongstvedt.</t>
  </si>
  <si>
    <t>2005-10-05</t>
  </si>
  <si>
    <t>55135463:eng</t>
  </si>
  <si>
    <t>34412829</t>
  </si>
  <si>
    <t>991000836159702656</t>
  </si>
  <si>
    <t>2260604330002656</t>
  </si>
  <si>
    <t>9780834207332</t>
  </si>
  <si>
    <t>30001003441880</t>
  </si>
  <si>
    <t>893632317</t>
  </si>
  <si>
    <t>W 130 AA1 P895 2000</t>
  </si>
  <si>
    <t>0                      W  0130000AA 1                  P  895         2000</t>
  </si>
  <si>
    <t>A Guide to managed care medicine / William N. Tindall ... [et al.].</t>
  </si>
  <si>
    <t>52424:eng</t>
  </si>
  <si>
    <t>42814199</t>
  </si>
  <si>
    <t>991000378659702656</t>
  </si>
  <si>
    <t>2261067930002656</t>
  </si>
  <si>
    <t>9780834217652</t>
  </si>
  <si>
    <t>30001004219749</t>
  </si>
  <si>
    <t>893375495</t>
  </si>
  <si>
    <t>W 130 AA1 S7878i 1999</t>
  </si>
  <si>
    <t>0                      W  0130000AA 1                  S  7878i       1999</t>
  </si>
  <si>
    <t>IPA management : organizational structure and strategic planning / Kay Stanley, J. Max Reiboldt, Reed S. Wilson.</t>
  </si>
  <si>
    <t>Stanley, Kay, 1944-</t>
  </si>
  <si>
    <t>HFMA healthcare financial management series</t>
  </si>
  <si>
    <t>3373618892:eng</t>
  </si>
  <si>
    <t>40675082</t>
  </si>
  <si>
    <t>991000397149702656</t>
  </si>
  <si>
    <t>2260324140002656</t>
  </si>
  <si>
    <t>9780071343039</t>
  </si>
  <si>
    <t>30001004978831</t>
  </si>
  <si>
    <t>893817071</t>
  </si>
  <si>
    <t>W 130 AA1 T6i 1997</t>
  </si>
  <si>
    <t>0                      W  0130000AA 1                  T  6i          1997</t>
  </si>
  <si>
    <t>IPA, PHO, and MSO developmental strategies : building successful provider alliances / Maria K. Todd.</t>
  </si>
  <si>
    <t>[Westchester, IL] : Healthcare Financial Management Association ; New York : McGraw-Hill, c1997.</t>
  </si>
  <si>
    <t>1999-05-29</t>
  </si>
  <si>
    <t>2219620757:eng</t>
  </si>
  <si>
    <t>37665878</t>
  </si>
  <si>
    <t>991001534579702656</t>
  </si>
  <si>
    <t>2269894020002656</t>
  </si>
  <si>
    <t>9780786311194</t>
  </si>
  <si>
    <t>30001003962349</t>
  </si>
  <si>
    <t>893633171</t>
  </si>
  <si>
    <t>W 130 AC2 P4c 1997</t>
  </si>
  <si>
    <t>0                      W  0130000AC 2                  P  4c          1997</t>
  </si>
  <si>
    <t>Capitation in California : a study of physician organizations managing risk / Maurice J. Penner.</t>
  </si>
  <si>
    <t>Penner, Maurice J.</t>
  </si>
  <si>
    <t>2070702833:eng</t>
  </si>
  <si>
    <t>35771377</t>
  </si>
  <si>
    <t>991001483059702656</t>
  </si>
  <si>
    <t>2268942610002656</t>
  </si>
  <si>
    <t>9781567930511</t>
  </si>
  <si>
    <t>30001003911999</t>
  </si>
  <si>
    <t>893287442</t>
  </si>
  <si>
    <t>W 130 E84 1999</t>
  </si>
  <si>
    <t>0                      W  0130000E  84          1999</t>
  </si>
  <si>
    <t>Ethical challenges in managed care : a casebook / edited by Karen G. Gervais ... [et al.].</t>
  </si>
  <si>
    <t>Washington, D.C. : Georgetown University Press, c1999.</t>
  </si>
  <si>
    <t>891344353:eng</t>
  </si>
  <si>
    <t>39981766</t>
  </si>
  <si>
    <t>991001408679702656</t>
  </si>
  <si>
    <t>2258361240002656</t>
  </si>
  <si>
    <t>9780878407187</t>
  </si>
  <si>
    <t>30001003830215</t>
  </si>
  <si>
    <t>893460563</t>
  </si>
  <si>
    <t>W 130 G562 1999</t>
  </si>
  <si>
    <t>0                      W  0130000G  562         1999</t>
  </si>
  <si>
    <t>Global fees for episodes of care : new approaches to the purchasing of healthcare / [edited by] Douglas W. Emery.</t>
  </si>
  <si>
    <t>New York : McGraw Hill : Healthcare Financial Management Association, c1999.</t>
  </si>
  <si>
    <t>41758364:eng</t>
  </si>
  <si>
    <t>39764036</t>
  </si>
  <si>
    <t>991000396289702656</t>
  </si>
  <si>
    <t>2266303420002656</t>
  </si>
  <si>
    <t>9780070220577</t>
  </si>
  <si>
    <t>30001004978708</t>
  </si>
  <si>
    <t>893633855</t>
  </si>
  <si>
    <t>W 130 K71m 1998</t>
  </si>
  <si>
    <t>0                      W  0130000K  71m         1998</t>
  </si>
  <si>
    <t>Managed care : what it is and how it works / Wendy Knight.</t>
  </si>
  <si>
    <t>Knight, Wendy.</t>
  </si>
  <si>
    <t>477630730:eng</t>
  </si>
  <si>
    <t>39478170</t>
  </si>
  <si>
    <t>991001533039702656</t>
  </si>
  <si>
    <t>2272050570002656</t>
  </si>
  <si>
    <t>9780834210899</t>
  </si>
  <si>
    <t>30001003962067</t>
  </si>
  <si>
    <t>893561067</t>
  </si>
  <si>
    <t>W 130 T592m 1999</t>
  </si>
  <si>
    <t>0                      W  0130000T  592m        1999</t>
  </si>
  <si>
    <t>Managed care contracting : successful negotiation strategies / Reed Tinsley.</t>
  </si>
  <si>
    <t>Tinsley, Reed.</t>
  </si>
  <si>
    <t>Chicago, Ill : American Medical Association, 1999.</t>
  </si>
  <si>
    <t>27043468:eng</t>
  </si>
  <si>
    <t>42009376</t>
  </si>
  <si>
    <t>991000381649702656</t>
  </si>
  <si>
    <t>2259154530002656</t>
  </si>
  <si>
    <t>9781579470050</t>
  </si>
  <si>
    <t>30001004841187</t>
  </si>
  <si>
    <t>893269419</t>
  </si>
  <si>
    <t>W 130.1 C244 1998</t>
  </si>
  <si>
    <t>0                      W  0130100C  244         1998</t>
  </si>
  <si>
    <t>Capitation : tools, trends, traps, and techniques : a textbook for provider-sponsored organizations / edited by R.S. Venable.</t>
  </si>
  <si>
    <t>Los Angeles, CA : Practice Management Information Corp., c1998.</t>
  </si>
  <si>
    <t>682259:eng</t>
  </si>
  <si>
    <t>37947638</t>
  </si>
  <si>
    <t>991000398409702656</t>
  </si>
  <si>
    <t>2268242390002656</t>
  </si>
  <si>
    <t>9781570660726</t>
  </si>
  <si>
    <t>30001004810497</t>
  </si>
  <si>
    <t>893649818</t>
  </si>
  <si>
    <t>W132 AA1 O54h 2001</t>
  </si>
  <si>
    <t>0                      W  0132000AA 1                  O  54h         2001</t>
  </si>
  <si>
    <t>Healthcare marketing, sales, and service : an executive companion / John F. O'Malley.</t>
  </si>
  <si>
    <t>O'Malley, John F.</t>
  </si>
  <si>
    <t>Chicago : Health Administration Press, 2001.</t>
  </si>
  <si>
    <t>20868058:eng</t>
  </si>
  <si>
    <t>45066321</t>
  </si>
  <si>
    <t>991000349099702656</t>
  </si>
  <si>
    <t>2270499980002656</t>
  </si>
  <si>
    <t>9781567931501</t>
  </si>
  <si>
    <t>30001004502862</t>
  </si>
  <si>
    <t>893633813</t>
  </si>
  <si>
    <t>W 132.1 A267 1999</t>
  </si>
  <si>
    <t>0                      W  0132100A  267         1999</t>
  </si>
  <si>
    <t>Agility in health care : strategies for mastering turbulent markets / Steven L. Goldman, Carol B. Graham, editors ; foreword by Jeff Goldsmith ; sponsored by Agility Forum.</t>
  </si>
  <si>
    <t>San Francisco, Calif. : Jossey-Bass, c1999.</t>
  </si>
  <si>
    <t>910317978:eng</t>
  </si>
  <si>
    <t>39747911</t>
  </si>
  <si>
    <t>991000395889702656</t>
  </si>
  <si>
    <t>2255382520002656</t>
  </si>
  <si>
    <t>9780787942113</t>
  </si>
  <si>
    <t>30001004978765</t>
  </si>
  <si>
    <t>893817070</t>
  </si>
  <si>
    <t>W132.1 H178i 2000</t>
  </si>
  <si>
    <t>0                      W  0132100H  178i        2000</t>
  </si>
  <si>
    <t>An introduction to healthcare organizational ethics / Robert T. Hall.</t>
  </si>
  <si>
    <t>Hall, Robert T. (Robert Tom), 1938-</t>
  </si>
  <si>
    <t>Oxford ; New York : Oxford University Press, 2000.</t>
  </si>
  <si>
    <t>2005-10-24</t>
  </si>
  <si>
    <t>45126604:eng</t>
  </si>
  <si>
    <t>42643246</t>
  </si>
  <si>
    <t>991000329829702656</t>
  </si>
  <si>
    <t>2259673690002656</t>
  </si>
  <si>
    <t>9780195135602</t>
  </si>
  <si>
    <t>30001004441038</t>
  </si>
  <si>
    <t>893122983</t>
  </si>
  <si>
    <t>W 225 C692a 1993</t>
  </si>
  <si>
    <t>0                      W  0225000C  692a        1993</t>
  </si>
  <si>
    <t>The American health care system : betrayed by greed / Esmond H. Coleman.</t>
  </si>
  <si>
    <t>Coleman, Esmond H.</t>
  </si>
  <si>
    <t>New York : Vantage Press, c1993.</t>
  </si>
  <si>
    <t>1995-03-23</t>
  </si>
  <si>
    <t>1993-11-24</t>
  </si>
  <si>
    <t>31757300:eng</t>
  </si>
  <si>
    <t>29338519</t>
  </si>
  <si>
    <t>991001515719702656</t>
  </si>
  <si>
    <t>2260544900002656</t>
  </si>
  <si>
    <t>9780533104949</t>
  </si>
  <si>
    <t>30001002602136</t>
  </si>
  <si>
    <t>893826818</t>
  </si>
  <si>
    <t>W 225 I34 1992</t>
  </si>
  <si>
    <t>0                      W  0225000I  34          1992</t>
  </si>
  <si>
    <t>Improving access to health care : what can the states do? / edited by John H. Goddeeris, Andrew J. Hogan.</t>
  </si>
  <si>
    <t>Kalamazoo, Mich. : W.E. Upjohn Institute for Employment Research, c1992.</t>
  </si>
  <si>
    <t>1992-04-14</t>
  </si>
  <si>
    <t>793979026:eng</t>
  </si>
  <si>
    <t>25282389</t>
  </si>
  <si>
    <t>991001299409702656</t>
  </si>
  <si>
    <t>2271162010002656</t>
  </si>
  <si>
    <t>9780880991179</t>
  </si>
  <si>
    <t>30001002411264</t>
  </si>
  <si>
    <t>893134456</t>
  </si>
  <si>
    <t>W 225 I61mi 1977</t>
  </si>
  <si>
    <t>0                      W  0225000I  61mi        1977</t>
  </si>
  <si>
    <t>The impact of health services on medical education : a global view; report of an International Macy Conference / Edited by John Z. Bowers and Elizabeth F. Purcell.</t>
  </si>
  <si>
    <t>International Macy Conference on the Impact of Health Services on Medical Education (1977 : Paris, France)</t>
  </si>
  <si>
    <t>-- New York : Josiah Macy, Jr. Foundation, c1978.</t>
  </si>
  <si>
    <t>577236255:eng</t>
  </si>
  <si>
    <t>5263804</t>
  </si>
  <si>
    <t>991000662999702656</t>
  </si>
  <si>
    <t>2260250930002656</t>
  </si>
  <si>
    <t>30001000688913</t>
  </si>
  <si>
    <t>893362710</t>
  </si>
  <si>
    <t>W 225 L863 1993</t>
  </si>
  <si>
    <t>0                      W  0225000L  863         1993</t>
  </si>
  <si>
    <t>Looking north for health : what we can learn from Canada's health care system / edited by Arnold Bennett, Orvill Adams ; foreword by John D. Rockefeller IV.</t>
  </si>
  <si>
    <t>San Francisco : Jossey-Bass, c1993.</t>
  </si>
  <si>
    <t>The Jossey-Bass higher and adult education series.</t>
  </si>
  <si>
    <t>2002-03-29</t>
  </si>
  <si>
    <t>1993-03-11</t>
  </si>
  <si>
    <t>909770118:eng</t>
  </si>
  <si>
    <t>27012992</t>
  </si>
  <si>
    <t>991001432489702656</t>
  </si>
  <si>
    <t>2259317320002656</t>
  </si>
  <si>
    <t>9781555425166</t>
  </si>
  <si>
    <t>30001002529974</t>
  </si>
  <si>
    <t>893364098</t>
  </si>
  <si>
    <t>W 225 T244h 1987</t>
  </si>
  <si>
    <t>0                      W  0225000T  244h        1987</t>
  </si>
  <si>
    <t>Health insurance and Canadian public policy : the seven decisions that created the Canadian health insurance system and their outcomes / Malcolm G. Taylor.</t>
  </si>
  <si>
    <t>Taylor, Malcolm G. (Malcolm Gordon)</t>
  </si>
  <si>
    <t>Toronto : Institute of Public Administration of Canada = Institut d'administration publique du Canada, c1987.</t>
  </si>
  <si>
    <t>Canadian public administration series = Collection Administration publique canadienne</t>
  </si>
  <si>
    <t>2002-07-24</t>
  </si>
  <si>
    <t>1989-07-28</t>
  </si>
  <si>
    <t>9621704315:eng</t>
  </si>
  <si>
    <t>21332459</t>
  </si>
  <si>
    <t>991001254909702656</t>
  </si>
  <si>
    <t>2262379590002656</t>
  </si>
  <si>
    <t>9780773506282</t>
  </si>
  <si>
    <t>30001001679986</t>
  </si>
  <si>
    <t>893557724</t>
  </si>
  <si>
    <t>W 250 AA1 C758 2000</t>
  </si>
  <si>
    <t>0                      W  0250000AA 1                  C  758         2000</t>
  </si>
  <si>
    <t>Constructing the middle ground : cultural competence in Medicaid managed care : a research study conducted by the Cross Cultural Health Care Program, Seattle, Washington / written by Thomas D. Lonner, principal investigator.</t>
  </si>
  <si>
    <t>Seattle, WA : Cross Cultural Health Care Program, [2000]</t>
  </si>
  <si>
    <t>wau</t>
  </si>
  <si>
    <t>2004-09-30</t>
  </si>
  <si>
    <t>958254071:eng</t>
  </si>
  <si>
    <t>47068072</t>
  </si>
  <si>
    <t>991000399129702656</t>
  </si>
  <si>
    <t>2270425470002656</t>
  </si>
  <si>
    <t>30001004923548</t>
  </si>
  <si>
    <t>893275035</t>
  </si>
  <si>
    <t>W 250 AA1 H4 1997</t>
  </si>
  <si>
    <t>0                      W  0250000AA 1                  H  4           1997</t>
  </si>
  <si>
    <t>Health and poverty / Michael J. Holosko, Marvin D. Feit, editors.</t>
  </si>
  <si>
    <t>New York : Haworth Press, c1997.</t>
  </si>
  <si>
    <t>Haworth health and social policy</t>
  </si>
  <si>
    <t>2004-06-22</t>
  </si>
  <si>
    <t>352017749:eng</t>
  </si>
  <si>
    <t>36501360</t>
  </si>
  <si>
    <t>991000358519702656</t>
  </si>
  <si>
    <t>2267909660002656</t>
  </si>
  <si>
    <t>9780789001498</t>
  </si>
  <si>
    <t>30001004218014</t>
  </si>
  <si>
    <t>893123014</t>
  </si>
  <si>
    <t>W250 AA1 S645e 2002</t>
  </si>
  <si>
    <t>0                      W  0250000AA 1                  S  645e        2002</t>
  </si>
  <si>
    <t>Entitlement politics : medicare and medicaid, 1995-2001 / David G. Smith.</t>
  </si>
  <si>
    <t>Smith, David G., 1926-</t>
  </si>
  <si>
    <t>New York : Aldine de Gruyter, c2002.</t>
  </si>
  <si>
    <t>Social institutions and social change</t>
  </si>
  <si>
    <t>2004-11-15</t>
  </si>
  <si>
    <t>2003-02-17</t>
  </si>
  <si>
    <t>795400593:eng</t>
  </si>
  <si>
    <t>48876524</t>
  </si>
  <si>
    <t>991000339289702656</t>
  </si>
  <si>
    <t>2262119710002656</t>
  </si>
  <si>
    <t>9780202307183</t>
  </si>
  <si>
    <t>30001004502078</t>
  </si>
  <si>
    <t>893649793</t>
  </si>
  <si>
    <t>W 250 M489 1993</t>
  </si>
  <si>
    <t>0                      W  0250000M  489         1993</t>
  </si>
  <si>
    <t>Medical schools and poor patients : report on the Conference Medical Education and Health Services to the Poor and Medically Underinsured / organized by G. Robert Mason and Sherman M. Mellinkoff.</t>
  </si>
  <si>
    <t>Conference: Medical Education and Health Services to the Poor and Medically Underinsured (1992 : Los Angeles, Calif.)</t>
  </si>
  <si>
    <t>Irvine, Calif. : American Academy of Arts and Sciences, c1993.</t>
  </si>
  <si>
    <t>1996-10-19</t>
  </si>
  <si>
    <t>1993-12-03</t>
  </si>
  <si>
    <t>31694644:eng</t>
  </si>
  <si>
    <t>29436366</t>
  </si>
  <si>
    <t>991000549179702656</t>
  </si>
  <si>
    <t>2254738610002656</t>
  </si>
  <si>
    <t>30001002670828</t>
  </si>
  <si>
    <t>893539007</t>
  </si>
  <si>
    <t>W250.1 P879 2001</t>
  </si>
  <si>
    <t>0                      W  0250100P  879         2001</t>
  </si>
  <si>
    <t>Poverty, inequality, and health : an international perspective / edited by David A. Leon and Gill Walt.</t>
  </si>
  <si>
    <t>2008-12-02</t>
  </si>
  <si>
    <t>837045053:eng</t>
  </si>
  <si>
    <t>44627046</t>
  </si>
  <si>
    <t>991000320249702656</t>
  </si>
  <si>
    <t>2260069640002656</t>
  </si>
  <si>
    <t>9780192631961</t>
  </si>
  <si>
    <t>30001004238343</t>
  </si>
  <si>
    <t>893633773</t>
  </si>
  <si>
    <t>W 265 AA1 J89p 2005</t>
  </si>
  <si>
    <t>0                      W  0265000AA 1                  J  89p         2005</t>
  </si>
  <si>
    <t>Pharmacy use and costs in employer-provided health plans : insights for TRICARE benefit design from the private sector / Geoffrey Joyce, Jesse D. Malkin, Jennifer Pace.</t>
  </si>
  <si>
    <t>Joyce, Geoffrey.</t>
  </si>
  <si>
    <t>Santa Monica, CA : Rand, 2005.</t>
  </si>
  <si>
    <t>20806:eng</t>
  </si>
  <si>
    <t>54082268</t>
  </si>
  <si>
    <t>991000594469702656</t>
  </si>
  <si>
    <t>2259489290002656</t>
  </si>
  <si>
    <t>9780833035493</t>
  </si>
  <si>
    <t>30001005170099</t>
  </si>
  <si>
    <t>893647403</t>
  </si>
  <si>
    <t>W 275 AA1 A5315c 1986</t>
  </si>
  <si>
    <t>0                      W  0275000AA 1                  A  5315c       1986</t>
  </si>
  <si>
    <t>Cost and compassion : recommendations for avoiding a crisis in care for the medically indigent : the report of the Special Committee on Care for the Indigent.</t>
  </si>
  <si>
    <t>American Hospital Association. Special Committee on Care for the Indigent.</t>
  </si>
  <si>
    <t>Chicago, Ill. : American Hospital Association, c1986.</t>
  </si>
  <si>
    <t>1990-03-08</t>
  </si>
  <si>
    <t>7726260:eng</t>
  </si>
  <si>
    <t>13644095</t>
  </si>
  <si>
    <t>991001114989702656</t>
  </si>
  <si>
    <t>2256379430002656</t>
  </si>
  <si>
    <t>9780872584440</t>
  </si>
  <si>
    <t>30001001613043</t>
  </si>
  <si>
    <t>893834567</t>
  </si>
  <si>
    <t>W 275 AA1 B986t 1988</t>
  </si>
  <si>
    <t>0                      W  0275000AA 1                  B  986t        1988</t>
  </si>
  <si>
    <t>Too poor to be sick : access to medical care for the uninsured / Patricia A. Butler.</t>
  </si>
  <si>
    <t>Butler, Patricia (Patricia A.)</t>
  </si>
  <si>
    <t>Washington, DC : American Public Health Association, c1988.</t>
  </si>
  <si>
    <t>APHA public health policy series</t>
  </si>
  <si>
    <t>18152987:eng</t>
  </si>
  <si>
    <t>18497519</t>
  </si>
  <si>
    <t>991001321039702656</t>
  </si>
  <si>
    <t>2271155100002656</t>
  </si>
  <si>
    <t>9780875531519</t>
  </si>
  <si>
    <t>30001001753625</t>
  </si>
  <si>
    <t>893268362</t>
  </si>
  <si>
    <t>W 275 AA1 F33m 1986</t>
  </si>
  <si>
    <t>0                      W  0275000AA 1                  F  33m         1986</t>
  </si>
  <si>
    <t>Medical care, medical costs : the search for a health insurance policy / Rashi Fein.</t>
  </si>
  <si>
    <t>Fein, Rashi.</t>
  </si>
  <si>
    <t>Cambridge, Mass. : Harvard University Press, c1986.</t>
  </si>
  <si>
    <t>2005-06-15</t>
  </si>
  <si>
    <t>57038:eng</t>
  </si>
  <si>
    <t>13424679</t>
  </si>
  <si>
    <t>991001242729702656</t>
  </si>
  <si>
    <t>2264006790002656</t>
  </si>
  <si>
    <t>9780674560529</t>
  </si>
  <si>
    <t>30001001676081</t>
  </si>
  <si>
    <t>893268240</t>
  </si>
  <si>
    <t>W 275 AA1 H434 1986</t>
  </si>
  <si>
    <t>0                      W  0275000AA 1                  H  434         1986</t>
  </si>
  <si>
    <t>Health care for the insured; politics, economics, &amp; social justice : the proceedings / editor Jack E. Walsh.</t>
  </si>
  <si>
    <t>Omaha : Creighton University, c1987.</t>
  </si>
  <si>
    <t>1998-04-06</t>
  </si>
  <si>
    <t>1990-03-03</t>
  </si>
  <si>
    <t>22101191:eng</t>
  </si>
  <si>
    <t>21155028</t>
  </si>
  <si>
    <t>991001171309702656</t>
  </si>
  <si>
    <t>2266039920002656</t>
  </si>
  <si>
    <t>30001000975179</t>
  </si>
  <si>
    <t>893148936</t>
  </si>
  <si>
    <t>W 275 AA1 K9p 1974</t>
  </si>
  <si>
    <t>0                      W  0275000AA 1                  K  9p          1974</t>
  </si>
  <si>
    <t>The patient as consumer : health care financing in the United States / by John Krizay and Andrew Wilson.</t>
  </si>
  <si>
    <t>Krizay, John.</t>
  </si>
  <si>
    <t>Lexington, Mass. : Lexington Books, 1974.</t>
  </si>
  <si>
    <t>1988-01-18</t>
  </si>
  <si>
    <t>836628760:eng</t>
  </si>
  <si>
    <t>821355</t>
  </si>
  <si>
    <t>991000663779702656</t>
  </si>
  <si>
    <t>2256435670002656</t>
  </si>
  <si>
    <t>9780669934014</t>
  </si>
  <si>
    <t>30001000689069</t>
  </si>
  <si>
    <t>893147879</t>
  </si>
  <si>
    <t>W 275 AA1 L86h 1981a</t>
  </si>
  <si>
    <t>0                      W  0275000AA 1                  L  86h         1981a</t>
  </si>
  <si>
    <t>Health maintenance organizations : dimensions of performance / Harold S. Luft.</t>
  </si>
  <si>
    <t>Luft, Harold S.</t>
  </si>
  <si>
    <t>New Brunswick, U.S.A. : Transaction Books, c1987.</t>
  </si>
  <si>
    <t>[Transaction ed.].</t>
  </si>
  <si>
    <t>1988-08-23</t>
  </si>
  <si>
    <t>488275:eng</t>
  </si>
  <si>
    <t>15108005</t>
  </si>
  <si>
    <t>991001422799702656</t>
  </si>
  <si>
    <t>2258071130002656</t>
  </si>
  <si>
    <t>9780887386817</t>
  </si>
  <si>
    <t>30001001182908</t>
  </si>
  <si>
    <t>893638303</t>
  </si>
  <si>
    <t>W 275 AA1 N19 1977</t>
  </si>
  <si>
    <t>0                      W  0275000AA 1                  N  19          1977</t>
  </si>
  <si>
    <t>National health insurance / compiled and edited by Tyrus G. Fain ; in collaboration with Katharine C. Plant and Ross Milloy.</t>
  </si>
  <si>
    <t>-- New York : Bowker, 1977.</t>
  </si>
  <si>
    <t>Public documents series</t>
  </si>
  <si>
    <t>1994-12-03</t>
  </si>
  <si>
    <t>54173923:eng</t>
  </si>
  <si>
    <t>3089988</t>
  </si>
  <si>
    <t>991000663829702656</t>
  </si>
  <si>
    <t>2263040290002656</t>
  </si>
  <si>
    <t>9780835209601</t>
  </si>
  <si>
    <t>30001000689077</t>
  </si>
  <si>
    <t>893730872</t>
  </si>
  <si>
    <t>W 275 AA1 N43</t>
  </si>
  <si>
    <t>0                      W  0275000AA 1                  N  43</t>
  </si>
  <si>
    <t>New directions in public health care : an evaluation of proposals for national health insurance / Martin S. Feldstein ... [et al.] ; Cotton M. Lindsay, editor.</t>
  </si>
  <si>
    <t>San Francisco : Institute for Contemporary Studies, 1976.</t>
  </si>
  <si>
    <t>3943644939:eng</t>
  </si>
  <si>
    <t>2813930</t>
  </si>
  <si>
    <t>991000663929702656</t>
  </si>
  <si>
    <t>2261614560002656</t>
  </si>
  <si>
    <t>9780917616006</t>
  </si>
  <si>
    <t>30001000689085</t>
  </si>
  <si>
    <t>893277872</t>
  </si>
  <si>
    <t>W275 AA1 R88ua 2004</t>
  </si>
  <si>
    <t>0                      W  0275000AA 1                  R  88ua        2004</t>
  </si>
  <si>
    <t>Understanding health insurance : a guide to professional billing / JoAnn C. Rowell, Michelle A. Green.</t>
  </si>
  <si>
    <t>Rowell, Jo Ann C., 1934-</t>
  </si>
  <si>
    <t>Australia ; Clifton Park, NY : Thomson/Delmar Learning, c2004.</t>
  </si>
  <si>
    <t>2004-05-14</t>
  </si>
  <si>
    <t>2004-04-01</t>
  </si>
  <si>
    <t>3863782626:eng</t>
  </si>
  <si>
    <t>53286213</t>
  </si>
  <si>
    <t>991000369229702656</t>
  </si>
  <si>
    <t>2257266190002656</t>
  </si>
  <si>
    <t>9781401837914</t>
  </si>
  <si>
    <t>30001004507614</t>
  </si>
  <si>
    <t>893547766</t>
  </si>
  <si>
    <t>W 275 AA1 S755m 1975</t>
  </si>
  <si>
    <t>0                      W  0275000AA 1                  S  755m        1975</t>
  </si>
  <si>
    <t>Medicaid : lessons for national health insurance / edited by Allen D. Spiegel and Simon Podair ; foreword by Joseph V. Terenzio.</t>
  </si>
  <si>
    <t>Rockville, Md. : Aspen Systems Corp., [c1975]</t>
  </si>
  <si>
    <t>423115852:eng</t>
  </si>
  <si>
    <t>1225796</t>
  </si>
  <si>
    <t>991000664009702656</t>
  </si>
  <si>
    <t>2262644510002656</t>
  </si>
  <si>
    <t>9780912862101</t>
  </si>
  <si>
    <t>30001000689135</t>
  </si>
  <si>
    <t>893368146</t>
  </si>
  <si>
    <t>W 275 AA1 S796L 1992</t>
  </si>
  <si>
    <t>0                      W  0275000AA 1                  S  796L        1992</t>
  </si>
  <si>
    <t>The logic of health-care reform / Paul Starr.</t>
  </si>
  <si>
    <t>Starr, Paul, 1949-</t>
  </si>
  <si>
    <t>[Knoxville, TN] : Ground Rounds Press, Whittle Direct Books, c1992.</t>
  </si>
  <si>
    <t>1996-08-18</t>
  </si>
  <si>
    <t>1993-01-22</t>
  </si>
  <si>
    <t>29822720:eng</t>
  </si>
  <si>
    <t>27137596</t>
  </si>
  <si>
    <t>991001434849702656</t>
  </si>
  <si>
    <t>2259279450002656</t>
  </si>
  <si>
    <t>9781879736092</t>
  </si>
  <si>
    <t>30001002530709</t>
  </si>
  <si>
    <t>893561033</t>
  </si>
  <si>
    <t>W 275 AA1 S85d 1975</t>
  </si>
  <si>
    <t>0                      W  0275000AA 1                  S  85d         1975</t>
  </si>
  <si>
    <t>Delivery of health care services to the poor : findings from a review of the current periodical literature, with a key to 47 reports of innovative projects / James C. Stewart, Lottie Lee Crafton.</t>
  </si>
  <si>
    <t>Stewart, J. C., 1949-</t>
  </si>
  <si>
    <t>Austin : Center for Social Work Research, Graduate School of Social Work, University of Texas, 1975.</t>
  </si>
  <si>
    <t>Human services monograph series ; monograph #1</t>
  </si>
  <si>
    <t>2001-02-24</t>
  </si>
  <si>
    <t>2255878:eng</t>
  </si>
  <si>
    <t>3149778</t>
  </si>
  <si>
    <t>991000663969702656</t>
  </si>
  <si>
    <t>2254783170002656</t>
  </si>
  <si>
    <t>30001000689119</t>
  </si>
  <si>
    <t>893277873</t>
  </si>
  <si>
    <t>W 275 AA1 S94m 1989</t>
  </si>
  <si>
    <t>0                      W  0275000AA 1                  S  94m         1989</t>
  </si>
  <si>
    <t>The medically uninsured : special focus on workers / Katherine Swartz.</t>
  </si>
  <si>
    <t>Swartz, Katherine.</t>
  </si>
  <si>
    <t>Washington, D.C. : Urban Institute : National Health Policy Forum, George Washington University ; Lanham, MD : Distributed by University Press of America, c1989.</t>
  </si>
  <si>
    <t>1996-11-19</t>
  </si>
  <si>
    <t>1990-03-21</t>
  </si>
  <si>
    <t>836721530:eng</t>
  </si>
  <si>
    <t>20168817</t>
  </si>
  <si>
    <t>991001381409702656</t>
  </si>
  <si>
    <t>2267042660002656</t>
  </si>
  <si>
    <t>9780877664253</t>
  </si>
  <si>
    <t>30001001798851</t>
  </si>
  <si>
    <t>893369338</t>
  </si>
  <si>
    <t>W 275 DC2 N21 1974</t>
  </si>
  <si>
    <t>0                      W  0275000DC 2                  N  21          1974</t>
  </si>
  <si>
    <t>National health insurance : can we learn from Canada? / edited by Spyros Andreopoulos ; foreword by Philip R. Lee.</t>
  </si>
  <si>
    <t>New York : Wiley, c1975.</t>
  </si>
  <si>
    <t>A Wiley-biomedical health publication</t>
  </si>
  <si>
    <t>54448324:eng</t>
  </si>
  <si>
    <t>1207298</t>
  </si>
  <si>
    <t>991000664219702656</t>
  </si>
  <si>
    <t>2269289440002656</t>
  </si>
  <si>
    <t>9780471029250</t>
  </si>
  <si>
    <t>30001000689226</t>
  </si>
  <si>
    <t>893373372</t>
  </si>
  <si>
    <t>W 275 I34 1992</t>
  </si>
  <si>
    <t>0                      W  0275000I  34          1992</t>
  </si>
  <si>
    <t>Implementation issues and national health care reform : proceedings of a conference / edited by Charles Brecher ; sponsored by the Robert F. Wagner Graduate School of Public Service, New York University with support from the Josiah Macy, Jr. Foundation.</t>
  </si>
  <si>
    <t>Washington, DC : Josiah Macy, Jr. Foundation, 1992.</t>
  </si>
  <si>
    <t>1996-10-11</t>
  </si>
  <si>
    <t>29163485:eng</t>
  </si>
  <si>
    <t>26702460</t>
  </si>
  <si>
    <t>991001346379702656</t>
  </si>
  <si>
    <t>2264395970002656</t>
  </si>
  <si>
    <t>30001002457366</t>
  </si>
  <si>
    <t>893741055</t>
  </si>
  <si>
    <t>W 275 R324h 1972</t>
  </si>
  <si>
    <t>0                      W  0275000R  324h        1972</t>
  </si>
  <si>
    <t>Health insurance and psychiatric care : utilization and cost / Louis S. Reed, Evelyn S. Myers, Patricia L. Scheidemandel ; foreword by Walter E. Barton.</t>
  </si>
  <si>
    <t>Washington : American Psychiatric Association, c1972.</t>
  </si>
  <si>
    <t>1476102:eng</t>
  </si>
  <si>
    <t>415595</t>
  </si>
  <si>
    <t>991000664319702656</t>
  </si>
  <si>
    <t>2266878120002656</t>
  </si>
  <si>
    <t>30001000689275</t>
  </si>
  <si>
    <t>893277874</t>
  </si>
  <si>
    <t>W 322 B411h 2006</t>
  </si>
  <si>
    <t>0                      W  0322000B  411h        2006</t>
  </si>
  <si>
    <t>Hospital social work : the interface of medicine and caring / Joan Beder.</t>
  </si>
  <si>
    <t>Beder, Joan, 1944-</t>
  </si>
  <si>
    <t>New York : Routledge, 2006.</t>
  </si>
  <si>
    <t>800854688:eng</t>
  </si>
  <si>
    <t>60705560</t>
  </si>
  <si>
    <t>991000582199702656</t>
  </si>
  <si>
    <t>2265329660002656</t>
  </si>
  <si>
    <t>9780415950671</t>
  </si>
  <si>
    <t>30001005175395</t>
  </si>
  <si>
    <t>893159205</t>
  </si>
  <si>
    <t>W 322 B796s 1978</t>
  </si>
  <si>
    <t>0                      W  0322000B  796s        1978</t>
  </si>
  <si>
    <t>Social work in health care : a guide to professional practice / written and edited by Neil F. Bracht.</t>
  </si>
  <si>
    <t>Bracht, Neil F.</t>
  </si>
  <si>
    <t>New York : Haworth Press, c1978.</t>
  </si>
  <si>
    <t>380603235:eng</t>
  </si>
  <si>
    <t>3869819</t>
  </si>
  <si>
    <t>991000664389702656</t>
  </si>
  <si>
    <t>2262856420002656</t>
  </si>
  <si>
    <t>9780917724046</t>
  </si>
  <si>
    <t>30001000689317</t>
  </si>
  <si>
    <t>893459592</t>
  </si>
  <si>
    <t>W 322 D535sd 1997</t>
  </si>
  <si>
    <t>0                      W  0322000D  535sd       1997</t>
  </si>
  <si>
    <t>Social work in health care in the 21st century / Surjit Singh Dhooper.</t>
  </si>
  <si>
    <t>Dhooper, Surjit Singh.</t>
  </si>
  <si>
    <t>Thousand Oaks : Sage Publications, c1997.</t>
  </si>
  <si>
    <t>Sage sourcebooks for the human services series ; v. 33</t>
  </si>
  <si>
    <t>40157723:eng</t>
  </si>
  <si>
    <t>35657988</t>
  </si>
  <si>
    <t>991000359119702656</t>
  </si>
  <si>
    <t>2256880420002656</t>
  </si>
  <si>
    <t>9780803959323</t>
  </si>
  <si>
    <t>30001004218105</t>
  </si>
  <si>
    <t>893639116</t>
  </si>
  <si>
    <t>W 322 L966m 1994</t>
  </si>
  <si>
    <t>0                      W  0322000L  966m        1994</t>
  </si>
  <si>
    <t>Medicine as culture : illness, disease and the body in western societies / Deborah Lupton.</t>
  </si>
  <si>
    <t>Lupton, Deborah.</t>
  </si>
  <si>
    <t>London ; Thousand Oaks : Sage, c1994.</t>
  </si>
  <si>
    <t>1994-09-12</t>
  </si>
  <si>
    <t>793947530:eng</t>
  </si>
  <si>
    <t>30475941</t>
  </si>
  <si>
    <t>991000678299702656</t>
  </si>
  <si>
    <t>2263523190002656</t>
  </si>
  <si>
    <t>9780803989252</t>
  </si>
  <si>
    <t>30001002696930</t>
  </si>
  <si>
    <t>893119996</t>
  </si>
  <si>
    <t>W 322 S6783 1984</t>
  </si>
  <si>
    <t>0                      W  0322000S  6783        1984</t>
  </si>
  <si>
    <t>Social work administration in health care / edited by Abraham Lurie, Gary Rosenberg.</t>
  </si>
  <si>
    <t>New York, N.Y. : Haworth Press, c1984.</t>
  </si>
  <si>
    <t>350597217:eng</t>
  </si>
  <si>
    <t>10559567</t>
  </si>
  <si>
    <t>991000664699702656</t>
  </si>
  <si>
    <t>2272069950002656</t>
  </si>
  <si>
    <t>9780866563147</t>
  </si>
  <si>
    <t>30001000689366</t>
  </si>
  <si>
    <t>893277875</t>
  </si>
  <si>
    <t>W 322 S715s 1985</t>
  </si>
  <si>
    <t>0                      W  0322000S  715s        1985</t>
  </si>
  <si>
    <t>Social work in the emergency room / Carole W. Soskis.</t>
  </si>
  <si>
    <t>Soskis, Carole W.</t>
  </si>
  <si>
    <t>Springer series on social work ; v. 5</t>
  </si>
  <si>
    <t>967113:eng</t>
  </si>
  <si>
    <t>11210721</t>
  </si>
  <si>
    <t>991000664529702656</t>
  </si>
  <si>
    <t>2256661500002656</t>
  </si>
  <si>
    <t>9780826144102</t>
  </si>
  <si>
    <t>30001000689341</t>
  </si>
  <si>
    <t>893357277</t>
  </si>
  <si>
    <t>W 615 M489 1989</t>
  </si>
  <si>
    <t>0                      W  0615000M  489         1989</t>
  </si>
  <si>
    <t>Medicolegal glossary / edited by Walter L. Scott.</t>
  </si>
  <si>
    <t>Oradell, N.J. : Medical Economics Books, c1989.</t>
  </si>
  <si>
    <t>1992-05-26</t>
  </si>
  <si>
    <t>18830447:eng</t>
  </si>
  <si>
    <t>18779070</t>
  </si>
  <si>
    <t>991001304969702656</t>
  </si>
  <si>
    <t>2256605160002656</t>
  </si>
  <si>
    <t>9780874894950</t>
  </si>
  <si>
    <t>30001002413427</t>
  </si>
  <si>
    <t>893816287</t>
  </si>
  <si>
    <t>W639 Q65 2003</t>
  </si>
  <si>
    <t>0                      W  0639000Q  65          2003</t>
  </si>
  <si>
    <t>Sexual assault : for healthcare professionals, social services, and law enforcement : quick-reference / Angelo P. Giardino ... [et al.].</t>
  </si>
  <si>
    <t>St. Louis : G.W. Medical Pub., c2003.</t>
  </si>
  <si>
    <t>2005-04-07</t>
  </si>
  <si>
    <t>2577366249:eng</t>
  </si>
  <si>
    <t>52128256</t>
  </si>
  <si>
    <t>991000435609702656</t>
  </si>
  <si>
    <t>2266462880002656</t>
  </si>
  <si>
    <t>9781878060389</t>
  </si>
  <si>
    <t>30001004929222</t>
  </si>
  <si>
    <t>893365418</t>
  </si>
  <si>
    <t>W 700 C168t</t>
  </si>
  <si>
    <t>0                      W  0700000C  168t</t>
  </si>
  <si>
    <t>Traumatic medicine and surgery / editor in chief, Paul David Cantor.</t>
  </si>
  <si>
    <t>V. 6</t>
  </si>
  <si>
    <t>Washington : Butterworths, 1959-1964</t>
  </si>
  <si>
    <t>3377119145:eng</t>
  </si>
  <si>
    <t>11420760</t>
  </si>
  <si>
    <t>991000664739702656</t>
  </si>
  <si>
    <t>2266113930002656</t>
  </si>
  <si>
    <t>30001000689457</t>
  </si>
  <si>
    <t>893283330</t>
  </si>
  <si>
    <t>30001000689440</t>
  </si>
  <si>
    <t>893283331</t>
  </si>
  <si>
    <t>V. 10</t>
  </si>
  <si>
    <t>30001000689499</t>
  </si>
  <si>
    <t>893277879</t>
  </si>
  <si>
    <t>V. 7</t>
  </si>
  <si>
    <t>30001000689465</t>
  </si>
  <si>
    <t>893277877</t>
  </si>
  <si>
    <t>V. 3</t>
  </si>
  <si>
    <t>30001000689424</t>
  </si>
  <si>
    <t>893283332</t>
  </si>
  <si>
    <t>30001000689481</t>
  </si>
  <si>
    <t>893283329</t>
  </si>
  <si>
    <t>30001000689473</t>
  </si>
  <si>
    <t>893277876</t>
  </si>
  <si>
    <t>30001000689416</t>
  </si>
  <si>
    <t>893286818</t>
  </si>
  <si>
    <t>V. 4</t>
  </si>
  <si>
    <t>30001000689432</t>
  </si>
  <si>
    <t>893277878</t>
  </si>
  <si>
    <t>30001000689408</t>
  </si>
  <si>
    <t>893283333</t>
  </si>
  <si>
    <t>W700 D582f 2001</t>
  </si>
  <si>
    <t>0                      W  0700000D  582f        2001</t>
  </si>
  <si>
    <t>Forensic pathology / Vincent J. Di Maio, Dominick Di Maio.</t>
  </si>
  <si>
    <t>Di Maio, Vincent J. M., 1941-</t>
  </si>
  <si>
    <t>Boca Raton : CRC Press, c2001.</t>
  </si>
  <si>
    <t>CRC series in practical aspects of criminal and forensic investigations</t>
  </si>
  <si>
    <t>2009-02-17</t>
  </si>
  <si>
    <t>396559:eng</t>
  </si>
  <si>
    <t>46548277</t>
  </si>
  <si>
    <t>991000679379702656</t>
  </si>
  <si>
    <t>2268478420002656</t>
  </si>
  <si>
    <t>9780849300721</t>
  </si>
  <si>
    <t>30001005271046</t>
  </si>
  <si>
    <t>893540217</t>
  </si>
  <si>
    <t>W 700 G662f 1988</t>
  </si>
  <si>
    <t>0                      W  0700000G  662f        1988</t>
  </si>
  <si>
    <t>Forensic medicine : a guide to principles / I. Gordon, H.A. Shapiro, S.D. Berson.</t>
  </si>
  <si>
    <t>Gordon, I. (Isidor)</t>
  </si>
  <si>
    <t>Edinburgh ; New York : Churchill Livingstone, 1988.</t>
  </si>
  <si>
    <t>1988-08-04</t>
  </si>
  <si>
    <t>198969793:eng</t>
  </si>
  <si>
    <t>16526391</t>
  </si>
  <si>
    <t>991001419959702656</t>
  </si>
  <si>
    <t>2263660760002656</t>
  </si>
  <si>
    <t>9780443034404</t>
  </si>
  <si>
    <t>30001001181918</t>
  </si>
  <si>
    <t>893465508</t>
  </si>
  <si>
    <t>W 700 L487f 1988</t>
  </si>
  <si>
    <t>0                      W  0700000L  487f        1988</t>
  </si>
  <si>
    <t>Forensic neuropathology / Jan E. Leestma.</t>
  </si>
  <si>
    <t>Leestma, Jan E.</t>
  </si>
  <si>
    <t>New York : Raven Press, c1988.</t>
  </si>
  <si>
    <t>2004-10-24</t>
  </si>
  <si>
    <t>11008345:eng</t>
  </si>
  <si>
    <t>15858504</t>
  </si>
  <si>
    <t>991001184699702656</t>
  </si>
  <si>
    <t>2259036040002656</t>
  </si>
  <si>
    <t>9780881673388</t>
  </si>
  <si>
    <t>30001000977704</t>
  </si>
  <si>
    <t>893278849</t>
  </si>
  <si>
    <t>W 700 T85f 1949</t>
  </si>
  <si>
    <t>0                      W  0700000T  85f         1949</t>
  </si>
  <si>
    <t>Forensic science and laboratory technics / Ralph F. Turner.</t>
  </si>
  <si>
    <t>Turner, Ralph F.</t>
  </si>
  <si>
    <t>Springfield, Ill. : C.C. Thomas, c1949.</t>
  </si>
  <si>
    <t>1998-08-29</t>
  </si>
  <si>
    <t>2012289:eng</t>
  </si>
  <si>
    <t>1117395</t>
  </si>
  <si>
    <t>991001544719702656</t>
  </si>
  <si>
    <t>2270842500002656</t>
  </si>
  <si>
    <t>30001000637126</t>
  </si>
  <si>
    <t>893727752</t>
  </si>
  <si>
    <t>W 705 H236 1987</t>
  </si>
  <si>
    <t>0                      W  0705000H  236         1987</t>
  </si>
  <si>
    <t>Handbook of dental jurisprudence and risk management / edited by Burton R. Pollack and Oliver C. Schroeder.</t>
  </si>
  <si>
    <t>Littleton, Mass. : PSG Pub. Co., c1987.</t>
  </si>
  <si>
    <t>2006-08-15</t>
  </si>
  <si>
    <t>8536899:eng</t>
  </si>
  <si>
    <t>14966334</t>
  </si>
  <si>
    <t>991001536069702656</t>
  </si>
  <si>
    <t>2264077550002656</t>
  </si>
  <si>
    <t>9780884165507</t>
  </si>
  <si>
    <t>30001000622938</t>
  </si>
  <si>
    <t>893832290</t>
  </si>
  <si>
    <t>W 705 L964h 1973</t>
  </si>
  <si>
    <t>0                      W  0705000L  964h        1973</t>
  </si>
  <si>
    <t>Handbook for dental identification : techniques in forensic dentistry / by Lester L. Luntz and Phyllys Luntz.</t>
  </si>
  <si>
    <t>Luntz, Lester L.</t>
  </si>
  <si>
    <t>Philadelphia : Lippincott, 1973</t>
  </si>
  <si>
    <t>257251711:eng</t>
  </si>
  <si>
    <t>596381</t>
  </si>
  <si>
    <t>991001544749702656</t>
  </si>
  <si>
    <t>2270984890002656</t>
  </si>
  <si>
    <t>9780397503155</t>
  </si>
  <si>
    <t>30001000637167</t>
  </si>
  <si>
    <t>893736703</t>
  </si>
  <si>
    <t>W 725 S562p 1986</t>
  </si>
  <si>
    <t>0                      W  0725000S  562p        1986</t>
  </si>
  <si>
    <t>Psychiatric and psychological evidence / Daniel W. Shuman.</t>
  </si>
  <si>
    <t>Shuman, Daniel W.</t>
  </si>
  <si>
    <t>Colorado Springs, Colo. : Shepard's/McGraw-Hill, c1986.</t>
  </si>
  <si>
    <t>Trial practice series</t>
  </si>
  <si>
    <t>2009-11-22</t>
  </si>
  <si>
    <t>10792604355:eng</t>
  </si>
  <si>
    <t>13581199</t>
  </si>
  <si>
    <t>991001527549702656</t>
  </si>
  <si>
    <t>2259659950002656</t>
  </si>
  <si>
    <t>9780070571792</t>
  </si>
  <si>
    <t>30001000620270</t>
  </si>
  <si>
    <t>893541480</t>
  </si>
  <si>
    <t>W 725 T761d 1957</t>
  </si>
  <si>
    <t>0                      W  0725000T  761d        1957</t>
  </si>
  <si>
    <t>The doctor as a witness.</t>
  </si>
  <si>
    <t>Tracy, John Evarts, 1880-1959.</t>
  </si>
  <si>
    <t>Philadelphia : W.B. Saunders Co., 1957.</t>
  </si>
  <si>
    <t>1991-07-29</t>
  </si>
  <si>
    <t>2495001:eng</t>
  </si>
  <si>
    <t>81360683</t>
  </si>
  <si>
    <t>991001731379702656</t>
  </si>
  <si>
    <t>2271463810002656</t>
  </si>
  <si>
    <t>30001000637191</t>
  </si>
  <si>
    <t>893741360</t>
  </si>
  <si>
    <t>W740 A585 2004</t>
  </si>
  <si>
    <t>0                      W  0740000A  585         2004</t>
  </si>
  <si>
    <t>The American Psychiatric Publishing textbook of forensic psychiatry / edited by Robert I. Simon, Liza H. Gold.</t>
  </si>
  <si>
    <t>Washington, DC : American Psychiatric Pub., c2004.</t>
  </si>
  <si>
    <t>866858587:eng</t>
  </si>
  <si>
    <t>54007329</t>
  </si>
  <si>
    <t>991000380529702656</t>
  </si>
  <si>
    <t>2271684350002656</t>
  </si>
  <si>
    <t>9781585620876</t>
  </si>
  <si>
    <t>30001004921104</t>
  </si>
  <si>
    <t>893109497</t>
  </si>
  <si>
    <t>W 740 K67p 1987</t>
  </si>
  <si>
    <t>0                      W  0740000K  67p         1987</t>
  </si>
  <si>
    <t>Privileged communications in the mental health professions / Samuel Knapp, Leon VandeCreek.</t>
  </si>
  <si>
    <t>Knapp, Samuel.</t>
  </si>
  <si>
    <t>New York : Van Nostrand Reinhold, c1987.</t>
  </si>
  <si>
    <t>1991-11-09</t>
  </si>
  <si>
    <t>8215123:eng</t>
  </si>
  <si>
    <t>14358845</t>
  </si>
  <si>
    <t>991001264719702656</t>
  </si>
  <si>
    <t>2255501380002656</t>
  </si>
  <si>
    <t>9780442240554</t>
  </si>
  <si>
    <t>30001000352403</t>
  </si>
  <si>
    <t>893736379</t>
  </si>
  <si>
    <t>W 740 L415 1981</t>
  </si>
  <si>
    <t>0                      W  0740000L  415         1981</t>
  </si>
  <si>
    <t>Law and ethics in the practice of psychiatry / edited by Charles K. Hofling.</t>
  </si>
  <si>
    <t>New York : Brunner/Mazel, c1981.</t>
  </si>
  <si>
    <t>146927814:eng</t>
  </si>
  <si>
    <t>7877405</t>
  </si>
  <si>
    <t>991001544779702656</t>
  </si>
  <si>
    <t>2268276360002656</t>
  </si>
  <si>
    <t>9780876302507</t>
  </si>
  <si>
    <t>30001000637258</t>
  </si>
  <si>
    <t>893168265</t>
  </si>
  <si>
    <t>W 740 L967 1985f</t>
  </si>
  <si>
    <t>0                      W  0740000L  967         1985f</t>
  </si>
  <si>
    <t>Forensic neuropsychology / edited by Charles J. Golden and Mary Ann Strider.</t>
  </si>
  <si>
    <t>Luria-Nebraska Symposium on Neuropsychology (3rd : 1985 : University of Nebraska Medical Center)</t>
  </si>
  <si>
    <t>New York : Plenum Press, c1986.</t>
  </si>
  <si>
    <t>Nebraska neuropsychology symposia series ; v. 1</t>
  </si>
  <si>
    <t>1994-09-02</t>
  </si>
  <si>
    <t>363885589:eng</t>
  </si>
  <si>
    <t>14098478</t>
  </si>
  <si>
    <t>991001544819702656</t>
  </si>
  <si>
    <t>2266836770002656</t>
  </si>
  <si>
    <t>9780306423949</t>
  </si>
  <si>
    <t>30001000637266</t>
  </si>
  <si>
    <t>893162142</t>
  </si>
  <si>
    <t>W 740 M135p 1976</t>
  </si>
  <si>
    <t>0                      W  0740000M  135p        1976</t>
  </si>
  <si>
    <t>Psychiatry and the criminal : a guide to psychiatric examinations for the criminal courts / by John M. Macdonald, with a chapter by Leighton C. Whitaker.</t>
  </si>
  <si>
    <t>Macdonald, John M. (John Marshall), 1920-2007.</t>
  </si>
  <si>
    <t>Springfield, Ill. : Thomas, 1976.</t>
  </si>
  <si>
    <t>-- 3d ed. --</t>
  </si>
  <si>
    <t>2001-03-13</t>
  </si>
  <si>
    <t>471695:eng</t>
  </si>
  <si>
    <t>1984542</t>
  </si>
  <si>
    <t>991001544849702656</t>
  </si>
  <si>
    <t>2260401120002656</t>
  </si>
  <si>
    <t>9780398034801</t>
  </si>
  <si>
    <t>30001000637274</t>
  </si>
  <si>
    <t>893633181</t>
  </si>
  <si>
    <t>W 740 P974 1982</t>
  </si>
  <si>
    <t>0                      W  0740000P  974         1982</t>
  </si>
  <si>
    <t>Psychology and law : topics from an international conference / edited by Dave J. Müller, Derek B. Blackman, and Antony J. Chapman.</t>
  </si>
  <si>
    <t>Chichester [Sussex] ; New York : Wiley, c1984.</t>
  </si>
  <si>
    <t>836633470:eng</t>
  </si>
  <si>
    <t>10018916</t>
  </si>
  <si>
    <t>991001544879702656</t>
  </si>
  <si>
    <t>2269273340002656</t>
  </si>
  <si>
    <t>9780471903369</t>
  </si>
  <si>
    <t>30001000637290</t>
  </si>
  <si>
    <t>893358703</t>
  </si>
  <si>
    <t>W 740 R287 1975</t>
  </si>
  <si>
    <t>0                      W  0740000R  287         1975</t>
  </si>
  <si>
    <t>Readings in law and psychiatry / edited by Richard C. Allen, Elyce Zenoff Ferster, Jesse G. Rubin.</t>
  </si>
  <si>
    <t>Baltimore : Johns Hopkins University Press, 1975.</t>
  </si>
  <si>
    <t>Rev. and expanded ed.</t>
  </si>
  <si>
    <t>364531543:eng</t>
  </si>
  <si>
    <t>1229530</t>
  </si>
  <si>
    <t>991001544909702656</t>
  </si>
  <si>
    <t>2268286320002656</t>
  </si>
  <si>
    <t>9780801816925</t>
  </si>
  <si>
    <t>30001000637308</t>
  </si>
  <si>
    <t>893149324</t>
  </si>
  <si>
    <t>W 740 T328 1979</t>
  </si>
  <si>
    <t>0                      W  0740000T  328         1979</t>
  </si>
  <si>
    <t>Terrorism : interdisciplinary perspectives / edited by Burr Eichelman, David Soskis, William Reid.</t>
  </si>
  <si>
    <t>Washington, DC : American Psychiatric Association, c1983.</t>
  </si>
  <si>
    <t>1808361468:eng</t>
  </si>
  <si>
    <t>9112151</t>
  </si>
  <si>
    <t>991001545029702656</t>
  </si>
  <si>
    <t>2268471210002656</t>
  </si>
  <si>
    <t>9780890421093</t>
  </si>
  <si>
    <t>30001000637340</t>
  </si>
  <si>
    <t>893149325</t>
  </si>
  <si>
    <t>W 740 W777i 1983</t>
  </si>
  <si>
    <t>0                      W  0740000W  777i        1983</t>
  </si>
  <si>
    <t>The insanity plea / William J. Winslade and Judith Wilson Ross.</t>
  </si>
  <si>
    <t>New York : Scribner, c1983.</t>
  </si>
  <si>
    <t>2006-06-23</t>
  </si>
  <si>
    <t>43520437:eng</t>
  </si>
  <si>
    <t>9131740</t>
  </si>
  <si>
    <t>991001545069702656</t>
  </si>
  <si>
    <t>2269724710002656</t>
  </si>
  <si>
    <t>9780684178974</t>
  </si>
  <si>
    <t>30001000637365</t>
  </si>
  <si>
    <t>893741241</t>
  </si>
  <si>
    <t>W820 B993s 2004</t>
  </si>
  <si>
    <t>0                      W  0820000B  993s        2004</t>
  </si>
  <si>
    <t>Sudden death in infancy, childhood, and adolescence / Roger W. Byard.</t>
  </si>
  <si>
    <t>Byard, Roger W.</t>
  </si>
  <si>
    <t>Cambridge ; New York : Cambridge University Press, 2004.</t>
  </si>
  <si>
    <t>2009-04-06</t>
  </si>
  <si>
    <t>710873:eng</t>
  </si>
  <si>
    <t>52381060</t>
  </si>
  <si>
    <t>991000380679702656</t>
  </si>
  <si>
    <t>2257033090002656</t>
  </si>
  <si>
    <t>9780521825825</t>
  </si>
  <si>
    <t>30001004921971</t>
  </si>
  <si>
    <t>893822106</t>
  </si>
  <si>
    <t>W 820 M827d 1982</t>
  </si>
  <si>
    <t>0                      W  0820000M  827d        1982</t>
  </si>
  <si>
    <t>Determination of death : theological, medical, ethical, and legal issues / Albert S. Moraczweski &amp; J. Stuart Showalter.</t>
  </si>
  <si>
    <t>Moraczewski, Albert S., 1920-2008.</t>
  </si>
  <si>
    <t>St. Louis, MO : Catholic Health Association of the United States, c1982.</t>
  </si>
  <si>
    <t>982097966:eng</t>
  </si>
  <si>
    <t>8195707</t>
  </si>
  <si>
    <t>991001545119702656</t>
  </si>
  <si>
    <t>2268283650002656</t>
  </si>
  <si>
    <t>9780871250728</t>
  </si>
  <si>
    <t>30001000637423</t>
  </si>
  <si>
    <t>893465644</t>
  </si>
  <si>
    <t>W 820 P371 1987</t>
  </si>
  <si>
    <t>0                      W  0820000P  371         1987</t>
  </si>
  <si>
    <t>Pediatric brain death and organ/tissue retrieval : medical, ethical, and legal aspects / edited by Howard H. Kaufman.</t>
  </si>
  <si>
    <t>New York : Plenum Medical Book Co., c1989.</t>
  </si>
  <si>
    <t>18971842:eng</t>
  </si>
  <si>
    <t>18834557</t>
  </si>
  <si>
    <t>991001316669702656</t>
  </si>
  <si>
    <t>2265050960002656</t>
  </si>
  <si>
    <t>9780306429736</t>
  </si>
  <si>
    <t>30001001753096</t>
  </si>
  <si>
    <t>893358455</t>
  </si>
  <si>
    <t>W 820 W177c 1985</t>
  </si>
  <si>
    <t>0                      W  0820000W  177c        1985</t>
  </si>
  <si>
    <t>Cerebral death / A. Earl Walker.</t>
  </si>
  <si>
    <t>Walker, A. Earl (Arthur Earl), 1907-1995.</t>
  </si>
  <si>
    <t>4288501:eng</t>
  </si>
  <si>
    <t>11754531</t>
  </si>
  <si>
    <t>991001545169702656</t>
  </si>
  <si>
    <t>2256622280002656</t>
  </si>
  <si>
    <t>9780806721439</t>
  </si>
  <si>
    <t>30001000637449</t>
  </si>
  <si>
    <t>893638427</t>
  </si>
  <si>
    <t>W 825 A509p 1970</t>
  </si>
  <si>
    <t>0                      W  0825000A  509p        1970</t>
  </si>
  <si>
    <t>Postmortem procedures /</t>
  </si>
  <si>
    <t>American Hospital Association.</t>
  </si>
  <si>
    <t>Chicago : American Hospital Association, c1970.</t>
  </si>
  <si>
    <t>1999-05-05</t>
  </si>
  <si>
    <t>3471439:eng</t>
  </si>
  <si>
    <t>2101735</t>
  </si>
  <si>
    <t>991001545219702656</t>
  </si>
  <si>
    <t>2263290360002656</t>
  </si>
  <si>
    <t>30001000637480</t>
  </si>
  <si>
    <t>893149326</t>
  </si>
  <si>
    <t>W 860 V7943 2001</t>
  </si>
  <si>
    <t>0                      W  0860000V  7943        2001</t>
  </si>
  <si>
    <t>Violence in health care : understanding, preventing, and surviving violence : a practical guide for health professionals / edited by Joanthan Shepherd.</t>
  </si>
  <si>
    <t>837070527:eng</t>
  </si>
  <si>
    <t>46640695</t>
  </si>
  <si>
    <t>991000358479702656</t>
  </si>
  <si>
    <t>2266562400002656</t>
  </si>
  <si>
    <t>9780192631435</t>
  </si>
  <si>
    <t>30001004218022</t>
  </si>
  <si>
    <t>893456635</t>
  </si>
  <si>
    <t>W 860 V795 1995</t>
  </si>
  <si>
    <t>0                      W  0860000V  795         1995</t>
  </si>
  <si>
    <t>Violence : a plague in our land / American Academy of Nursing.</t>
  </si>
  <si>
    <t>Washington, D.C. : American Academy of Nursing, 1995.</t>
  </si>
  <si>
    <t>ANA pub ; no. G-187</t>
  </si>
  <si>
    <t>2002-09-06</t>
  </si>
  <si>
    <t>475040837:eng</t>
  </si>
  <si>
    <t>33396018</t>
  </si>
  <si>
    <t>991000258179702656</t>
  </si>
  <si>
    <t>2255514980002656</t>
  </si>
  <si>
    <t>9781558100848</t>
  </si>
  <si>
    <t>30001003325091</t>
  </si>
  <si>
    <t>893542071</t>
  </si>
  <si>
    <t>W 867 Q2</t>
  </si>
  <si>
    <t>0                      W  0867000Q  2</t>
  </si>
  <si>
    <t>Justifiable abortion : medical and legal foundations.</t>
  </si>
  <si>
    <t>V. 49 NO. 2</t>
  </si>
  <si>
    <t>Quay, Eugene.</t>
  </si>
  <si>
    <t>Washington : Family Life Bureau, National Catholic Welfare Conference, 1961.</t>
  </si>
  <si>
    <t>345580894:eng</t>
  </si>
  <si>
    <t>2549303</t>
  </si>
  <si>
    <t>991001545299702656</t>
  </si>
  <si>
    <t>2266695150002656</t>
  </si>
  <si>
    <t>30001000637548</t>
  </si>
  <si>
    <t>893821332</t>
  </si>
  <si>
    <t>W 900 P637n 2007</t>
  </si>
  <si>
    <t>0                      W  0900000P  637n        2007</t>
  </si>
  <si>
    <t>The new health insurance solution : how to get cheaper, better coverage without a traditional employer plan / Paul Zane Pilzer.</t>
  </si>
  <si>
    <t>Pilzer, Paul Zane.</t>
  </si>
  <si>
    <t>Hoboken, N.J. : John Wiley &amp; Sons, 2007.</t>
  </si>
  <si>
    <t>2008-04-20</t>
  </si>
  <si>
    <t>2008-01-14</t>
  </si>
  <si>
    <t>802034286:eng</t>
  </si>
  <si>
    <t>93884356</t>
  </si>
  <si>
    <t>991000670559702656</t>
  </si>
  <si>
    <t>2261456980002656</t>
  </si>
  <si>
    <t>9780470040218</t>
  </si>
  <si>
    <t>30001005269982</t>
  </si>
  <si>
    <t>893637216</t>
  </si>
  <si>
    <t>W925 D611 2003</t>
  </si>
  <si>
    <t>0                      W  0925000D  611         2003</t>
  </si>
  <si>
    <t>Disability evaluation / [edited by] Stephen L. Demeter, Gunnar B.J. Andersson.</t>
  </si>
  <si>
    <t>St. Louis, Mo. : Mosby, c2003.</t>
  </si>
  <si>
    <t>2005-02-04</t>
  </si>
  <si>
    <t>2005-02-18</t>
  </si>
  <si>
    <t>364560763:eng</t>
  </si>
  <si>
    <t>50803931</t>
  </si>
  <si>
    <t>991000426629702656</t>
  </si>
  <si>
    <t>2268979080002656</t>
  </si>
  <si>
    <t>9780323009591</t>
  </si>
  <si>
    <t>30001004927135</t>
  </si>
  <si>
    <t>893553491</t>
  </si>
  <si>
    <t>30001004927838</t>
  </si>
  <si>
    <t>893537164</t>
  </si>
  <si>
    <t>W925 E56d 2006</t>
  </si>
  <si>
    <t>0                      W  0925000E  56d         2006</t>
  </si>
  <si>
    <t>Encyclopedia of disability / general editor, Gary L. Albrecht.</t>
  </si>
  <si>
    <t>V.3</t>
  </si>
  <si>
    <t>Thousand Oaks, Calif. : Sage Publications, c2006.</t>
  </si>
  <si>
    <t>2017-10-27</t>
  </si>
  <si>
    <t>2006-09-03</t>
  </si>
  <si>
    <t>1059875317:eng</t>
  </si>
  <si>
    <t>60791594</t>
  </si>
  <si>
    <t>991000478049702656</t>
  </si>
  <si>
    <t>2260963710002656</t>
  </si>
  <si>
    <t>9780761925651</t>
  </si>
  <si>
    <t>30001004914828</t>
  </si>
  <si>
    <t>893644459</t>
  </si>
  <si>
    <t>30001004914802</t>
  </si>
  <si>
    <t>893644458</t>
  </si>
  <si>
    <t>30001004914836</t>
  </si>
  <si>
    <t>893629292</t>
  </si>
  <si>
    <t>V.2</t>
  </si>
  <si>
    <t>30001004914844</t>
  </si>
  <si>
    <t>893629291</t>
  </si>
  <si>
    <t>V.4</t>
  </si>
  <si>
    <t>30001004914810</t>
  </si>
  <si>
    <t>893644457</t>
  </si>
  <si>
    <t>W925 I61d 2003</t>
  </si>
  <si>
    <t>0                      W  0925000I  61d         2003</t>
  </si>
  <si>
    <t>International perspectives on disability services : the same but different / Francis K.O. Yuen, editor.</t>
  </si>
  <si>
    <t>Binghamton, NY : Haworth Social Work Practice Press, c2003.</t>
  </si>
  <si>
    <t>2006-05-02</t>
  </si>
  <si>
    <t>984211622:eng</t>
  </si>
  <si>
    <t>53398008</t>
  </si>
  <si>
    <t>991000478379702656</t>
  </si>
  <si>
    <t>2271983580002656</t>
  </si>
  <si>
    <t>9780789020925</t>
  </si>
  <si>
    <t>30001005126604</t>
  </si>
  <si>
    <t>893466283</t>
  </si>
  <si>
    <t>RESERVE W 50 B8643h 1992</t>
  </si>
  <si>
    <t>0RESERVE               W  0050000B  8643h       1992</t>
  </si>
  <si>
    <t>The healer's power / Howard Brody.</t>
  </si>
  <si>
    <t>Brody, Howard.</t>
  </si>
  <si>
    <t>New Haven : Yale University Press, c1992.</t>
  </si>
  <si>
    <t>2001-09-04</t>
  </si>
  <si>
    <t>1993-11-09</t>
  </si>
  <si>
    <t>14411407:eng</t>
  </si>
  <si>
    <t>24065969</t>
  </si>
  <si>
    <t>991000560769702656</t>
  </si>
  <si>
    <t>2264076540002656</t>
  </si>
  <si>
    <t>9780300051742</t>
  </si>
  <si>
    <t>30001002672584</t>
  </si>
  <si>
    <t>893130920</t>
  </si>
  <si>
    <t>ZW 50 B615 1977</t>
  </si>
  <si>
    <t>0Z                     W  0050000B  615         1977</t>
  </si>
  <si>
    <t>A Bioethical perspective on death and dying : summaries of the literature.</t>
  </si>
  <si>
    <t>-- Rockville, Md. : Information Planning Associates, 1977.</t>
  </si>
  <si>
    <t>1990-03-10</t>
  </si>
  <si>
    <t>1989-07-19</t>
  </si>
  <si>
    <t>1781130121:eng</t>
  </si>
  <si>
    <t>3369658</t>
  </si>
  <si>
    <t>991001083019702656</t>
  </si>
  <si>
    <t>2260336790002656</t>
  </si>
  <si>
    <t>30001000257859</t>
  </si>
  <si>
    <t>893134230</t>
  </si>
  <si>
    <t>ZW 84 AA1 H16a 1997</t>
  </si>
  <si>
    <t>0Z                     W  0084000AA 1                  H  16a         1997</t>
  </si>
  <si>
    <t>American health care in transition : a guide to the literature / compiled by Barbara A. Haley and Brian Deevey.</t>
  </si>
  <si>
    <t>Haley, Barbara A.</t>
  </si>
  <si>
    <t>Westport, CT : Greenwood Press, 1997.</t>
  </si>
  <si>
    <t>Bibliographies and indexes in medical studies, 0896-6591 ; no. 14</t>
  </si>
  <si>
    <t>435447684:eng</t>
  </si>
  <si>
    <t>36252897</t>
  </si>
  <si>
    <t>991000358869702656</t>
  </si>
  <si>
    <t>2261764960002656</t>
  </si>
  <si>
    <t>9780313273230</t>
  </si>
  <si>
    <t>30001004218196</t>
  </si>
  <si>
    <t>893264176</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</si>
  <si>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</si>
  <si>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</si>
  <si>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</si>
  <si>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</si>
  <si>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</si>
  <si>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</si>
  <si>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</si>
  <si>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</si>
  <si>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</si>
  <si>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</si>
  <si>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</si>
  <si>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</si>
  <si>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</si>
  <si>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</si>
  <si>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</si>
  <si>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</si>
  <si>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</si>
  <si>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</si>
  <si>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</si>
  <si>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</si>
  <si>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</si>
  <si>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</si>
  <si>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</si>
  <si>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</si>
  <si>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</si>
  <si>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</si>
  <si>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</si>
  <si>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Nebraska Holdings - Same Edition</t>
  </si>
  <si>
    <t>All Comparator Library Holdings - Same Edition</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</si>
  <si>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</si>
  <si>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</si>
  <si>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</si>
  <si>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</si>
  <si>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</si>
  <si>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</si>
  <si>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</si>
  <si>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</si>
  <si>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</si>
  <si>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</si>
  <si>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</si>
  <si>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</si>
  <si>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</si>
  <si>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</si>
  <si>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</si>
  <si>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</si>
  <si>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</si>
  <si>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</si>
  <si>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</si>
  <si>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</si>
  <si>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</si>
  <si>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</si>
  <si>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</si>
  <si>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</si>
  <si>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</si>
  <si>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US Holdings</t>
  </si>
  <si>
    <t>Nebraska Holdings</t>
  </si>
  <si>
    <t>All Comparator Library Holdings</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</si>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</sst>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pplyProtection="1">
      <alignment horizontal="center" vertical="center" wrapText="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E7123-BC10-46C8-861F-04862B513164}">
  <dimension ref="A1:BF1053"/>
  <sheetViews>
    <sheetView tabSelected="1" workbookViewId="0">
      <pane ySplit="1" topLeftCell="A2" activePane="bottomLeft" state="frozen"/>
      <selection pane="bottomLeft" activeCell="N6" sqref="N6"/>
    </sheetView>
  </sheetViews>
  <sheetFormatPr defaultRowHeight="42.75" customHeight="1" x14ac:dyDescent="0.25"/>
  <cols>
    <col min="1" max="1" width="14.7109375" customWidth="1"/>
    <col min="2" max="3" width="0" hidden="1" customWidth="1"/>
    <col min="4" max="4" width="19.42578125" customWidth="1"/>
    <col min="5" max="5" width="0" hidden="1" customWidth="1"/>
    <col min="6" max="6" width="42.140625" customWidth="1"/>
    <col min="8" max="12" width="0" hidden="1" customWidth="1"/>
    <col min="14" max="14" width="21.5703125" customWidth="1"/>
    <col min="16" max="21" width="0" hidden="1" customWidth="1"/>
    <col min="23" max="28" width="0" hidden="1" customWidth="1"/>
    <col min="30" max="30" width="0" hidden="1" customWidth="1"/>
    <col min="32" max="32" width="0" hidden="1" customWidth="1"/>
    <col min="34" max="43" width="0" hidden="1" customWidth="1"/>
    <col min="44" max="46" width="11.140625" customWidth="1"/>
    <col min="49" max="58" width="0" hidden="1" customWidth="1"/>
  </cols>
  <sheetData>
    <row r="1" spans="1:58" ht="42.75" customHeight="1" x14ac:dyDescent="0.25">
      <c r="A1" s="7" t="s">
        <v>13210</v>
      </c>
      <c r="B1" s="6" t="s">
        <v>13153</v>
      </c>
      <c r="C1" s="6" t="s">
        <v>13154</v>
      </c>
      <c r="D1" s="6" t="s">
        <v>13155</v>
      </c>
      <c r="E1" s="6" t="s">
        <v>13156</v>
      </c>
      <c r="F1" s="6" t="s">
        <v>13157</v>
      </c>
      <c r="G1" s="6" t="s">
        <v>13158</v>
      </c>
      <c r="H1" s="6" t="s">
        <v>13159</v>
      </c>
      <c r="I1" s="6" t="s">
        <v>13160</v>
      </c>
      <c r="J1" s="6" t="s">
        <v>13161</v>
      </c>
      <c r="K1" s="6" t="s">
        <v>13162</v>
      </c>
      <c r="L1" s="6" t="s">
        <v>13163</v>
      </c>
      <c r="M1" s="6" t="s">
        <v>13164</v>
      </c>
      <c r="N1" s="6" t="s">
        <v>13165</v>
      </c>
      <c r="O1" s="6" t="s">
        <v>13166</v>
      </c>
      <c r="P1" s="6" t="s">
        <v>13167</v>
      </c>
      <c r="Q1" s="6" t="s">
        <v>13168</v>
      </c>
      <c r="R1" s="6" t="s">
        <v>13169</v>
      </c>
      <c r="S1" s="6" t="s">
        <v>13170</v>
      </c>
      <c r="T1" s="6" t="s">
        <v>13171</v>
      </c>
      <c r="U1" s="6" t="s">
        <v>13172</v>
      </c>
      <c r="V1" s="6" t="s">
        <v>13173</v>
      </c>
      <c r="W1" s="6" t="s">
        <v>13174</v>
      </c>
      <c r="X1" s="6" t="s">
        <v>13175</v>
      </c>
      <c r="Y1" s="6" t="s">
        <v>13176</v>
      </c>
      <c r="Z1" s="6" t="s">
        <v>13177</v>
      </c>
      <c r="AA1" s="6" t="s">
        <v>13178</v>
      </c>
      <c r="AB1" s="6" t="s">
        <v>13179</v>
      </c>
      <c r="AC1" s="6" t="s">
        <v>13207</v>
      </c>
      <c r="AD1" s="6" t="s">
        <v>13180</v>
      </c>
      <c r="AE1" s="6" t="s">
        <v>13208</v>
      </c>
      <c r="AF1" s="6" t="s">
        <v>13181</v>
      </c>
      <c r="AG1" s="6" t="s">
        <v>13209</v>
      </c>
      <c r="AH1" s="6" t="s">
        <v>13182</v>
      </c>
      <c r="AI1" s="6" t="s">
        <v>13183</v>
      </c>
      <c r="AJ1" s="6" t="s">
        <v>13184</v>
      </c>
      <c r="AK1" s="6" t="s">
        <v>13185</v>
      </c>
      <c r="AL1" s="6" t="s">
        <v>13186</v>
      </c>
      <c r="AM1" s="6" t="s">
        <v>13187</v>
      </c>
      <c r="AN1" s="6" t="s">
        <v>13188</v>
      </c>
      <c r="AO1" s="6" t="s">
        <v>13189</v>
      </c>
      <c r="AP1" s="6" t="s">
        <v>13190</v>
      </c>
      <c r="AQ1" s="6" t="s">
        <v>13191</v>
      </c>
      <c r="AR1" s="6" t="s">
        <v>13192</v>
      </c>
      <c r="AS1" s="6" t="s">
        <v>13193</v>
      </c>
      <c r="AT1" s="6" t="s">
        <v>13194</v>
      </c>
      <c r="AU1" s="6" t="s">
        <v>13195</v>
      </c>
      <c r="AV1" s="6" t="s">
        <v>13196</v>
      </c>
      <c r="AW1" s="6" t="s">
        <v>13197</v>
      </c>
      <c r="AX1" s="6" t="s">
        <v>13198</v>
      </c>
      <c r="AY1" s="6" t="s">
        <v>13199</v>
      </c>
      <c r="AZ1" s="6" t="s">
        <v>13200</v>
      </c>
      <c r="BA1" s="6" t="s">
        <v>13201</v>
      </c>
      <c r="BB1" s="6" t="s">
        <v>13202</v>
      </c>
      <c r="BC1" s="6" t="s">
        <v>13203</v>
      </c>
      <c r="BD1" s="6" t="s">
        <v>13204</v>
      </c>
      <c r="BE1" s="6" t="s">
        <v>13205</v>
      </c>
      <c r="BF1" s="6" t="s">
        <v>13206</v>
      </c>
    </row>
    <row r="2" spans="1:58" ht="42.75" customHeight="1" x14ac:dyDescent="0.25">
      <c r="A2" s="8" t="s">
        <v>8</v>
      </c>
      <c r="B2" s="1" t="s">
        <v>0</v>
      </c>
      <c r="C2" s="1" t="s">
        <v>1</v>
      </c>
      <c r="D2" s="1" t="s">
        <v>2</v>
      </c>
      <c r="E2" s="1" t="s">
        <v>3</v>
      </c>
      <c r="F2" s="1" t="s">
        <v>4</v>
      </c>
      <c r="G2" s="2" t="s">
        <v>5</v>
      </c>
      <c r="H2" s="2" t="s">
        <v>6</v>
      </c>
      <c r="I2" s="2" t="s">
        <v>7</v>
      </c>
      <c r="J2" s="2" t="s">
        <v>8</v>
      </c>
      <c r="K2" s="2" t="s">
        <v>8</v>
      </c>
      <c r="L2" s="2" t="s">
        <v>9</v>
      </c>
      <c r="N2" s="1" t="s">
        <v>10</v>
      </c>
      <c r="O2" s="2" t="s">
        <v>11</v>
      </c>
      <c r="Q2" s="2" t="s">
        <v>12</v>
      </c>
      <c r="R2" s="2" t="s">
        <v>13</v>
      </c>
      <c r="T2" s="2" t="s">
        <v>14</v>
      </c>
      <c r="U2" s="3">
        <v>2</v>
      </c>
      <c r="V2" s="3">
        <v>2</v>
      </c>
      <c r="W2" s="4" t="s">
        <v>15</v>
      </c>
      <c r="X2" s="4" t="s">
        <v>15</v>
      </c>
      <c r="Y2" s="4" t="s">
        <v>16</v>
      </c>
      <c r="Z2" s="4" t="s">
        <v>16</v>
      </c>
      <c r="AA2" s="3">
        <v>262</v>
      </c>
      <c r="AB2" s="3">
        <v>188</v>
      </c>
      <c r="AC2" s="3">
        <v>189</v>
      </c>
      <c r="AD2" s="3">
        <v>2</v>
      </c>
      <c r="AE2" s="3">
        <v>2</v>
      </c>
      <c r="AF2" s="3">
        <v>5</v>
      </c>
      <c r="AG2" s="3">
        <v>5</v>
      </c>
      <c r="AH2" s="3">
        <v>0</v>
      </c>
      <c r="AI2" s="3">
        <v>0</v>
      </c>
      <c r="AJ2" s="3">
        <v>2</v>
      </c>
      <c r="AK2" s="3">
        <v>2</v>
      </c>
      <c r="AL2" s="3">
        <v>2</v>
      </c>
      <c r="AM2" s="3">
        <v>2</v>
      </c>
      <c r="AN2" s="3">
        <v>1</v>
      </c>
      <c r="AO2" s="3">
        <v>1</v>
      </c>
      <c r="AP2" s="3">
        <v>0</v>
      </c>
      <c r="AQ2" s="3">
        <v>0</v>
      </c>
      <c r="AR2" s="2" t="s">
        <v>8</v>
      </c>
      <c r="AS2" s="2" t="s">
        <v>6</v>
      </c>
      <c r="AT2" s="5" t="str">
        <f>HYPERLINK("http://catalog.hathitrust.org/Record/000681163","HathiTrust Record")</f>
        <v>HathiTrust Record</v>
      </c>
      <c r="AU2" s="5" t="str">
        <f>HYPERLINK("https://creighton-primo.hosted.exlibrisgroup.com/primo-explore/search?tab=default_tab&amp;search_scope=EVERYTHING&amp;vid=01CRU&amp;lang=en_US&amp;offset=0&amp;query=any,contains,991000957339702656","Catalog Record")</f>
        <v>Catalog Record</v>
      </c>
      <c r="AV2" s="5" t="str">
        <f>HYPERLINK("http://www.worldcat.org/oclc/2093202","WorldCat Record")</f>
        <v>WorldCat Record</v>
      </c>
      <c r="AW2" s="2" t="s">
        <v>17</v>
      </c>
      <c r="AX2" s="2" t="s">
        <v>18</v>
      </c>
      <c r="AY2" s="2" t="s">
        <v>19</v>
      </c>
      <c r="AZ2" s="2" t="s">
        <v>19</v>
      </c>
      <c r="BA2" s="2" t="s">
        <v>20</v>
      </c>
      <c r="BB2" s="2" t="s">
        <v>21</v>
      </c>
      <c r="BD2" s="2" t="s">
        <v>22</v>
      </c>
      <c r="BE2" s="2" t="s">
        <v>23</v>
      </c>
      <c r="BF2" s="2" t="s">
        <v>24</v>
      </c>
    </row>
    <row r="3" spans="1:58" ht="42.75" customHeight="1" x14ac:dyDescent="0.25">
      <c r="A3" s="8" t="s">
        <v>8</v>
      </c>
      <c r="B3" s="1" t="s">
        <v>0</v>
      </c>
      <c r="C3" s="1" t="s">
        <v>1</v>
      </c>
      <c r="D3" s="1" t="s">
        <v>2</v>
      </c>
      <c r="E3" s="1" t="s">
        <v>3</v>
      </c>
      <c r="F3" s="1" t="s">
        <v>4</v>
      </c>
      <c r="G3" s="2" t="s">
        <v>25</v>
      </c>
      <c r="H3" s="2" t="s">
        <v>6</v>
      </c>
      <c r="I3" s="2" t="s">
        <v>7</v>
      </c>
      <c r="J3" s="2" t="s">
        <v>8</v>
      </c>
      <c r="K3" s="2" t="s">
        <v>8</v>
      </c>
      <c r="L3" s="2" t="s">
        <v>9</v>
      </c>
      <c r="N3" s="1" t="s">
        <v>10</v>
      </c>
      <c r="O3" s="2" t="s">
        <v>11</v>
      </c>
      <c r="Q3" s="2" t="s">
        <v>12</v>
      </c>
      <c r="R3" s="2" t="s">
        <v>13</v>
      </c>
      <c r="T3" s="2" t="s">
        <v>14</v>
      </c>
      <c r="U3" s="3">
        <v>0</v>
      </c>
      <c r="V3" s="3">
        <v>2</v>
      </c>
      <c r="X3" s="4" t="s">
        <v>15</v>
      </c>
      <c r="Y3" s="4" t="s">
        <v>16</v>
      </c>
      <c r="Z3" s="4" t="s">
        <v>16</v>
      </c>
      <c r="AA3" s="3">
        <v>262</v>
      </c>
      <c r="AB3" s="3">
        <v>188</v>
      </c>
      <c r="AC3" s="3">
        <v>189</v>
      </c>
      <c r="AD3" s="3">
        <v>2</v>
      </c>
      <c r="AE3" s="3">
        <v>2</v>
      </c>
      <c r="AF3" s="3">
        <v>5</v>
      </c>
      <c r="AG3" s="3">
        <v>5</v>
      </c>
      <c r="AH3" s="3">
        <v>0</v>
      </c>
      <c r="AI3" s="3">
        <v>0</v>
      </c>
      <c r="AJ3" s="3">
        <v>2</v>
      </c>
      <c r="AK3" s="3">
        <v>2</v>
      </c>
      <c r="AL3" s="3">
        <v>2</v>
      </c>
      <c r="AM3" s="3">
        <v>2</v>
      </c>
      <c r="AN3" s="3">
        <v>1</v>
      </c>
      <c r="AO3" s="3">
        <v>1</v>
      </c>
      <c r="AP3" s="3">
        <v>0</v>
      </c>
      <c r="AQ3" s="3">
        <v>0</v>
      </c>
      <c r="AR3" s="2" t="s">
        <v>8</v>
      </c>
      <c r="AS3" s="2" t="s">
        <v>6</v>
      </c>
      <c r="AT3" s="5" t="str">
        <f>HYPERLINK("http://catalog.hathitrust.org/Record/000681163","HathiTrust Record")</f>
        <v>HathiTrust Record</v>
      </c>
      <c r="AU3" s="5" t="str">
        <f>HYPERLINK("https://creighton-primo.hosted.exlibrisgroup.com/primo-explore/search?tab=default_tab&amp;search_scope=EVERYTHING&amp;vid=01CRU&amp;lang=en_US&amp;offset=0&amp;query=any,contains,991000957339702656","Catalog Record")</f>
        <v>Catalog Record</v>
      </c>
      <c r="AV3" s="5" t="str">
        <f>HYPERLINK("http://www.worldcat.org/oclc/2093202","WorldCat Record")</f>
        <v>WorldCat Record</v>
      </c>
      <c r="AW3" s="2" t="s">
        <v>17</v>
      </c>
      <c r="AX3" s="2" t="s">
        <v>18</v>
      </c>
      <c r="AY3" s="2" t="s">
        <v>19</v>
      </c>
      <c r="AZ3" s="2" t="s">
        <v>19</v>
      </c>
      <c r="BA3" s="2" t="s">
        <v>20</v>
      </c>
      <c r="BB3" s="2" t="s">
        <v>21</v>
      </c>
      <c r="BD3" s="2" t="s">
        <v>22</v>
      </c>
      <c r="BE3" s="2" t="s">
        <v>26</v>
      </c>
      <c r="BF3" s="2" t="s">
        <v>27</v>
      </c>
    </row>
    <row r="4" spans="1:58" ht="42.75" customHeight="1" x14ac:dyDescent="0.25">
      <c r="A4" s="8" t="s">
        <v>8</v>
      </c>
      <c r="B4" s="1" t="s">
        <v>0</v>
      </c>
      <c r="C4" s="1" t="s">
        <v>1</v>
      </c>
      <c r="D4" s="1" t="s">
        <v>28</v>
      </c>
      <c r="E4" s="1" t="s">
        <v>29</v>
      </c>
      <c r="F4" s="1" t="s">
        <v>30</v>
      </c>
      <c r="G4" s="2" t="s">
        <v>31</v>
      </c>
      <c r="H4" s="2" t="s">
        <v>8</v>
      </c>
      <c r="I4" s="2" t="s">
        <v>7</v>
      </c>
      <c r="J4" s="2" t="s">
        <v>8</v>
      </c>
      <c r="K4" s="2" t="s">
        <v>8</v>
      </c>
      <c r="L4" s="2" t="s">
        <v>9</v>
      </c>
      <c r="N4" s="1" t="s">
        <v>32</v>
      </c>
      <c r="O4" s="2" t="s">
        <v>33</v>
      </c>
      <c r="Q4" s="2" t="s">
        <v>12</v>
      </c>
      <c r="R4" s="2" t="s">
        <v>34</v>
      </c>
      <c r="S4" s="1" t="s">
        <v>35</v>
      </c>
      <c r="T4" s="2" t="s">
        <v>14</v>
      </c>
      <c r="U4" s="3">
        <v>1</v>
      </c>
      <c r="V4" s="3">
        <v>1</v>
      </c>
      <c r="W4" s="4" t="s">
        <v>36</v>
      </c>
      <c r="X4" s="4" t="s">
        <v>36</v>
      </c>
      <c r="Y4" s="4" t="s">
        <v>37</v>
      </c>
      <c r="Z4" s="4" t="s">
        <v>37</v>
      </c>
      <c r="AA4" s="3">
        <v>136</v>
      </c>
      <c r="AB4" s="3">
        <v>90</v>
      </c>
      <c r="AC4" s="3">
        <v>90</v>
      </c>
      <c r="AD4" s="3">
        <v>2</v>
      </c>
      <c r="AE4" s="3">
        <v>2</v>
      </c>
      <c r="AF4" s="3">
        <v>4</v>
      </c>
      <c r="AG4" s="3">
        <v>4</v>
      </c>
      <c r="AH4" s="3">
        <v>0</v>
      </c>
      <c r="AI4" s="3">
        <v>0</v>
      </c>
      <c r="AJ4" s="3">
        <v>2</v>
      </c>
      <c r="AK4" s="3">
        <v>2</v>
      </c>
      <c r="AL4" s="3">
        <v>2</v>
      </c>
      <c r="AM4" s="3">
        <v>2</v>
      </c>
      <c r="AN4" s="3">
        <v>1</v>
      </c>
      <c r="AO4" s="3">
        <v>1</v>
      </c>
      <c r="AP4" s="3">
        <v>0</v>
      </c>
      <c r="AQ4" s="3">
        <v>0</v>
      </c>
      <c r="AR4" s="2" t="s">
        <v>8</v>
      </c>
      <c r="AS4" s="2" t="s">
        <v>8</v>
      </c>
      <c r="AU4" s="5" t="str">
        <f>HYPERLINK("https://creighton-primo.hosted.exlibrisgroup.com/primo-explore/search?tab=default_tab&amp;search_scope=EVERYTHING&amp;vid=01CRU&amp;lang=en_US&amp;offset=0&amp;query=any,contains,991000957239702656","Catalog Record")</f>
        <v>Catalog Record</v>
      </c>
      <c r="AV4" s="5" t="str">
        <f>HYPERLINK("http://www.worldcat.org/oclc/8764920","WorldCat Record")</f>
        <v>WorldCat Record</v>
      </c>
      <c r="AW4" s="2" t="s">
        <v>38</v>
      </c>
      <c r="AX4" s="2" t="s">
        <v>39</v>
      </c>
      <c r="AY4" s="2" t="s">
        <v>40</v>
      </c>
      <c r="AZ4" s="2" t="s">
        <v>40</v>
      </c>
      <c r="BA4" s="2" t="s">
        <v>41</v>
      </c>
      <c r="BB4" s="2" t="s">
        <v>21</v>
      </c>
      <c r="BD4" s="2" t="s">
        <v>42</v>
      </c>
      <c r="BE4" s="2" t="s">
        <v>43</v>
      </c>
      <c r="BF4" s="2" t="s">
        <v>44</v>
      </c>
    </row>
    <row r="5" spans="1:58" ht="42.75" customHeight="1" x14ac:dyDescent="0.25">
      <c r="A5" s="8" t="s">
        <v>8</v>
      </c>
      <c r="B5" s="1" t="s">
        <v>0</v>
      </c>
      <c r="C5" s="1" t="s">
        <v>1</v>
      </c>
      <c r="D5" s="1" t="s">
        <v>45</v>
      </c>
      <c r="E5" s="1" t="s">
        <v>46</v>
      </c>
      <c r="F5" s="1" t="s">
        <v>47</v>
      </c>
      <c r="G5" s="2" t="s">
        <v>48</v>
      </c>
      <c r="H5" s="2" t="s">
        <v>8</v>
      </c>
      <c r="I5" s="2" t="s">
        <v>7</v>
      </c>
      <c r="J5" s="2" t="s">
        <v>8</v>
      </c>
      <c r="K5" s="2" t="s">
        <v>8</v>
      </c>
      <c r="L5" s="2" t="s">
        <v>9</v>
      </c>
      <c r="M5" s="1" t="s">
        <v>49</v>
      </c>
      <c r="N5" s="1" t="s">
        <v>50</v>
      </c>
      <c r="O5" s="2" t="s">
        <v>51</v>
      </c>
      <c r="Q5" s="2" t="s">
        <v>12</v>
      </c>
      <c r="R5" s="2" t="s">
        <v>13</v>
      </c>
      <c r="S5" s="1" t="s">
        <v>52</v>
      </c>
      <c r="T5" s="2" t="s">
        <v>14</v>
      </c>
      <c r="U5" s="3">
        <v>10</v>
      </c>
      <c r="V5" s="3">
        <v>10</v>
      </c>
      <c r="W5" s="4" t="s">
        <v>53</v>
      </c>
      <c r="X5" s="4" t="s">
        <v>53</v>
      </c>
      <c r="Y5" s="4" t="s">
        <v>54</v>
      </c>
      <c r="Z5" s="4" t="s">
        <v>54</v>
      </c>
      <c r="AA5" s="3">
        <v>95</v>
      </c>
      <c r="AB5" s="3">
        <v>76</v>
      </c>
      <c r="AC5" s="3">
        <v>76</v>
      </c>
      <c r="AD5" s="3">
        <v>1</v>
      </c>
      <c r="AE5" s="3">
        <v>1</v>
      </c>
      <c r="AF5" s="3">
        <v>1</v>
      </c>
      <c r="AG5" s="3">
        <v>1</v>
      </c>
      <c r="AH5" s="3">
        <v>0</v>
      </c>
      <c r="AI5" s="3">
        <v>0</v>
      </c>
      <c r="AJ5" s="3">
        <v>1</v>
      </c>
      <c r="AK5" s="3">
        <v>1</v>
      </c>
      <c r="AL5" s="3">
        <v>0</v>
      </c>
      <c r="AM5" s="3">
        <v>0</v>
      </c>
      <c r="AN5" s="3">
        <v>0</v>
      </c>
      <c r="AO5" s="3">
        <v>0</v>
      </c>
      <c r="AP5" s="3">
        <v>0</v>
      </c>
      <c r="AQ5" s="3">
        <v>0</v>
      </c>
      <c r="AR5" s="2" t="s">
        <v>8</v>
      </c>
      <c r="AS5" s="2" t="s">
        <v>8</v>
      </c>
      <c r="AU5" s="5" t="str">
        <f>HYPERLINK("https://creighton-primo.hosted.exlibrisgroup.com/primo-explore/search?tab=default_tab&amp;search_scope=EVERYTHING&amp;vid=01CRU&amp;lang=en_US&amp;offset=0&amp;query=any,contains,991001316369702656","Catalog Record")</f>
        <v>Catalog Record</v>
      </c>
      <c r="AV5" s="5" t="str">
        <f>HYPERLINK("http://www.worldcat.org/oclc/20897916","WorldCat Record")</f>
        <v>WorldCat Record</v>
      </c>
      <c r="AW5" s="2" t="s">
        <v>55</v>
      </c>
      <c r="AX5" s="2" t="s">
        <v>56</v>
      </c>
      <c r="AY5" s="2" t="s">
        <v>57</v>
      </c>
      <c r="AZ5" s="2" t="s">
        <v>57</v>
      </c>
      <c r="BA5" s="2" t="s">
        <v>58</v>
      </c>
      <c r="BB5" s="2" t="s">
        <v>21</v>
      </c>
      <c r="BD5" s="2" t="s">
        <v>59</v>
      </c>
      <c r="BE5" s="2" t="s">
        <v>60</v>
      </c>
      <c r="BF5" s="2" t="s">
        <v>61</v>
      </c>
    </row>
    <row r="6" spans="1:58" ht="42.75" customHeight="1" x14ac:dyDescent="0.25">
      <c r="A6" s="8" t="s">
        <v>8</v>
      </c>
      <c r="B6" s="1" t="s">
        <v>0</v>
      </c>
      <c r="C6" s="1" t="s">
        <v>1</v>
      </c>
      <c r="D6" s="1" t="s">
        <v>62</v>
      </c>
      <c r="E6" s="1" t="s">
        <v>63</v>
      </c>
      <c r="F6" s="1" t="s">
        <v>64</v>
      </c>
      <c r="G6" s="2" t="s">
        <v>65</v>
      </c>
      <c r="H6" s="2" t="s">
        <v>8</v>
      </c>
      <c r="I6" s="2" t="s">
        <v>7</v>
      </c>
      <c r="J6" s="2" t="s">
        <v>8</v>
      </c>
      <c r="K6" s="2" t="s">
        <v>8</v>
      </c>
      <c r="L6" s="2" t="s">
        <v>9</v>
      </c>
      <c r="N6" s="1" t="s">
        <v>66</v>
      </c>
      <c r="O6" s="2" t="s">
        <v>67</v>
      </c>
      <c r="Q6" s="2" t="s">
        <v>12</v>
      </c>
      <c r="R6" s="2" t="s">
        <v>34</v>
      </c>
      <c r="S6" s="1" t="s">
        <v>68</v>
      </c>
      <c r="T6" s="2" t="s">
        <v>14</v>
      </c>
      <c r="U6" s="3">
        <v>3</v>
      </c>
      <c r="V6" s="3">
        <v>3</v>
      </c>
      <c r="W6" s="4" t="s">
        <v>69</v>
      </c>
      <c r="X6" s="4" t="s">
        <v>69</v>
      </c>
      <c r="Y6" s="4" t="s">
        <v>37</v>
      </c>
      <c r="Z6" s="4" t="s">
        <v>37</v>
      </c>
      <c r="AA6" s="3">
        <v>125</v>
      </c>
      <c r="AB6" s="3">
        <v>91</v>
      </c>
      <c r="AC6" s="3">
        <v>91</v>
      </c>
      <c r="AD6" s="3">
        <v>1</v>
      </c>
      <c r="AE6" s="3">
        <v>1</v>
      </c>
      <c r="AF6" s="3">
        <v>1</v>
      </c>
      <c r="AG6" s="3">
        <v>1</v>
      </c>
      <c r="AH6" s="3">
        <v>0</v>
      </c>
      <c r="AI6" s="3">
        <v>0</v>
      </c>
      <c r="AJ6" s="3">
        <v>1</v>
      </c>
      <c r="AK6" s="3">
        <v>1</v>
      </c>
      <c r="AL6" s="3">
        <v>0</v>
      </c>
      <c r="AM6" s="3">
        <v>0</v>
      </c>
      <c r="AN6" s="3">
        <v>0</v>
      </c>
      <c r="AO6" s="3">
        <v>0</v>
      </c>
      <c r="AP6" s="3">
        <v>0</v>
      </c>
      <c r="AQ6" s="3">
        <v>0</v>
      </c>
      <c r="AR6" s="2" t="s">
        <v>8</v>
      </c>
      <c r="AS6" s="2" t="s">
        <v>8</v>
      </c>
      <c r="AU6" s="5" t="str">
        <f>HYPERLINK("https://creighton-primo.hosted.exlibrisgroup.com/primo-explore/search?tab=default_tab&amp;search_scope=EVERYTHING&amp;vid=01CRU&amp;lang=en_US&amp;offset=0&amp;query=any,contains,991000957109702656","Catalog Record")</f>
        <v>Catalog Record</v>
      </c>
      <c r="AV6" s="5" t="str">
        <f>HYPERLINK("http://www.worldcat.org/oclc/11622028","WorldCat Record")</f>
        <v>WorldCat Record</v>
      </c>
      <c r="AW6" s="2" t="s">
        <v>70</v>
      </c>
      <c r="AX6" s="2" t="s">
        <v>71</v>
      </c>
      <c r="AY6" s="2" t="s">
        <v>72</v>
      </c>
      <c r="AZ6" s="2" t="s">
        <v>72</v>
      </c>
      <c r="BA6" s="2" t="s">
        <v>73</v>
      </c>
      <c r="BB6" s="2" t="s">
        <v>21</v>
      </c>
      <c r="BD6" s="2" t="s">
        <v>74</v>
      </c>
      <c r="BE6" s="2" t="s">
        <v>75</v>
      </c>
      <c r="BF6" s="2" t="s">
        <v>76</v>
      </c>
    </row>
    <row r="7" spans="1:58" ht="42.75" customHeight="1" x14ac:dyDescent="0.25">
      <c r="A7" s="8" t="s">
        <v>8</v>
      </c>
      <c r="B7" s="1" t="s">
        <v>0</v>
      </c>
      <c r="C7" s="1" t="s">
        <v>1</v>
      </c>
      <c r="D7" s="1" t="s">
        <v>77</v>
      </c>
      <c r="E7" s="1" t="s">
        <v>78</v>
      </c>
      <c r="F7" s="1" t="s">
        <v>79</v>
      </c>
      <c r="G7" s="2" t="s">
        <v>80</v>
      </c>
      <c r="H7" s="2" t="s">
        <v>8</v>
      </c>
      <c r="I7" s="2" t="s">
        <v>7</v>
      </c>
      <c r="J7" s="2" t="s">
        <v>8</v>
      </c>
      <c r="K7" s="2" t="s">
        <v>8</v>
      </c>
      <c r="L7" s="2" t="s">
        <v>9</v>
      </c>
      <c r="N7" s="1" t="s">
        <v>81</v>
      </c>
      <c r="O7" s="2" t="s">
        <v>82</v>
      </c>
      <c r="P7" s="1" t="s">
        <v>83</v>
      </c>
      <c r="Q7" s="2" t="s">
        <v>12</v>
      </c>
      <c r="R7" s="2" t="s">
        <v>13</v>
      </c>
      <c r="S7" s="1" t="s">
        <v>84</v>
      </c>
      <c r="T7" s="2" t="s">
        <v>14</v>
      </c>
      <c r="U7" s="3">
        <v>2</v>
      </c>
      <c r="V7" s="3">
        <v>2</v>
      </c>
      <c r="W7" s="4" t="s">
        <v>85</v>
      </c>
      <c r="X7" s="4" t="s">
        <v>85</v>
      </c>
      <c r="Y7" s="4" t="s">
        <v>86</v>
      </c>
      <c r="Z7" s="4" t="s">
        <v>86</v>
      </c>
      <c r="AA7" s="3">
        <v>71</v>
      </c>
      <c r="AB7" s="3">
        <v>65</v>
      </c>
      <c r="AC7" s="3">
        <v>92</v>
      </c>
      <c r="AD7" s="3">
        <v>1</v>
      </c>
      <c r="AE7" s="3">
        <v>1</v>
      </c>
      <c r="AF7" s="3">
        <v>0</v>
      </c>
      <c r="AG7" s="3">
        <v>0</v>
      </c>
      <c r="AH7" s="3">
        <v>0</v>
      </c>
      <c r="AI7" s="3">
        <v>0</v>
      </c>
      <c r="AJ7" s="3">
        <v>0</v>
      </c>
      <c r="AK7" s="3">
        <v>0</v>
      </c>
      <c r="AL7" s="3">
        <v>0</v>
      </c>
      <c r="AM7" s="3">
        <v>0</v>
      </c>
      <c r="AN7" s="3">
        <v>0</v>
      </c>
      <c r="AO7" s="3">
        <v>0</v>
      </c>
      <c r="AP7" s="3">
        <v>0</v>
      </c>
      <c r="AQ7" s="3">
        <v>0</v>
      </c>
      <c r="AR7" s="2" t="s">
        <v>8</v>
      </c>
      <c r="AS7" s="2" t="s">
        <v>6</v>
      </c>
      <c r="AT7" s="5" t="str">
        <f>HYPERLINK("http://catalog.hathitrust.org/Record/009865139","HathiTrust Record")</f>
        <v>HathiTrust Record</v>
      </c>
      <c r="AU7" s="5" t="str">
        <f>HYPERLINK("https://creighton-primo.hosted.exlibrisgroup.com/primo-explore/search?tab=default_tab&amp;search_scope=EVERYTHING&amp;vid=01CRU&amp;lang=en_US&amp;offset=0&amp;query=any,contains,991000984099702656","Catalog Record")</f>
        <v>Catalog Record</v>
      </c>
      <c r="AV7" s="5" t="str">
        <f>HYPERLINK("http://www.worldcat.org/oclc/5333697","WorldCat Record")</f>
        <v>WorldCat Record</v>
      </c>
      <c r="AW7" s="2" t="s">
        <v>87</v>
      </c>
      <c r="AX7" s="2" t="s">
        <v>88</v>
      </c>
      <c r="AY7" s="2" t="s">
        <v>89</v>
      </c>
      <c r="AZ7" s="2" t="s">
        <v>89</v>
      </c>
      <c r="BA7" s="2" t="s">
        <v>90</v>
      </c>
      <c r="BB7" s="2" t="s">
        <v>21</v>
      </c>
      <c r="BD7" s="2" t="s">
        <v>91</v>
      </c>
      <c r="BE7" s="2" t="s">
        <v>92</v>
      </c>
      <c r="BF7" s="2" t="s">
        <v>93</v>
      </c>
    </row>
    <row r="8" spans="1:58" ht="42.75" customHeight="1" x14ac:dyDescent="0.25">
      <c r="A8" s="8" t="s">
        <v>8</v>
      </c>
      <c r="B8" s="1" t="s">
        <v>0</v>
      </c>
      <c r="C8" s="1" t="s">
        <v>1</v>
      </c>
      <c r="D8" s="1" t="s">
        <v>94</v>
      </c>
      <c r="E8" s="1" t="s">
        <v>95</v>
      </c>
      <c r="F8" s="1" t="s">
        <v>96</v>
      </c>
      <c r="G8" s="2" t="s">
        <v>5</v>
      </c>
      <c r="H8" s="2" t="s">
        <v>6</v>
      </c>
      <c r="I8" s="2" t="s">
        <v>7</v>
      </c>
      <c r="J8" s="2" t="s">
        <v>8</v>
      </c>
      <c r="K8" s="2" t="s">
        <v>8</v>
      </c>
      <c r="L8" s="2" t="s">
        <v>9</v>
      </c>
      <c r="M8" s="1" t="s">
        <v>97</v>
      </c>
      <c r="O8" s="2" t="s">
        <v>98</v>
      </c>
      <c r="Q8" s="2" t="s">
        <v>12</v>
      </c>
      <c r="R8" s="2" t="s">
        <v>13</v>
      </c>
      <c r="T8" s="2" t="s">
        <v>14</v>
      </c>
      <c r="U8" s="3">
        <v>5</v>
      </c>
      <c r="V8" s="3">
        <v>8</v>
      </c>
      <c r="W8" s="4" t="s">
        <v>99</v>
      </c>
      <c r="X8" s="4" t="s">
        <v>100</v>
      </c>
      <c r="Y8" s="4" t="s">
        <v>101</v>
      </c>
      <c r="Z8" s="4" t="s">
        <v>101</v>
      </c>
      <c r="AA8" s="3">
        <v>98</v>
      </c>
      <c r="AB8" s="3">
        <v>81</v>
      </c>
      <c r="AC8" s="3">
        <v>114</v>
      </c>
      <c r="AD8" s="3">
        <v>1</v>
      </c>
      <c r="AE8" s="3">
        <v>1</v>
      </c>
      <c r="AF8" s="3">
        <v>2</v>
      </c>
      <c r="AG8" s="3">
        <v>3</v>
      </c>
      <c r="AH8" s="3">
        <v>1</v>
      </c>
      <c r="AI8" s="3">
        <v>2</v>
      </c>
      <c r="AJ8" s="3">
        <v>1</v>
      </c>
      <c r="AK8" s="3">
        <v>1</v>
      </c>
      <c r="AL8" s="3">
        <v>1</v>
      </c>
      <c r="AM8" s="3">
        <v>2</v>
      </c>
      <c r="AN8" s="3">
        <v>0</v>
      </c>
      <c r="AO8" s="3">
        <v>0</v>
      </c>
      <c r="AP8" s="3">
        <v>0</v>
      </c>
      <c r="AQ8" s="3">
        <v>0</v>
      </c>
      <c r="AR8" s="2" t="s">
        <v>8</v>
      </c>
      <c r="AS8" s="2" t="s">
        <v>6</v>
      </c>
      <c r="AT8" s="5" t="str">
        <f>HYPERLINK("http://catalog.hathitrust.org/Record/008856297","HathiTrust Record")</f>
        <v>HathiTrust Record</v>
      </c>
      <c r="AU8" s="5" t="str">
        <f>HYPERLINK("https://creighton-primo.hosted.exlibrisgroup.com/primo-explore/search?tab=default_tab&amp;search_scope=EVERYTHING&amp;vid=01CRU&amp;lang=en_US&amp;offset=0&amp;query=any,contains,991000984229702656","Catalog Record")</f>
        <v>Catalog Record</v>
      </c>
      <c r="AV8" s="5" t="str">
        <f>HYPERLINK("http://www.worldcat.org/oclc/8193658","WorldCat Record")</f>
        <v>WorldCat Record</v>
      </c>
      <c r="AW8" s="2" t="s">
        <v>102</v>
      </c>
      <c r="AX8" s="2" t="s">
        <v>103</v>
      </c>
      <c r="AY8" s="2" t="s">
        <v>104</v>
      </c>
      <c r="AZ8" s="2" t="s">
        <v>104</v>
      </c>
      <c r="BA8" s="2" t="s">
        <v>105</v>
      </c>
      <c r="BB8" s="2" t="s">
        <v>21</v>
      </c>
      <c r="BE8" s="2" t="s">
        <v>106</v>
      </c>
      <c r="BF8" s="2" t="s">
        <v>107</v>
      </c>
    </row>
    <row r="9" spans="1:58" ht="42.75" customHeight="1" x14ac:dyDescent="0.25">
      <c r="A9" s="8" t="s">
        <v>8</v>
      </c>
      <c r="B9" s="1" t="s">
        <v>0</v>
      </c>
      <c r="C9" s="1" t="s">
        <v>1</v>
      </c>
      <c r="D9" s="1" t="s">
        <v>94</v>
      </c>
      <c r="E9" s="1" t="s">
        <v>95</v>
      </c>
      <c r="F9" s="1" t="s">
        <v>96</v>
      </c>
      <c r="G9" s="2" t="s">
        <v>25</v>
      </c>
      <c r="H9" s="2" t="s">
        <v>6</v>
      </c>
      <c r="I9" s="2" t="s">
        <v>7</v>
      </c>
      <c r="J9" s="2" t="s">
        <v>8</v>
      </c>
      <c r="K9" s="2" t="s">
        <v>8</v>
      </c>
      <c r="L9" s="2" t="s">
        <v>9</v>
      </c>
      <c r="M9" s="1" t="s">
        <v>97</v>
      </c>
      <c r="O9" s="2" t="s">
        <v>98</v>
      </c>
      <c r="Q9" s="2" t="s">
        <v>12</v>
      </c>
      <c r="R9" s="2" t="s">
        <v>13</v>
      </c>
      <c r="T9" s="2" t="s">
        <v>14</v>
      </c>
      <c r="U9" s="3">
        <v>3</v>
      </c>
      <c r="V9" s="3">
        <v>8</v>
      </c>
      <c r="W9" s="4" t="s">
        <v>100</v>
      </c>
      <c r="X9" s="4" t="s">
        <v>100</v>
      </c>
      <c r="Y9" s="4" t="s">
        <v>101</v>
      </c>
      <c r="Z9" s="4" t="s">
        <v>101</v>
      </c>
      <c r="AA9" s="3">
        <v>98</v>
      </c>
      <c r="AB9" s="3">
        <v>81</v>
      </c>
      <c r="AC9" s="3">
        <v>114</v>
      </c>
      <c r="AD9" s="3">
        <v>1</v>
      </c>
      <c r="AE9" s="3">
        <v>1</v>
      </c>
      <c r="AF9" s="3">
        <v>2</v>
      </c>
      <c r="AG9" s="3">
        <v>3</v>
      </c>
      <c r="AH9" s="3">
        <v>1</v>
      </c>
      <c r="AI9" s="3">
        <v>2</v>
      </c>
      <c r="AJ9" s="3">
        <v>1</v>
      </c>
      <c r="AK9" s="3">
        <v>1</v>
      </c>
      <c r="AL9" s="3">
        <v>1</v>
      </c>
      <c r="AM9" s="3">
        <v>2</v>
      </c>
      <c r="AN9" s="3">
        <v>0</v>
      </c>
      <c r="AO9" s="3">
        <v>0</v>
      </c>
      <c r="AP9" s="3">
        <v>0</v>
      </c>
      <c r="AQ9" s="3">
        <v>0</v>
      </c>
      <c r="AR9" s="2" t="s">
        <v>8</v>
      </c>
      <c r="AS9" s="2" t="s">
        <v>6</v>
      </c>
      <c r="AT9" s="5" t="str">
        <f>HYPERLINK("http://catalog.hathitrust.org/Record/008856297","HathiTrust Record")</f>
        <v>HathiTrust Record</v>
      </c>
      <c r="AU9" s="5" t="str">
        <f>HYPERLINK("https://creighton-primo.hosted.exlibrisgroup.com/primo-explore/search?tab=default_tab&amp;search_scope=EVERYTHING&amp;vid=01CRU&amp;lang=en_US&amp;offset=0&amp;query=any,contains,991000984229702656","Catalog Record")</f>
        <v>Catalog Record</v>
      </c>
      <c r="AV9" s="5" t="str">
        <f>HYPERLINK("http://www.worldcat.org/oclc/8193658","WorldCat Record")</f>
        <v>WorldCat Record</v>
      </c>
      <c r="AW9" s="2" t="s">
        <v>102</v>
      </c>
      <c r="AX9" s="2" t="s">
        <v>103</v>
      </c>
      <c r="AY9" s="2" t="s">
        <v>104</v>
      </c>
      <c r="AZ9" s="2" t="s">
        <v>104</v>
      </c>
      <c r="BA9" s="2" t="s">
        <v>105</v>
      </c>
      <c r="BB9" s="2" t="s">
        <v>21</v>
      </c>
      <c r="BE9" s="2" t="s">
        <v>108</v>
      </c>
      <c r="BF9" s="2" t="s">
        <v>109</v>
      </c>
    </row>
    <row r="10" spans="1:58" ht="42.75" customHeight="1" x14ac:dyDescent="0.25">
      <c r="A10" s="8" t="s">
        <v>8</v>
      </c>
      <c r="B10" s="1" t="s">
        <v>0</v>
      </c>
      <c r="C10" s="1" t="s">
        <v>1</v>
      </c>
      <c r="D10" s="1" t="s">
        <v>110</v>
      </c>
      <c r="E10" s="1" t="s">
        <v>111</v>
      </c>
      <c r="F10" s="1" t="s">
        <v>112</v>
      </c>
      <c r="H10" s="2" t="s">
        <v>8</v>
      </c>
      <c r="I10" s="2" t="s">
        <v>7</v>
      </c>
      <c r="J10" s="2" t="s">
        <v>8</v>
      </c>
      <c r="K10" s="2" t="s">
        <v>8</v>
      </c>
      <c r="L10" s="2" t="s">
        <v>9</v>
      </c>
      <c r="N10" s="1" t="s">
        <v>113</v>
      </c>
      <c r="O10" s="2" t="s">
        <v>114</v>
      </c>
      <c r="Q10" s="2" t="s">
        <v>12</v>
      </c>
      <c r="R10" s="2" t="s">
        <v>13</v>
      </c>
      <c r="T10" s="2" t="s">
        <v>14</v>
      </c>
      <c r="U10" s="3">
        <v>9</v>
      </c>
      <c r="V10" s="3">
        <v>9</v>
      </c>
      <c r="W10" s="4" t="s">
        <v>115</v>
      </c>
      <c r="X10" s="4" t="s">
        <v>115</v>
      </c>
      <c r="Y10" s="4" t="s">
        <v>116</v>
      </c>
      <c r="Z10" s="4" t="s">
        <v>116</v>
      </c>
      <c r="AA10" s="3">
        <v>11</v>
      </c>
      <c r="AB10" s="3">
        <v>5</v>
      </c>
      <c r="AC10" s="3">
        <v>6</v>
      </c>
      <c r="AD10" s="3">
        <v>1</v>
      </c>
      <c r="AE10" s="3">
        <v>1</v>
      </c>
      <c r="AF10" s="3">
        <v>0</v>
      </c>
      <c r="AG10" s="3">
        <v>0</v>
      </c>
      <c r="AH10" s="3">
        <v>0</v>
      </c>
      <c r="AI10" s="3">
        <v>0</v>
      </c>
      <c r="AJ10" s="3">
        <v>0</v>
      </c>
      <c r="AK10" s="3">
        <v>0</v>
      </c>
      <c r="AL10" s="3">
        <v>0</v>
      </c>
      <c r="AM10" s="3">
        <v>0</v>
      </c>
      <c r="AN10" s="3">
        <v>0</v>
      </c>
      <c r="AO10" s="3">
        <v>0</v>
      </c>
      <c r="AP10" s="3">
        <v>0</v>
      </c>
      <c r="AQ10" s="3">
        <v>0</v>
      </c>
      <c r="AR10" s="2" t="s">
        <v>8</v>
      </c>
      <c r="AS10" s="2" t="s">
        <v>8</v>
      </c>
      <c r="AU10" s="5" t="str">
        <f>HYPERLINK("https://creighton-primo.hosted.exlibrisgroup.com/primo-explore/search?tab=default_tab&amp;search_scope=EVERYTHING&amp;vid=01CRU&amp;lang=en_US&amp;offset=0&amp;query=any,contains,991000984319702656","Catalog Record")</f>
        <v>Catalog Record</v>
      </c>
      <c r="AV10" s="5" t="str">
        <f>HYPERLINK("http://www.worldcat.org/oclc/14046989","WorldCat Record")</f>
        <v>WorldCat Record</v>
      </c>
      <c r="AW10" s="2" t="s">
        <v>117</v>
      </c>
      <c r="AX10" s="2" t="s">
        <v>118</v>
      </c>
      <c r="AY10" s="2" t="s">
        <v>119</v>
      </c>
      <c r="AZ10" s="2" t="s">
        <v>119</v>
      </c>
      <c r="BA10" s="2" t="s">
        <v>120</v>
      </c>
      <c r="BB10" s="2" t="s">
        <v>21</v>
      </c>
      <c r="BE10" s="2" t="s">
        <v>121</v>
      </c>
      <c r="BF10" s="2" t="s">
        <v>122</v>
      </c>
    </row>
    <row r="11" spans="1:58" ht="42.75" customHeight="1" x14ac:dyDescent="0.25">
      <c r="A11" s="8" t="s">
        <v>8</v>
      </c>
      <c r="B11" s="1" t="s">
        <v>0</v>
      </c>
      <c r="C11" s="1" t="s">
        <v>1</v>
      </c>
      <c r="D11" s="1" t="s">
        <v>123</v>
      </c>
      <c r="E11" s="1" t="s">
        <v>124</v>
      </c>
      <c r="F11" s="1" t="s">
        <v>125</v>
      </c>
      <c r="G11" s="2" t="s">
        <v>126</v>
      </c>
      <c r="H11" s="2" t="s">
        <v>8</v>
      </c>
      <c r="I11" s="2" t="s">
        <v>7</v>
      </c>
      <c r="J11" s="2" t="s">
        <v>8</v>
      </c>
      <c r="K11" s="2" t="s">
        <v>8</v>
      </c>
      <c r="L11" s="2" t="s">
        <v>9</v>
      </c>
      <c r="N11" s="1" t="s">
        <v>127</v>
      </c>
      <c r="O11" s="2" t="s">
        <v>128</v>
      </c>
      <c r="Q11" s="2" t="s">
        <v>12</v>
      </c>
      <c r="R11" s="2" t="s">
        <v>13</v>
      </c>
      <c r="T11" s="2" t="s">
        <v>14</v>
      </c>
      <c r="U11" s="3">
        <v>2</v>
      </c>
      <c r="V11" s="3">
        <v>2</v>
      </c>
      <c r="W11" s="4" t="s">
        <v>129</v>
      </c>
      <c r="X11" s="4" t="s">
        <v>129</v>
      </c>
      <c r="Y11" s="4" t="s">
        <v>130</v>
      </c>
      <c r="Z11" s="4" t="s">
        <v>130</v>
      </c>
      <c r="AA11" s="3">
        <v>11</v>
      </c>
      <c r="AB11" s="3">
        <v>5</v>
      </c>
      <c r="AC11" s="3">
        <v>5</v>
      </c>
      <c r="AD11" s="3">
        <v>1</v>
      </c>
      <c r="AE11" s="3">
        <v>1</v>
      </c>
      <c r="AF11" s="3">
        <v>0</v>
      </c>
      <c r="AG11" s="3">
        <v>0</v>
      </c>
      <c r="AH11" s="3">
        <v>0</v>
      </c>
      <c r="AI11" s="3">
        <v>0</v>
      </c>
      <c r="AJ11" s="3">
        <v>0</v>
      </c>
      <c r="AK11" s="3">
        <v>0</v>
      </c>
      <c r="AL11" s="3">
        <v>0</v>
      </c>
      <c r="AM11" s="3">
        <v>0</v>
      </c>
      <c r="AN11" s="3">
        <v>0</v>
      </c>
      <c r="AO11" s="3">
        <v>0</v>
      </c>
      <c r="AP11" s="3">
        <v>0</v>
      </c>
      <c r="AQ11" s="3">
        <v>0</v>
      </c>
      <c r="AR11" s="2" t="s">
        <v>8</v>
      </c>
      <c r="AS11" s="2" t="s">
        <v>8</v>
      </c>
      <c r="AU11" s="5" t="str">
        <f>HYPERLINK("https://creighton-primo.hosted.exlibrisgroup.com/primo-explore/search?tab=default_tab&amp;search_scope=EVERYTHING&amp;vid=01CRU&amp;lang=en_US&amp;offset=0&amp;query=any,contains,991000984409702656","Catalog Record")</f>
        <v>Catalog Record</v>
      </c>
      <c r="AV11" s="5" t="str">
        <f>HYPERLINK("http://www.worldcat.org/oclc/10773376","WorldCat Record")</f>
        <v>WorldCat Record</v>
      </c>
      <c r="AW11" s="2" t="s">
        <v>131</v>
      </c>
      <c r="AX11" s="2" t="s">
        <v>132</v>
      </c>
      <c r="AY11" s="2" t="s">
        <v>133</v>
      </c>
      <c r="AZ11" s="2" t="s">
        <v>133</v>
      </c>
      <c r="BA11" s="2" t="s">
        <v>134</v>
      </c>
      <c r="BB11" s="2" t="s">
        <v>21</v>
      </c>
      <c r="BD11" s="2" t="s">
        <v>135</v>
      </c>
      <c r="BE11" s="2" t="s">
        <v>136</v>
      </c>
      <c r="BF11" s="2" t="s">
        <v>137</v>
      </c>
    </row>
    <row r="12" spans="1:58" ht="42.75" customHeight="1" x14ac:dyDescent="0.25">
      <c r="A12" s="8" t="s">
        <v>8</v>
      </c>
      <c r="B12" s="1" t="s">
        <v>0</v>
      </c>
      <c r="C12" s="1" t="s">
        <v>1</v>
      </c>
      <c r="D12" s="1" t="s">
        <v>138</v>
      </c>
      <c r="E12" s="1" t="s">
        <v>139</v>
      </c>
      <c r="F12" s="1" t="s">
        <v>140</v>
      </c>
      <c r="G12" s="2" t="s">
        <v>141</v>
      </c>
      <c r="H12" s="2" t="s">
        <v>8</v>
      </c>
      <c r="I12" s="2" t="s">
        <v>7</v>
      </c>
      <c r="J12" s="2" t="s">
        <v>8</v>
      </c>
      <c r="K12" s="2" t="s">
        <v>8</v>
      </c>
      <c r="L12" s="2" t="s">
        <v>9</v>
      </c>
      <c r="M12" s="1" t="s">
        <v>142</v>
      </c>
      <c r="N12" s="1" t="s">
        <v>143</v>
      </c>
      <c r="O12" s="2" t="s">
        <v>144</v>
      </c>
      <c r="Q12" s="2" t="s">
        <v>12</v>
      </c>
      <c r="R12" s="2" t="s">
        <v>145</v>
      </c>
      <c r="S12" s="1" t="s">
        <v>146</v>
      </c>
      <c r="T12" s="2" t="s">
        <v>14</v>
      </c>
      <c r="U12" s="3">
        <v>4</v>
      </c>
      <c r="V12" s="3">
        <v>4</v>
      </c>
      <c r="W12" s="4" t="s">
        <v>147</v>
      </c>
      <c r="X12" s="4" t="s">
        <v>147</v>
      </c>
      <c r="Y12" s="4" t="s">
        <v>148</v>
      </c>
      <c r="Z12" s="4" t="s">
        <v>148</v>
      </c>
      <c r="AA12" s="3">
        <v>318</v>
      </c>
      <c r="AB12" s="3">
        <v>208</v>
      </c>
      <c r="AC12" s="3">
        <v>210</v>
      </c>
      <c r="AD12" s="3">
        <v>1</v>
      </c>
      <c r="AE12" s="3">
        <v>1</v>
      </c>
      <c r="AF12" s="3">
        <v>4</v>
      </c>
      <c r="AG12" s="3">
        <v>4</v>
      </c>
      <c r="AH12" s="3">
        <v>1</v>
      </c>
      <c r="AI12" s="3">
        <v>1</v>
      </c>
      <c r="AJ12" s="3">
        <v>2</v>
      </c>
      <c r="AK12" s="3">
        <v>2</v>
      </c>
      <c r="AL12" s="3">
        <v>3</v>
      </c>
      <c r="AM12" s="3">
        <v>3</v>
      </c>
      <c r="AN12" s="3">
        <v>0</v>
      </c>
      <c r="AO12" s="3">
        <v>0</v>
      </c>
      <c r="AP12" s="3">
        <v>0</v>
      </c>
      <c r="AQ12" s="3">
        <v>0</v>
      </c>
      <c r="AR12" s="2" t="s">
        <v>8</v>
      </c>
      <c r="AS12" s="2" t="s">
        <v>6</v>
      </c>
      <c r="AT12" s="5" t="str">
        <f>HYPERLINK("http://catalog.hathitrust.org/Record/001556591","HathiTrust Record")</f>
        <v>HathiTrust Record</v>
      </c>
      <c r="AU12" s="5" t="str">
        <f>HYPERLINK("https://creighton-primo.hosted.exlibrisgroup.com/primo-explore/search?tab=default_tab&amp;search_scope=EVERYTHING&amp;vid=01CRU&amp;lang=en_US&amp;offset=0&amp;query=any,contains,991000984579702656","Catalog Record")</f>
        <v>Catalog Record</v>
      </c>
      <c r="AV12" s="5" t="str">
        <f>HYPERLINK("http://www.worldcat.org/oclc/91883","WorldCat Record")</f>
        <v>WorldCat Record</v>
      </c>
      <c r="AW12" s="2" t="s">
        <v>149</v>
      </c>
      <c r="AX12" s="2" t="s">
        <v>150</v>
      </c>
      <c r="AY12" s="2" t="s">
        <v>151</v>
      </c>
      <c r="AZ12" s="2" t="s">
        <v>151</v>
      </c>
      <c r="BA12" s="2" t="s">
        <v>152</v>
      </c>
      <c r="BB12" s="2" t="s">
        <v>21</v>
      </c>
      <c r="BE12" s="2" t="s">
        <v>153</v>
      </c>
      <c r="BF12" s="2" t="s">
        <v>154</v>
      </c>
    </row>
    <row r="13" spans="1:58" ht="42.75" customHeight="1" x14ac:dyDescent="0.25">
      <c r="A13" s="8" t="s">
        <v>8</v>
      </c>
      <c r="B13" s="1" t="s">
        <v>0</v>
      </c>
      <c r="C13" s="1" t="s">
        <v>1</v>
      </c>
      <c r="D13" s="1" t="s">
        <v>155</v>
      </c>
      <c r="E13" s="1" t="s">
        <v>156</v>
      </c>
      <c r="F13" s="1" t="s">
        <v>157</v>
      </c>
      <c r="G13" s="2" t="s">
        <v>158</v>
      </c>
      <c r="H13" s="2" t="s">
        <v>8</v>
      </c>
      <c r="I13" s="2" t="s">
        <v>7</v>
      </c>
      <c r="J13" s="2" t="s">
        <v>8</v>
      </c>
      <c r="K13" s="2" t="s">
        <v>8</v>
      </c>
      <c r="L13" s="2" t="s">
        <v>9</v>
      </c>
      <c r="M13" s="1" t="s">
        <v>159</v>
      </c>
      <c r="N13" s="1" t="s">
        <v>160</v>
      </c>
      <c r="O13" s="2" t="s">
        <v>161</v>
      </c>
      <c r="Q13" s="2" t="s">
        <v>12</v>
      </c>
      <c r="R13" s="2" t="s">
        <v>145</v>
      </c>
      <c r="S13" s="1" t="s">
        <v>162</v>
      </c>
      <c r="T13" s="2" t="s">
        <v>14</v>
      </c>
      <c r="U13" s="3">
        <v>1</v>
      </c>
      <c r="V13" s="3">
        <v>1</v>
      </c>
      <c r="W13" s="4" t="s">
        <v>163</v>
      </c>
      <c r="X13" s="4" t="s">
        <v>163</v>
      </c>
      <c r="Y13" s="4" t="s">
        <v>164</v>
      </c>
      <c r="Z13" s="4" t="s">
        <v>164</v>
      </c>
      <c r="AA13" s="3">
        <v>278</v>
      </c>
      <c r="AB13" s="3">
        <v>196</v>
      </c>
      <c r="AC13" s="3">
        <v>211</v>
      </c>
      <c r="AD13" s="3">
        <v>1</v>
      </c>
      <c r="AE13" s="3">
        <v>1</v>
      </c>
      <c r="AF13" s="3">
        <v>4</v>
      </c>
      <c r="AG13" s="3">
        <v>4</v>
      </c>
      <c r="AH13" s="3">
        <v>1</v>
      </c>
      <c r="AI13" s="3">
        <v>1</v>
      </c>
      <c r="AJ13" s="3">
        <v>2</v>
      </c>
      <c r="AK13" s="3">
        <v>2</v>
      </c>
      <c r="AL13" s="3">
        <v>2</v>
      </c>
      <c r="AM13" s="3">
        <v>2</v>
      </c>
      <c r="AN13" s="3">
        <v>0</v>
      </c>
      <c r="AO13" s="3">
        <v>0</v>
      </c>
      <c r="AP13" s="3">
        <v>0</v>
      </c>
      <c r="AQ13" s="3">
        <v>0</v>
      </c>
      <c r="AR13" s="2" t="s">
        <v>8</v>
      </c>
      <c r="AS13" s="2" t="s">
        <v>6</v>
      </c>
      <c r="AT13" s="5" t="str">
        <f>HYPERLINK("http://catalog.hathitrust.org/Record/001556598","HathiTrust Record")</f>
        <v>HathiTrust Record</v>
      </c>
      <c r="AU13" s="5" t="str">
        <f>HYPERLINK("https://creighton-primo.hosted.exlibrisgroup.com/primo-explore/search?tab=default_tab&amp;search_scope=EVERYTHING&amp;vid=01CRU&amp;lang=en_US&amp;offset=0&amp;query=any,contains,991000984619702656","Catalog Record")</f>
        <v>Catalog Record</v>
      </c>
      <c r="AV13" s="5" t="str">
        <f>HYPERLINK("http://www.worldcat.org/oclc/146784","WorldCat Record")</f>
        <v>WorldCat Record</v>
      </c>
      <c r="AW13" s="2" t="s">
        <v>165</v>
      </c>
      <c r="AX13" s="2" t="s">
        <v>166</v>
      </c>
      <c r="AY13" s="2" t="s">
        <v>167</v>
      </c>
      <c r="AZ13" s="2" t="s">
        <v>167</v>
      </c>
      <c r="BA13" s="2" t="s">
        <v>168</v>
      </c>
      <c r="BB13" s="2" t="s">
        <v>21</v>
      </c>
      <c r="BD13" s="2" t="s">
        <v>169</v>
      </c>
      <c r="BE13" s="2" t="s">
        <v>170</v>
      </c>
      <c r="BF13" s="2" t="s">
        <v>171</v>
      </c>
    </row>
    <row r="14" spans="1:58" ht="42.75" customHeight="1" x14ac:dyDescent="0.25">
      <c r="A14" s="8" t="s">
        <v>8</v>
      </c>
      <c r="B14" s="1" t="s">
        <v>0</v>
      </c>
      <c r="C14" s="1" t="s">
        <v>1</v>
      </c>
      <c r="D14" s="1" t="s">
        <v>172</v>
      </c>
      <c r="E14" s="1" t="s">
        <v>173</v>
      </c>
      <c r="F14" s="1" t="s">
        <v>174</v>
      </c>
      <c r="G14" s="2" t="s">
        <v>175</v>
      </c>
      <c r="H14" s="2" t="s">
        <v>8</v>
      </c>
      <c r="I14" s="2" t="s">
        <v>7</v>
      </c>
      <c r="J14" s="2" t="s">
        <v>8</v>
      </c>
      <c r="K14" s="2" t="s">
        <v>8</v>
      </c>
      <c r="L14" s="2" t="s">
        <v>9</v>
      </c>
      <c r="M14" s="1" t="s">
        <v>176</v>
      </c>
      <c r="N14" s="1" t="s">
        <v>177</v>
      </c>
      <c r="O14" s="2" t="s">
        <v>114</v>
      </c>
      <c r="Q14" s="2" t="s">
        <v>12</v>
      </c>
      <c r="R14" s="2" t="s">
        <v>145</v>
      </c>
      <c r="S14" s="1" t="s">
        <v>178</v>
      </c>
      <c r="T14" s="2" t="s">
        <v>14</v>
      </c>
      <c r="U14" s="3">
        <v>1</v>
      </c>
      <c r="V14" s="3">
        <v>1</v>
      </c>
      <c r="W14" s="4" t="s">
        <v>179</v>
      </c>
      <c r="X14" s="4" t="s">
        <v>179</v>
      </c>
      <c r="Y14" s="4" t="s">
        <v>180</v>
      </c>
      <c r="Z14" s="4" t="s">
        <v>180</v>
      </c>
      <c r="AA14" s="3">
        <v>240</v>
      </c>
      <c r="AB14" s="3">
        <v>159</v>
      </c>
      <c r="AC14" s="3">
        <v>161</v>
      </c>
      <c r="AD14" s="3">
        <v>2</v>
      </c>
      <c r="AE14" s="3">
        <v>2</v>
      </c>
      <c r="AF14" s="3">
        <v>5</v>
      </c>
      <c r="AG14" s="3">
        <v>5</v>
      </c>
      <c r="AH14" s="3">
        <v>0</v>
      </c>
      <c r="AI14" s="3">
        <v>0</v>
      </c>
      <c r="AJ14" s="3">
        <v>2</v>
      </c>
      <c r="AK14" s="3">
        <v>2</v>
      </c>
      <c r="AL14" s="3">
        <v>3</v>
      </c>
      <c r="AM14" s="3">
        <v>3</v>
      </c>
      <c r="AN14" s="3">
        <v>1</v>
      </c>
      <c r="AO14" s="3">
        <v>1</v>
      </c>
      <c r="AP14" s="3">
        <v>0</v>
      </c>
      <c r="AQ14" s="3">
        <v>0</v>
      </c>
      <c r="AR14" s="2" t="s">
        <v>8</v>
      </c>
      <c r="AS14" s="2" t="s">
        <v>6</v>
      </c>
      <c r="AT14" s="5" t="str">
        <f>HYPERLINK("http://catalog.hathitrust.org/Record/001565483","HathiTrust Record")</f>
        <v>HathiTrust Record</v>
      </c>
      <c r="AU14" s="5" t="str">
        <f>HYPERLINK("https://creighton-primo.hosted.exlibrisgroup.com/primo-explore/search?tab=default_tab&amp;search_scope=EVERYTHING&amp;vid=01CRU&amp;lang=en_US&amp;offset=0&amp;query=any,contains,991000984679702656","Catalog Record")</f>
        <v>Catalog Record</v>
      </c>
      <c r="AV14" s="5" t="str">
        <f>HYPERLINK("http://www.worldcat.org/oclc/790123","WorldCat Record")</f>
        <v>WorldCat Record</v>
      </c>
      <c r="AW14" s="2" t="s">
        <v>181</v>
      </c>
      <c r="AX14" s="2" t="s">
        <v>182</v>
      </c>
      <c r="AY14" s="2" t="s">
        <v>183</v>
      </c>
      <c r="AZ14" s="2" t="s">
        <v>183</v>
      </c>
      <c r="BA14" s="2" t="s">
        <v>184</v>
      </c>
      <c r="BB14" s="2" t="s">
        <v>21</v>
      </c>
      <c r="BD14" s="2" t="s">
        <v>185</v>
      </c>
      <c r="BE14" s="2" t="s">
        <v>186</v>
      </c>
      <c r="BF14" s="2" t="s">
        <v>187</v>
      </c>
    </row>
    <row r="15" spans="1:58" ht="42.75" customHeight="1" x14ac:dyDescent="0.25">
      <c r="A15" s="8" t="s">
        <v>8</v>
      </c>
      <c r="B15" s="1" t="s">
        <v>0</v>
      </c>
      <c r="C15" s="1" t="s">
        <v>1</v>
      </c>
      <c r="D15" s="1" t="s">
        <v>188</v>
      </c>
      <c r="E15" s="1" t="s">
        <v>189</v>
      </c>
      <c r="F15" s="1" t="s">
        <v>190</v>
      </c>
      <c r="G15" s="2" t="s">
        <v>191</v>
      </c>
      <c r="H15" s="2" t="s">
        <v>8</v>
      </c>
      <c r="I15" s="2" t="s">
        <v>7</v>
      </c>
      <c r="J15" s="2" t="s">
        <v>8</v>
      </c>
      <c r="K15" s="2" t="s">
        <v>8</v>
      </c>
      <c r="L15" s="2" t="s">
        <v>9</v>
      </c>
      <c r="M15" s="1" t="s">
        <v>192</v>
      </c>
      <c r="N15" s="1" t="s">
        <v>193</v>
      </c>
      <c r="O15" s="2" t="s">
        <v>194</v>
      </c>
      <c r="Q15" s="2" t="s">
        <v>12</v>
      </c>
      <c r="R15" s="2" t="s">
        <v>13</v>
      </c>
      <c r="S15" s="1" t="s">
        <v>195</v>
      </c>
      <c r="T15" s="2" t="s">
        <v>14</v>
      </c>
      <c r="U15" s="3">
        <v>1</v>
      </c>
      <c r="V15" s="3">
        <v>1</v>
      </c>
      <c r="W15" s="4" t="s">
        <v>196</v>
      </c>
      <c r="X15" s="4" t="s">
        <v>196</v>
      </c>
      <c r="Y15" s="4" t="s">
        <v>130</v>
      </c>
      <c r="Z15" s="4" t="s">
        <v>130</v>
      </c>
      <c r="AA15" s="3">
        <v>286</v>
      </c>
      <c r="AB15" s="3">
        <v>197</v>
      </c>
      <c r="AC15" s="3">
        <v>205</v>
      </c>
      <c r="AD15" s="3">
        <v>2</v>
      </c>
      <c r="AE15" s="3">
        <v>2</v>
      </c>
      <c r="AF15" s="3">
        <v>5</v>
      </c>
      <c r="AG15" s="3">
        <v>5</v>
      </c>
      <c r="AH15" s="3">
        <v>2</v>
      </c>
      <c r="AI15" s="3">
        <v>2</v>
      </c>
      <c r="AJ15" s="3">
        <v>1</v>
      </c>
      <c r="AK15" s="3">
        <v>1</v>
      </c>
      <c r="AL15" s="3">
        <v>1</v>
      </c>
      <c r="AM15" s="3">
        <v>1</v>
      </c>
      <c r="AN15" s="3">
        <v>1</v>
      </c>
      <c r="AO15" s="3">
        <v>1</v>
      </c>
      <c r="AP15" s="3">
        <v>0</v>
      </c>
      <c r="AQ15" s="3">
        <v>0</v>
      </c>
      <c r="AR15" s="2" t="s">
        <v>8</v>
      </c>
      <c r="AS15" s="2" t="s">
        <v>6</v>
      </c>
      <c r="AT15" s="5" t="str">
        <f>HYPERLINK("http://catalog.hathitrust.org/Record/001555816","HathiTrust Record")</f>
        <v>HathiTrust Record</v>
      </c>
      <c r="AU15" s="5" t="str">
        <f>HYPERLINK("https://creighton-primo.hosted.exlibrisgroup.com/primo-explore/search?tab=default_tab&amp;search_scope=EVERYTHING&amp;vid=01CRU&amp;lang=en_US&amp;offset=0&amp;query=any,contains,991000984819702656","Catalog Record")</f>
        <v>Catalog Record</v>
      </c>
      <c r="AV15" s="5" t="str">
        <f>HYPERLINK("http://www.worldcat.org/oclc/570036","WorldCat Record")</f>
        <v>WorldCat Record</v>
      </c>
      <c r="AW15" s="2" t="s">
        <v>197</v>
      </c>
      <c r="AX15" s="2" t="s">
        <v>198</v>
      </c>
      <c r="AY15" s="2" t="s">
        <v>199</v>
      </c>
      <c r="AZ15" s="2" t="s">
        <v>199</v>
      </c>
      <c r="BA15" s="2" t="s">
        <v>200</v>
      </c>
      <c r="BB15" s="2" t="s">
        <v>21</v>
      </c>
      <c r="BE15" s="2" t="s">
        <v>201</v>
      </c>
      <c r="BF15" s="2" t="s">
        <v>202</v>
      </c>
    </row>
    <row r="16" spans="1:58" ht="42.75" customHeight="1" x14ac:dyDescent="0.25">
      <c r="A16" s="8" t="s">
        <v>8</v>
      </c>
      <c r="B16" s="1" t="s">
        <v>0</v>
      </c>
      <c r="C16" s="1" t="s">
        <v>1</v>
      </c>
      <c r="D16" s="1" t="s">
        <v>203</v>
      </c>
      <c r="E16" s="1" t="s">
        <v>204</v>
      </c>
      <c r="F16" s="1" t="s">
        <v>205</v>
      </c>
      <c r="G16" s="2" t="s">
        <v>206</v>
      </c>
      <c r="H16" s="2" t="s">
        <v>8</v>
      </c>
      <c r="I16" s="2" t="s">
        <v>7</v>
      </c>
      <c r="J16" s="2" t="s">
        <v>8</v>
      </c>
      <c r="K16" s="2" t="s">
        <v>8</v>
      </c>
      <c r="L16" s="2" t="s">
        <v>9</v>
      </c>
      <c r="N16" s="1" t="s">
        <v>207</v>
      </c>
      <c r="O16" s="2" t="s">
        <v>208</v>
      </c>
      <c r="Q16" s="2" t="s">
        <v>12</v>
      </c>
      <c r="R16" s="2" t="s">
        <v>13</v>
      </c>
      <c r="S16" s="1" t="s">
        <v>209</v>
      </c>
      <c r="T16" s="2" t="s">
        <v>14</v>
      </c>
      <c r="U16" s="3">
        <v>1</v>
      </c>
      <c r="V16" s="3">
        <v>1</v>
      </c>
      <c r="W16" s="4" t="s">
        <v>210</v>
      </c>
      <c r="X16" s="4" t="s">
        <v>210</v>
      </c>
      <c r="Y16" s="4" t="s">
        <v>86</v>
      </c>
      <c r="Z16" s="4" t="s">
        <v>86</v>
      </c>
      <c r="AA16" s="3">
        <v>170</v>
      </c>
      <c r="AB16" s="3">
        <v>134</v>
      </c>
      <c r="AC16" s="3">
        <v>134</v>
      </c>
      <c r="AD16" s="3">
        <v>3</v>
      </c>
      <c r="AE16" s="3">
        <v>3</v>
      </c>
      <c r="AF16" s="3">
        <v>4</v>
      </c>
      <c r="AG16" s="3">
        <v>4</v>
      </c>
      <c r="AH16" s="3">
        <v>1</v>
      </c>
      <c r="AI16" s="3">
        <v>1</v>
      </c>
      <c r="AJ16" s="3">
        <v>1</v>
      </c>
      <c r="AK16" s="3">
        <v>1</v>
      </c>
      <c r="AL16" s="3">
        <v>0</v>
      </c>
      <c r="AM16" s="3">
        <v>0</v>
      </c>
      <c r="AN16" s="3">
        <v>2</v>
      </c>
      <c r="AO16" s="3">
        <v>2</v>
      </c>
      <c r="AP16" s="3">
        <v>0</v>
      </c>
      <c r="AQ16" s="3">
        <v>0</v>
      </c>
      <c r="AR16" s="2" t="s">
        <v>8</v>
      </c>
      <c r="AS16" s="2" t="s">
        <v>8</v>
      </c>
      <c r="AU16" s="5" t="str">
        <f>HYPERLINK("https://creighton-primo.hosted.exlibrisgroup.com/primo-explore/search?tab=default_tab&amp;search_scope=EVERYTHING&amp;vid=01CRU&amp;lang=en_US&amp;offset=0&amp;query=any,contains,991000985039702656","Catalog Record")</f>
        <v>Catalog Record</v>
      </c>
      <c r="AV16" s="5" t="str">
        <f>HYPERLINK("http://www.worldcat.org/oclc/2837122","WorldCat Record")</f>
        <v>WorldCat Record</v>
      </c>
      <c r="AW16" s="2" t="s">
        <v>211</v>
      </c>
      <c r="AX16" s="2" t="s">
        <v>212</v>
      </c>
      <c r="AY16" s="2" t="s">
        <v>213</v>
      </c>
      <c r="AZ16" s="2" t="s">
        <v>213</v>
      </c>
      <c r="BA16" s="2" t="s">
        <v>214</v>
      </c>
      <c r="BB16" s="2" t="s">
        <v>21</v>
      </c>
      <c r="BD16" s="2" t="s">
        <v>215</v>
      </c>
      <c r="BE16" s="2" t="s">
        <v>216</v>
      </c>
      <c r="BF16" s="2" t="s">
        <v>217</v>
      </c>
    </row>
    <row r="17" spans="1:58" ht="42.75" customHeight="1" x14ac:dyDescent="0.25">
      <c r="A17" s="8" t="s">
        <v>8</v>
      </c>
      <c r="B17" s="1" t="s">
        <v>0</v>
      </c>
      <c r="C17" s="1" t="s">
        <v>1</v>
      </c>
      <c r="D17" s="1" t="s">
        <v>218</v>
      </c>
      <c r="E17" s="1" t="s">
        <v>219</v>
      </c>
      <c r="F17" s="1" t="s">
        <v>220</v>
      </c>
      <c r="G17" s="2" t="s">
        <v>221</v>
      </c>
      <c r="H17" s="2" t="s">
        <v>8</v>
      </c>
      <c r="I17" s="2" t="s">
        <v>7</v>
      </c>
      <c r="J17" s="2" t="s">
        <v>8</v>
      </c>
      <c r="K17" s="2" t="s">
        <v>8</v>
      </c>
      <c r="L17" s="2" t="s">
        <v>9</v>
      </c>
      <c r="M17" s="1" t="s">
        <v>222</v>
      </c>
      <c r="N17" s="1" t="s">
        <v>223</v>
      </c>
      <c r="O17" s="2" t="s">
        <v>224</v>
      </c>
      <c r="Q17" s="2" t="s">
        <v>12</v>
      </c>
      <c r="R17" s="2" t="s">
        <v>34</v>
      </c>
      <c r="S17" s="1" t="s">
        <v>225</v>
      </c>
      <c r="T17" s="2" t="s">
        <v>14</v>
      </c>
      <c r="U17" s="3">
        <v>3</v>
      </c>
      <c r="V17" s="3">
        <v>3</v>
      </c>
      <c r="W17" s="4" t="s">
        <v>226</v>
      </c>
      <c r="X17" s="4" t="s">
        <v>226</v>
      </c>
      <c r="Y17" s="4" t="s">
        <v>86</v>
      </c>
      <c r="Z17" s="4" t="s">
        <v>86</v>
      </c>
      <c r="AA17" s="3">
        <v>328</v>
      </c>
      <c r="AB17" s="3">
        <v>277</v>
      </c>
      <c r="AC17" s="3">
        <v>279</v>
      </c>
      <c r="AD17" s="3">
        <v>3</v>
      </c>
      <c r="AE17" s="3">
        <v>3</v>
      </c>
      <c r="AF17" s="3">
        <v>14</v>
      </c>
      <c r="AG17" s="3">
        <v>14</v>
      </c>
      <c r="AH17" s="3">
        <v>6</v>
      </c>
      <c r="AI17" s="3">
        <v>6</v>
      </c>
      <c r="AJ17" s="3">
        <v>2</v>
      </c>
      <c r="AK17" s="3">
        <v>2</v>
      </c>
      <c r="AL17" s="3">
        <v>8</v>
      </c>
      <c r="AM17" s="3">
        <v>8</v>
      </c>
      <c r="AN17" s="3">
        <v>2</v>
      </c>
      <c r="AO17" s="3">
        <v>2</v>
      </c>
      <c r="AP17" s="3">
        <v>1</v>
      </c>
      <c r="AQ17" s="3">
        <v>1</v>
      </c>
      <c r="AR17" s="2" t="s">
        <v>8</v>
      </c>
      <c r="AS17" s="2" t="s">
        <v>6</v>
      </c>
      <c r="AT17" s="5" t="str">
        <f>HYPERLINK("http://catalog.hathitrust.org/Record/000690531","HathiTrust Record")</f>
        <v>HathiTrust Record</v>
      </c>
      <c r="AU17" s="5" t="str">
        <f>HYPERLINK("https://creighton-primo.hosted.exlibrisgroup.com/primo-explore/search?tab=default_tab&amp;search_scope=EVERYTHING&amp;vid=01CRU&amp;lang=en_US&amp;offset=0&amp;query=any,contains,991000985119702656","Catalog Record")</f>
        <v>Catalog Record</v>
      </c>
      <c r="AV17" s="5" t="str">
        <f>HYPERLINK("http://www.worldcat.org/oclc/5726518","WorldCat Record")</f>
        <v>WorldCat Record</v>
      </c>
      <c r="AW17" s="2" t="s">
        <v>227</v>
      </c>
      <c r="AX17" s="2" t="s">
        <v>228</v>
      </c>
      <c r="AY17" s="2" t="s">
        <v>229</v>
      </c>
      <c r="AZ17" s="2" t="s">
        <v>229</v>
      </c>
      <c r="BA17" s="2" t="s">
        <v>230</v>
      </c>
      <c r="BB17" s="2" t="s">
        <v>21</v>
      </c>
      <c r="BD17" s="2" t="s">
        <v>231</v>
      </c>
      <c r="BE17" s="2" t="s">
        <v>232</v>
      </c>
      <c r="BF17" s="2" t="s">
        <v>233</v>
      </c>
    </row>
    <row r="18" spans="1:58" ht="42.75" customHeight="1" x14ac:dyDescent="0.25">
      <c r="A18" s="8" t="s">
        <v>8</v>
      </c>
      <c r="B18" s="1" t="s">
        <v>0</v>
      </c>
      <c r="C18" s="1" t="s">
        <v>1</v>
      </c>
      <c r="D18" s="1" t="s">
        <v>234</v>
      </c>
      <c r="E18" s="1" t="s">
        <v>235</v>
      </c>
      <c r="F18" s="1" t="s">
        <v>236</v>
      </c>
      <c r="G18" s="2" t="s">
        <v>237</v>
      </c>
      <c r="H18" s="2" t="s">
        <v>8</v>
      </c>
      <c r="I18" s="2" t="s">
        <v>7</v>
      </c>
      <c r="J18" s="2" t="s">
        <v>8</v>
      </c>
      <c r="K18" s="2" t="s">
        <v>8</v>
      </c>
      <c r="L18" s="2" t="s">
        <v>9</v>
      </c>
      <c r="N18" s="1" t="s">
        <v>223</v>
      </c>
      <c r="O18" s="2" t="s">
        <v>224</v>
      </c>
      <c r="Q18" s="2" t="s">
        <v>12</v>
      </c>
      <c r="R18" s="2" t="s">
        <v>34</v>
      </c>
      <c r="S18" s="1" t="s">
        <v>238</v>
      </c>
      <c r="T18" s="2" t="s">
        <v>14</v>
      </c>
      <c r="U18" s="3">
        <v>1</v>
      </c>
      <c r="V18" s="3">
        <v>1</v>
      </c>
      <c r="W18" s="4" t="s">
        <v>239</v>
      </c>
      <c r="X18" s="4" t="s">
        <v>239</v>
      </c>
      <c r="Y18" s="4" t="s">
        <v>86</v>
      </c>
      <c r="Z18" s="4" t="s">
        <v>86</v>
      </c>
      <c r="AA18" s="3">
        <v>152</v>
      </c>
      <c r="AB18" s="3">
        <v>121</v>
      </c>
      <c r="AC18" s="3">
        <v>123</v>
      </c>
      <c r="AD18" s="3">
        <v>3</v>
      </c>
      <c r="AE18" s="3">
        <v>3</v>
      </c>
      <c r="AF18" s="3">
        <v>6</v>
      </c>
      <c r="AG18" s="3">
        <v>6</v>
      </c>
      <c r="AH18" s="3">
        <v>3</v>
      </c>
      <c r="AI18" s="3">
        <v>3</v>
      </c>
      <c r="AJ18" s="3">
        <v>1</v>
      </c>
      <c r="AK18" s="3">
        <v>1</v>
      </c>
      <c r="AL18" s="3">
        <v>2</v>
      </c>
      <c r="AM18" s="3">
        <v>2</v>
      </c>
      <c r="AN18" s="3">
        <v>2</v>
      </c>
      <c r="AO18" s="3">
        <v>2</v>
      </c>
      <c r="AP18" s="3">
        <v>0</v>
      </c>
      <c r="AQ18" s="3">
        <v>0</v>
      </c>
      <c r="AR18" s="2" t="s">
        <v>8</v>
      </c>
      <c r="AS18" s="2" t="s">
        <v>6</v>
      </c>
      <c r="AT18" s="5" t="str">
        <f>HYPERLINK("http://catalog.hathitrust.org/Record/000700792","HathiTrust Record")</f>
        <v>HathiTrust Record</v>
      </c>
      <c r="AU18" s="5" t="str">
        <f>HYPERLINK("https://creighton-primo.hosted.exlibrisgroup.com/primo-explore/search?tab=default_tab&amp;search_scope=EVERYTHING&amp;vid=01CRU&amp;lang=en_US&amp;offset=0&amp;query=any,contains,991000985199702656","Catalog Record")</f>
        <v>Catalog Record</v>
      </c>
      <c r="AV18" s="5" t="str">
        <f>HYPERLINK("http://www.worldcat.org/oclc/6487928","WorldCat Record")</f>
        <v>WorldCat Record</v>
      </c>
      <c r="AW18" s="2" t="s">
        <v>240</v>
      </c>
      <c r="AX18" s="2" t="s">
        <v>241</v>
      </c>
      <c r="AY18" s="2" t="s">
        <v>242</v>
      </c>
      <c r="AZ18" s="2" t="s">
        <v>242</v>
      </c>
      <c r="BA18" s="2" t="s">
        <v>243</v>
      </c>
      <c r="BB18" s="2" t="s">
        <v>21</v>
      </c>
      <c r="BD18" s="2" t="s">
        <v>244</v>
      </c>
      <c r="BE18" s="2" t="s">
        <v>245</v>
      </c>
      <c r="BF18" s="2" t="s">
        <v>246</v>
      </c>
    </row>
    <row r="19" spans="1:58" ht="42.75" customHeight="1" x14ac:dyDescent="0.25">
      <c r="A19" s="8" t="s">
        <v>8</v>
      </c>
      <c r="B19" s="1" t="s">
        <v>0</v>
      </c>
      <c r="C19" s="1" t="s">
        <v>1</v>
      </c>
      <c r="D19" s="1" t="s">
        <v>247</v>
      </c>
      <c r="E19" s="1" t="s">
        <v>248</v>
      </c>
      <c r="F19" s="1" t="s">
        <v>249</v>
      </c>
      <c r="G19" s="2" t="s">
        <v>250</v>
      </c>
      <c r="H19" s="2" t="s">
        <v>8</v>
      </c>
      <c r="I19" s="2" t="s">
        <v>7</v>
      </c>
      <c r="J19" s="2" t="s">
        <v>8</v>
      </c>
      <c r="K19" s="2" t="s">
        <v>8</v>
      </c>
      <c r="L19" s="2" t="s">
        <v>9</v>
      </c>
      <c r="N19" s="1" t="s">
        <v>251</v>
      </c>
      <c r="O19" s="2" t="s">
        <v>252</v>
      </c>
      <c r="Q19" s="2" t="s">
        <v>12</v>
      </c>
      <c r="R19" s="2" t="s">
        <v>34</v>
      </c>
      <c r="S19" s="1" t="s">
        <v>253</v>
      </c>
      <c r="T19" s="2" t="s">
        <v>14</v>
      </c>
      <c r="U19" s="3">
        <v>1</v>
      </c>
      <c r="V19" s="3">
        <v>1</v>
      </c>
      <c r="W19" s="4" t="s">
        <v>239</v>
      </c>
      <c r="X19" s="4" t="s">
        <v>239</v>
      </c>
      <c r="Y19" s="4" t="s">
        <v>86</v>
      </c>
      <c r="Z19" s="4" t="s">
        <v>86</v>
      </c>
      <c r="AA19" s="3">
        <v>139</v>
      </c>
      <c r="AB19" s="3">
        <v>111</v>
      </c>
      <c r="AC19" s="3">
        <v>114</v>
      </c>
      <c r="AD19" s="3">
        <v>1</v>
      </c>
      <c r="AE19" s="3">
        <v>2</v>
      </c>
      <c r="AF19" s="3">
        <v>2</v>
      </c>
      <c r="AG19" s="3">
        <v>3</v>
      </c>
      <c r="AH19" s="3">
        <v>1</v>
      </c>
      <c r="AI19" s="3">
        <v>1</v>
      </c>
      <c r="AJ19" s="3">
        <v>1</v>
      </c>
      <c r="AK19" s="3">
        <v>1</v>
      </c>
      <c r="AL19" s="3">
        <v>2</v>
      </c>
      <c r="AM19" s="3">
        <v>2</v>
      </c>
      <c r="AN19" s="3">
        <v>0</v>
      </c>
      <c r="AO19" s="3">
        <v>1</v>
      </c>
      <c r="AP19" s="3">
        <v>0</v>
      </c>
      <c r="AQ19" s="3">
        <v>0</v>
      </c>
      <c r="AR19" s="2" t="s">
        <v>8</v>
      </c>
      <c r="AS19" s="2" t="s">
        <v>6</v>
      </c>
      <c r="AT19" s="5" t="str">
        <f>HYPERLINK("http://catalog.hathitrust.org/Record/000143245","HathiTrust Record")</f>
        <v>HathiTrust Record</v>
      </c>
      <c r="AU19" s="5" t="str">
        <f>HYPERLINK("https://creighton-primo.hosted.exlibrisgroup.com/primo-explore/search?tab=default_tab&amp;search_scope=EVERYTHING&amp;vid=01CRU&amp;lang=en_US&amp;offset=0&amp;query=any,contains,991000985299702656","Catalog Record")</f>
        <v>Catalog Record</v>
      </c>
      <c r="AV19" s="5" t="str">
        <f>HYPERLINK("http://www.worldcat.org/oclc/7328213","WorldCat Record")</f>
        <v>WorldCat Record</v>
      </c>
      <c r="AW19" s="2" t="s">
        <v>254</v>
      </c>
      <c r="AX19" s="2" t="s">
        <v>255</v>
      </c>
      <c r="AY19" s="2" t="s">
        <v>256</v>
      </c>
      <c r="AZ19" s="2" t="s">
        <v>256</v>
      </c>
      <c r="BA19" s="2" t="s">
        <v>257</v>
      </c>
      <c r="BB19" s="2" t="s">
        <v>21</v>
      </c>
      <c r="BD19" s="2" t="s">
        <v>258</v>
      </c>
      <c r="BE19" s="2" t="s">
        <v>259</v>
      </c>
      <c r="BF19" s="2" t="s">
        <v>260</v>
      </c>
    </row>
    <row r="20" spans="1:58" ht="42.75" customHeight="1" x14ac:dyDescent="0.25">
      <c r="A20" s="8" t="s">
        <v>8</v>
      </c>
      <c r="B20" s="1" t="s">
        <v>0</v>
      </c>
      <c r="C20" s="1" t="s">
        <v>1</v>
      </c>
      <c r="D20" s="1" t="s">
        <v>261</v>
      </c>
      <c r="E20" s="1" t="s">
        <v>262</v>
      </c>
      <c r="F20" s="1" t="s">
        <v>263</v>
      </c>
      <c r="G20" s="2" t="s">
        <v>264</v>
      </c>
      <c r="H20" s="2" t="s">
        <v>8</v>
      </c>
      <c r="I20" s="2" t="s">
        <v>7</v>
      </c>
      <c r="J20" s="2" t="s">
        <v>8</v>
      </c>
      <c r="K20" s="2" t="s">
        <v>8</v>
      </c>
      <c r="L20" s="2" t="s">
        <v>9</v>
      </c>
      <c r="N20" s="1" t="s">
        <v>265</v>
      </c>
      <c r="O20" s="2" t="s">
        <v>266</v>
      </c>
      <c r="Q20" s="2" t="s">
        <v>12</v>
      </c>
      <c r="R20" s="2" t="s">
        <v>267</v>
      </c>
      <c r="S20" s="1" t="s">
        <v>268</v>
      </c>
      <c r="T20" s="2" t="s">
        <v>14</v>
      </c>
      <c r="U20" s="3">
        <v>4</v>
      </c>
      <c r="V20" s="3">
        <v>4</v>
      </c>
      <c r="W20" s="4" t="s">
        <v>269</v>
      </c>
      <c r="X20" s="4" t="s">
        <v>269</v>
      </c>
      <c r="Y20" s="4" t="s">
        <v>270</v>
      </c>
      <c r="Z20" s="4" t="s">
        <v>270</v>
      </c>
      <c r="AA20" s="3">
        <v>261</v>
      </c>
      <c r="AB20" s="3">
        <v>211</v>
      </c>
      <c r="AC20" s="3">
        <v>218</v>
      </c>
      <c r="AD20" s="3">
        <v>2</v>
      </c>
      <c r="AE20" s="3">
        <v>2</v>
      </c>
      <c r="AF20" s="3">
        <v>12</v>
      </c>
      <c r="AG20" s="3">
        <v>12</v>
      </c>
      <c r="AH20" s="3">
        <v>2</v>
      </c>
      <c r="AI20" s="3">
        <v>2</v>
      </c>
      <c r="AJ20" s="3">
        <v>4</v>
      </c>
      <c r="AK20" s="3">
        <v>4</v>
      </c>
      <c r="AL20" s="3">
        <v>8</v>
      </c>
      <c r="AM20" s="3">
        <v>8</v>
      </c>
      <c r="AN20" s="3">
        <v>1</v>
      </c>
      <c r="AO20" s="3">
        <v>1</v>
      </c>
      <c r="AP20" s="3">
        <v>1</v>
      </c>
      <c r="AQ20" s="3">
        <v>1</v>
      </c>
      <c r="AR20" s="2" t="s">
        <v>8</v>
      </c>
      <c r="AS20" s="2" t="s">
        <v>6</v>
      </c>
      <c r="AT20" s="5" t="str">
        <f>HYPERLINK("http://catalog.hathitrust.org/Record/000158436","HathiTrust Record")</f>
        <v>HathiTrust Record</v>
      </c>
      <c r="AU20" s="5" t="str">
        <f>HYPERLINK("https://creighton-primo.hosted.exlibrisgroup.com/primo-explore/search?tab=default_tab&amp;search_scope=EVERYTHING&amp;vid=01CRU&amp;lang=en_US&amp;offset=0&amp;query=any,contains,991000985429702656","Catalog Record")</f>
        <v>Catalog Record</v>
      </c>
      <c r="AV20" s="5" t="str">
        <f>HYPERLINK("http://www.worldcat.org/oclc/9556403","WorldCat Record")</f>
        <v>WorldCat Record</v>
      </c>
      <c r="AW20" s="2" t="s">
        <v>271</v>
      </c>
      <c r="AX20" s="2" t="s">
        <v>272</v>
      </c>
      <c r="AY20" s="2" t="s">
        <v>273</v>
      </c>
      <c r="AZ20" s="2" t="s">
        <v>273</v>
      </c>
      <c r="BA20" s="2" t="s">
        <v>274</v>
      </c>
      <c r="BB20" s="2" t="s">
        <v>21</v>
      </c>
      <c r="BD20" s="2" t="s">
        <v>275</v>
      </c>
      <c r="BE20" s="2" t="s">
        <v>276</v>
      </c>
      <c r="BF20" s="2" t="s">
        <v>277</v>
      </c>
    </row>
    <row r="21" spans="1:58" ht="42.75" customHeight="1" x14ac:dyDescent="0.25">
      <c r="A21" s="8" t="s">
        <v>8</v>
      </c>
      <c r="B21" s="1" t="s">
        <v>0</v>
      </c>
      <c r="C21" s="1" t="s">
        <v>1</v>
      </c>
      <c r="D21" s="1" t="s">
        <v>278</v>
      </c>
      <c r="E21" s="1" t="s">
        <v>279</v>
      </c>
      <c r="F21" s="1" t="s">
        <v>280</v>
      </c>
      <c r="G21" s="2" t="s">
        <v>281</v>
      </c>
      <c r="H21" s="2" t="s">
        <v>8</v>
      </c>
      <c r="I21" s="2" t="s">
        <v>7</v>
      </c>
      <c r="J21" s="2" t="s">
        <v>8</v>
      </c>
      <c r="K21" s="2" t="s">
        <v>8</v>
      </c>
      <c r="L21" s="2" t="s">
        <v>9</v>
      </c>
      <c r="M21" s="1" t="s">
        <v>282</v>
      </c>
      <c r="N21" s="1" t="s">
        <v>283</v>
      </c>
      <c r="O21" s="2" t="s">
        <v>67</v>
      </c>
      <c r="Q21" s="2" t="s">
        <v>12</v>
      </c>
      <c r="R21" s="2" t="s">
        <v>34</v>
      </c>
      <c r="S21" s="1" t="s">
        <v>284</v>
      </c>
      <c r="T21" s="2" t="s">
        <v>14</v>
      </c>
      <c r="U21" s="3">
        <v>22</v>
      </c>
      <c r="V21" s="3">
        <v>22</v>
      </c>
      <c r="W21" s="4" t="s">
        <v>285</v>
      </c>
      <c r="X21" s="4" t="s">
        <v>285</v>
      </c>
      <c r="Y21" s="4" t="s">
        <v>86</v>
      </c>
      <c r="Z21" s="4" t="s">
        <v>86</v>
      </c>
      <c r="AA21" s="3">
        <v>172</v>
      </c>
      <c r="AB21" s="3">
        <v>141</v>
      </c>
      <c r="AC21" s="3">
        <v>147</v>
      </c>
      <c r="AD21" s="3">
        <v>1</v>
      </c>
      <c r="AE21" s="3">
        <v>1</v>
      </c>
      <c r="AF21" s="3">
        <v>4</v>
      </c>
      <c r="AG21" s="3">
        <v>4</v>
      </c>
      <c r="AH21" s="3">
        <v>1</v>
      </c>
      <c r="AI21" s="3">
        <v>1</v>
      </c>
      <c r="AJ21" s="3">
        <v>2</v>
      </c>
      <c r="AK21" s="3">
        <v>2</v>
      </c>
      <c r="AL21" s="3">
        <v>3</v>
      </c>
      <c r="AM21" s="3">
        <v>3</v>
      </c>
      <c r="AN21" s="3">
        <v>0</v>
      </c>
      <c r="AO21" s="3">
        <v>0</v>
      </c>
      <c r="AP21" s="3">
        <v>0</v>
      </c>
      <c r="AQ21" s="3">
        <v>0</v>
      </c>
      <c r="AR21" s="2" t="s">
        <v>8</v>
      </c>
      <c r="AS21" s="2" t="s">
        <v>6</v>
      </c>
      <c r="AT21" s="5" t="str">
        <f>HYPERLINK("http://catalog.hathitrust.org/Record/000422369","HathiTrust Record")</f>
        <v>HathiTrust Record</v>
      </c>
      <c r="AU21" s="5" t="str">
        <f>HYPERLINK("https://creighton-primo.hosted.exlibrisgroup.com/primo-explore/search?tab=default_tab&amp;search_scope=EVERYTHING&amp;vid=01CRU&amp;lang=en_US&amp;offset=0&amp;query=any,contains,991000985659702656","Catalog Record")</f>
        <v>Catalog Record</v>
      </c>
      <c r="AV21" s="5" t="str">
        <f>HYPERLINK("http://www.worldcat.org/oclc/12418619","WorldCat Record")</f>
        <v>WorldCat Record</v>
      </c>
      <c r="AW21" s="2" t="s">
        <v>286</v>
      </c>
      <c r="AX21" s="2" t="s">
        <v>287</v>
      </c>
      <c r="AY21" s="2" t="s">
        <v>288</v>
      </c>
      <c r="AZ21" s="2" t="s">
        <v>288</v>
      </c>
      <c r="BA21" s="2" t="s">
        <v>289</v>
      </c>
      <c r="BB21" s="2" t="s">
        <v>21</v>
      </c>
      <c r="BD21" s="2" t="s">
        <v>290</v>
      </c>
      <c r="BE21" s="2" t="s">
        <v>291</v>
      </c>
      <c r="BF21" s="2" t="s">
        <v>292</v>
      </c>
    </row>
    <row r="22" spans="1:58" ht="42.75" customHeight="1" x14ac:dyDescent="0.25">
      <c r="A22" s="8" t="s">
        <v>8</v>
      </c>
      <c r="B22" s="1" t="s">
        <v>0</v>
      </c>
      <c r="C22" s="1" t="s">
        <v>1</v>
      </c>
      <c r="D22" s="1" t="s">
        <v>293</v>
      </c>
      <c r="E22" s="1" t="s">
        <v>294</v>
      </c>
      <c r="F22" s="1" t="s">
        <v>295</v>
      </c>
      <c r="G22" s="2" t="s">
        <v>296</v>
      </c>
      <c r="H22" s="2" t="s">
        <v>8</v>
      </c>
      <c r="I22" s="2" t="s">
        <v>7</v>
      </c>
      <c r="J22" s="2" t="s">
        <v>8</v>
      </c>
      <c r="K22" s="2" t="s">
        <v>8</v>
      </c>
      <c r="L22" s="2" t="s">
        <v>9</v>
      </c>
      <c r="N22" s="1" t="s">
        <v>297</v>
      </c>
      <c r="O22" s="2" t="s">
        <v>298</v>
      </c>
      <c r="Q22" s="2" t="s">
        <v>12</v>
      </c>
      <c r="R22" s="2" t="s">
        <v>34</v>
      </c>
      <c r="S22" s="1" t="s">
        <v>299</v>
      </c>
      <c r="T22" s="2" t="s">
        <v>14</v>
      </c>
      <c r="U22" s="3">
        <v>1</v>
      </c>
      <c r="V22" s="3">
        <v>1</v>
      </c>
      <c r="W22" s="4" t="s">
        <v>300</v>
      </c>
      <c r="X22" s="4" t="s">
        <v>300</v>
      </c>
      <c r="Y22" s="4" t="s">
        <v>301</v>
      </c>
      <c r="Z22" s="4" t="s">
        <v>301</v>
      </c>
      <c r="AA22" s="3">
        <v>134</v>
      </c>
      <c r="AB22" s="3">
        <v>114</v>
      </c>
      <c r="AC22" s="3">
        <v>118</v>
      </c>
      <c r="AD22" s="3">
        <v>2</v>
      </c>
      <c r="AE22" s="3">
        <v>2</v>
      </c>
      <c r="AF22" s="3">
        <v>3</v>
      </c>
      <c r="AG22" s="3">
        <v>3</v>
      </c>
      <c r="AH22" s="3">
        <v>1</v>
      </c>
      <c r="AI22" s="3">
        <v>1</v>
      </c>
      <c r="AJ22" s="3">
        <v>0</v>
      </c>
      <c r="AK22" s="3">
        <v>0</v>
      </c>
      <c r="AL22" s="3">
        <v>2</v>
      </c>
      <c r="AM22" s="3">
        <v>2</v>
      </c>
      <c r="AN22" s="3">
        <v>1</v>
      </c>
      <c r="AO22" s="3">
        <v>1</v>
      </c>
      <c r="AP22" s="3">
        <v>0</v>
      </c>
      <c r="AQ22" s="3">
        <v>0</v>
      </c>
      <c r="AR22" s="2" t="s">
        <v>8</v>
      </c>
      <c r="AS22" s="2" t="s">
        <v>6</v>
      </c>
      <c r="AT22" s="5" t="str">
        <f>HYPERLINK("http://catalog.hathitrust.org/Record/000852566","HathiTrust Record")</f>
        <v>HathiTrust Record</v>
      </c>
      <c r="AU22" s="5" t="str">
        <f>HYPERLINK("https://creighton-primo.hosted.exlibrisgroup.com/primo-explore/search?tab=default_tab&amp;search_scope=EVERYTHING&amp;vid=01CRU&amp;lang=en_US&amp;offset=0&amp;query=any,contains,991001535489702656","Catalog Record")</f>
        <v>Catalog Record</v>
      </c>
      <c r="AV22" s="5" t="str">
        <f>HYPERLINK("http://www.worldcat.org/oclc/15222407","WorldCat Record")</f>
        <v>WorldCat Record</v>
      </c>
      <c r="AW22" s="2" t="s">
        <v>302</v>
      </c>
      <c r="AX22" s="2" t="s">
        <v>303</v>
      </c>
      <c r="AY22" s="2" t="s">
        <v>304</v>
      </c>
      <c r="AZ22" s="2" t="s">
        <v>304</v>
      </c>
      <c r="BA22" s="2" t="s">
        <v>305</v>
      </c>
      <c r="BB22" s="2" t="s">
        <v>21</v>
      </c>
      <c r="BD22" s="2" t="s">
        <v>306</v>
      </c>
      <c r="BE22" s="2" t="s">
        <v>307</v>
      </c>
      <c r="BF22" s="2" t="s">
        <v>308</v>
      </c>
    </row>
    <row r="23" spans="1:58" ht="42.75" customHeight="1" x14ac:dyDescent="0.25">
      <c r="A23" s="8" t="s">
        <v>8</v>
      </c>
      <c r="B23" s="1" t="s">
        <v>0</v>
      </c>
      <c r="C23" s="1" t="s">
        <v>1</v>
      </c>
      <c r="D23" s="1" t="s">
        <v>309</v>
      </c>
      <c r="E23" s="1" t="s">
        <v>310</v>
      </c>
      <c r="F23" s="1" t="s">
        <v>311</v>
      </c>
      <c r="G23" s="2" t="s">
        <v>312</v>
      </c>
      <c r="H23" s="2" t="s">
        <v>8</v>
      </c>
      <c r="I23" s="2" t="s">
        <v>7</v>
      </c>
      <c r="J23" s="2" t="s">
        <v>8</v>
      </c>
      <c r="K23" s="2" t="s">
        <v>8</v>
      </c>
      <c r="L23" s="2" t="s">
        <v>9</v>
      </c>
      <c r="M23" s="1" t="s">
        <v>313</v>
      </c>
      <c r="N23" s="1" t="s">
        <v>297</v>
      </c>
      <c r="O23" s="2" t="s">
        <v>298</v>
      </c>
      <c r="Q23" s="2" t="s">
        <v>12</v>
      </c>
      <c r="R23" s="2" t="s">
        <v>13</v>
      </c>
      <c r="S23" s="1" t="s">
        <v>314</v>
      </c>
      <c r="T23" s="2" t="s">
        <v>14</v>
      </c>
      <c r="U23" s="3">
        <v>3</v>
      </c>
      <c r="V23" s="3">
        <v>3</v>
      </c>
      <c r="W23" s="4" t="s">
        <v>315</v>
      </c>
      <c r="X23" s="4" t="s">
        <v>315</v>
      </c>
      <c r="Y23" s="4" t="s">
        <v>316</v>
      </c>
      <c r="Z23" s="4" t="s">
        <v>316</v>
      </c>
      <c r="AA23" s="3">
        <v>151</v>
      </c>
      <c r="AB23" s="3">
        <v>128</v>
      </c>
      <c r="AC23" s="3">
        <v>148</v>
      </c>
      <c r="AD23" s="3">
        <v>1</v>
      </c>
      <c r="AE23" s="3">
        <v>2</v>
      </c>
      <c r="AF23" s="3">
        <v>3</v>
      </c>
      <c r="AG23" s="3">
        <v>4</v>
      </c>
      <c r="AH23" s="3">
        <v>1</v>
      </c>
      <c r="AI23" s="3">
        <v>1</v>
      </c>
      <c r="AJ23" s="3">
        <v>1</v>
      </c>
      <c r="AK23" s="3">
        <v>1</v>
      </c>
      <c r="AL23" s="3">
        <v>2</v>
      </c>
      <c r="AM23" s="3">
        <v>2</v>
      </c>
      <c r="AN23" s="3">
        <v>0</v>
      </c>
      <c r="AO23" s="3">
        <v>1</v>
      </c>
      <c r="AP23" s="3">
        <v>0</v>
      </c>
      <c r="AQ23" s="3">
        <v>0</v>
      </c>
      <c r="AR23" s="2" t="s">
        <v>8</v>
      </c>
      <c r="AS23" s="2" t="s">
        <v>6</v>
      </c>
      <c r="AT23" s="5" t="str">
        <f>HYPERLINK("http://catalog.hathitrust.org/Record/000837231","HathiTrust Record")</f>
        <v>HathiTrust Record</v>
      </c>
      <c r="AU23" s="5" t="str">
        <f>HYPERLINK("https://creighton-primo.hosted.exlibrisgroup.com/primo-explore/search?tab=default_tab&amp;search_scope=EVERYTHING&amp;vid=01CRU&amp;lang=en_US&amp;offset=0&amp;query=any,contains,991001529809702656","Catalog Record")</f>
        <v>Catalog Record</v>
      </c>
      <c r="AV23" s="5" t="str">
        <f>HYPERLINK("http://www.worldcat.org/oclc/15486446","WorldCat Record")</f>
        <v>WorldCat Record</v>
      </c>
      <c r="AW23" s="2" t="s">
        <v>317</v>
      </c>
      <c r="AX23" s="2" t="s">
        <v>318</v>
      </c>
      <c r="AY23" s="2" t="s">
        <v>319</v>
      </c>
      <c r="AZ23" s="2" t="s">
        <v>319</v>
      </c>
      <c r="BA23" s="2" t="s">
        <v>320</v>
      </c>
      <c r="BB23" s="2" t="s">
        <v>21</v>
      </c>
      <c r="BD23" s="2" t="s">
        <v>321</v>
      </c>
      <c r="BE23" s="2" t="s">
        <v>322</v>
      </c>
      <c r="BF23" s="2" t="s">
        <v>323</v>
      </c>
    </row>
    <row r="24" spans="1:58" ht="42.75" customHeight="1" x14ac:dyDescent="0.25">
      <c r="A24" s="8" t="s">
        <v>8</v>
      </c>
      <c r="B24" s="1" t="s">
        <v>0</v>
      </c>
      <c r="C24" s="1" t="s">
        <v>1</v>
      </c>
      <c r="D24" s="1" t="s">
        <v>324</v>
      </c>
      <c r="E24" s="1" t="s">
        <v>325</v>
      </c>
      <c r="F24" s="1" t="s">
        <v>326</v>
      </c>
      <c r="G24" s="2" t="s">
        <v>327</v>
      </c>
      <c r="H24" s="2" t="s">
        <v>6</v>
      </c>
      <c r="I24" s="2" t="s">
        <v>7</v>
      </c>
      <c r="J24" s="2" t="s">
        <v>8</v>
      </c>
      <c r="K24" s="2" t="s">
        <v>8</v>
      </c>
      <c r="L24" s="2" t="s">
        <v>9</v>
      </c>
      <c r="M24" s="1" t="s">
        <v>328</v>
      </c>
      <c r="N24" s="1" t="s">
        <v>297</v>
      </c>
      <c r="O24" s="2" t="s">
        <v>298</v>
      </c>
      <c r="Q24" s="2" t="s">
        <v>12</v>
      </c>
      <c r="R24" s="2" t="s">
        <v>34</v>
      </c>
      <c r="S24" s="1" t="s">
        <v>329</v>
      </c>
      <c r="T24" s="2" t="s">
        <v>14</v>
      </c>
      <c r="U24" s="3">
        <v>2</v>
      </c>
      <c r="V24" s="3">
        <v>6</v>
      </c>
      <c r="W24" s="4" t="s">
        <v>330</v>
      </c>
      <c r="X24" s="4" t="s">
        <v>331</v>
      </c>
      <c r="Y24" s="4" t="s">
        <v>332</v>
      </c>
      <c r="Z24" s="4" t="s">
        <v>332</v>
      </c>
      <c r="AA24" s="3">
        <v>144</v>
      </c>
      <c r="AB24" s="3">
        <v>118</v>
      </c>
      <c r="AC24" s="3">
        <v>121</v>
      </c>
      <c r="AD24" s="3">
        <v>1</v>
      </c>
      <c r="AE24" s="3">
        <v>1</v>
      </c>
      <c r="AF24" s="3">
        <v>1</v>
      </c>
      <c r="AG24" s="3">
        <v>1</v>
      </c>
      <c r="AH24" s="3">
        <v>0</v>
      </c>
      <c r="AI24" s="3">
        <v>0</v>
      </c>
      <c r="AJ24" s="3">
        <v>0</v>
      </c>
      <c r="AK24" s="3">
        <v>0</v>
      </c>
      <c r="AL24" s="3">
        <v>1</v>
      </c>
      <c r="AM24" s="3">
        <v>1</v>
      </c>
      <c r="AN24" s="3">
        <v>0</v>
      </c>
      <c r="AO24" s="3">
        <v>0</v>
      </c>
      <c r="AP24" s="3">
        <v>0</v>
      </c>
      <c r="AQ24" s="3">
        <v>0</v>
      </c>
      <c r="AR24" s="2" t="s">
        <v>8</v>
      </c>
      <c r="AS24" s="2" t="s">
        <v>6</v>
      </c>
      <c r="AT24" s="5" t="str">
        <f>HYPERLINK("http://catalog.hathitrust.org/Record/000833249","HathiTrust Record")</f>
        <v>HathiTrust Record</v>
      </c>
      <c r="AU24" s="5" t="str">
        <f>HYPERLINK("https://creighton-primo.hosted.exlibrisgroup.com/primo-explore/search?tab=default_tab&amp;search_scope=EVERYTHING&amp;vid=01CRU&amp;lang=en_US&amp;offset=0&amp;query=any,contains,991001531179702656","Catalog Record")</f>
        <v>Catalog Record</v>
      </c>
      <c r="AV24" s="5" t="str">
        <f>HYPERLINK("http://www.worldcat.org/oclc/15518547","WorldCat Record")</f>
        <v>WorldCat Record</v>
      </c>
      <c r="AW24" s="2" t="s">
        <v>333</v>
      </c>
      <c r="AX24" s="2" t="s">
        <v>334</v>
      </c>
      <c r="AY24" s="2" t="s">
        <v>335</v>
      </c>
      <c r="AZ24" s="2" t="s">
        <v>335</v>
      </c>
      <c r="BA24" s="2" t="s">
        <v>336</v>
      </c>
      <c r="BB24" s="2" t="s">
        <v>21</v>
      </c>
      <c r="BD24" s="2" t="s">
        <v>337</v>
      </c>
      <c r="BE24" s="2" t="s">
        <v>338</v>
      </c>
      <c r="BF24" s="2" t="s">
        <v>339</v>
      </c>
    </row>
    <row r="25" spans="1:58" ht="42.75" customHeight="1" x14ac:dyDescent="0.25">
      <c r="A25" s="8" t="s">
        <v>8</v>
      </c>
      <c r="B25" s="1" t="s">
        <v>0</v>
      </c>
      <c r="C25" s="1" t="s">
        <v>1</v>
      </c>
      <c r="D25" s="1" t="s">
        <v>324</v>
      </c>
      <c r="E25" s="1" t="s">
        <v>325</v>
      </c>
      <c r="F25" s="1" t="s">
        <v>326</v>
      </c>
      <c r="G25" s="2" t="s">
        <v>340</v>
      </c>
      <c r="H25" s="2" t="s">
        <v>6</v>
      </c>
      <c r="I25" s="2" t="s">
        <v>7</v>
      </c>
      <c r="J25" s="2" t="s">
        <v>8</v>
      </c>
      <c r="K25" s="2" t="s">
        <v>8</v>
      </c>
      <c r="L25" s="2" t="s">
        <v>9</v>
      </c>
      <c r="M25" s="1" t="s">
        <v>328</v>
      </c>
      <c r="N25" s="1" t="s">
        <v>297</v>
      </c>
      <c r="O25" s="2" t="s">
        <v>298</v>
      </c>
      <c r="Q25" s="2" t="s">
        <v>12</v>
      </c>
      <c r="R25" s="2" t="s">
        <v>34</v>
      </c>
      <c r="S25" s="1" t="s">
        <v>329</v>
      </c>
      <c r="T25" s="2" t="s">
        <v>14</v>
      </c>
      <c r="U25" s="3">
        <v>4</v>
      </c>
      <c r="V25" s="3">
        <v>6</v>
      </c>
      <c r="W25" s="4" t="s">
        <v>331</v>
      </c>
      <c r="X25" s="4" t="s">
        <v>331</v>
      </c>
      <c r="Y25" s="4" t="s">
        <v>332</v>
      </c>
      <c r="Z25" s="4" t="s">
        <v>332</v>
      </c>
      <c r="AA25" s="3">
        <v>144</v>
      </c>
      <c r="AB25" s="3">
        <v>118</v>
      </c>
      <c r="AC25" s="3">
        <v>121</v>
      </c>
      <c r="AD25" s="3">
        <v>1</v>
      </c>
      <c r="AE25" s="3">
        <v>1</v>
      </c>
      <c r="AF25" s="3">
        <v>1</v>
      </c>
      <c r="AG25" s="3">
        <v>1</v>
      </c>
      <c r="AH25" s="3">
        <v>0</v>
      </c>
      <c r="AI25" s="3">
        <v>0</v>
      </c>
      <c r="AJ25" s="3">
        <v>0</v>
      </c>
      <c r="AK25" s="3">
        <v>0</v>
      </c>
      <c r="AL25" s="3">
        <v>1</v>
      </c>
      <c r="AM25" s="3">
        <v>1</v>
      </c>
      <c r="AN25" s="3">
        <v>0</v>
      </c>
      <c r="AO25" s="3">
        <v>0</v>
      </c>
      <c r="AP25" s="3">
        <v>0</v>
      </c>
      <c r="AQ25" s="3">
        <v>0</v>
      </c>
      <c r="AR25" s="2" t="s">
        <v>8</v>
      </c>
      <c r="AS25" s="2" t="s">
        <v>6</v>
      </c>
      <c r="AT25" s="5" t="str">
        <f>HYPERLINK("http://catalog.hathitrust.org/Record/000833249","HathiTrust Record")</f>
        <v>HathiTrust Record</v>
      </c>
      <c r="AU25" s="5" t="str">
        <f>HYPERLINK("https://creighton-primo.hosted.exlibrisgroup.com/primo-explore/search?tab=default_tab&amp;search_scope=EVERYTHING&amp;vid=01CRU&amp;lang=en_US&amp;offset=0&amp;query=any,contains,991001531179702656","Catalog Record")</f>
        <v>Catalog Record</v>
      </c>
      <c r="AV25" s="5" t="str">
        <f>HYPERLINK("http://www.worldcat.org/oclc/15518547","WorldCat Record")</f>
        <v>WorldCat Record</v>
      </c>
      <c r="AW25" s="2" t="s">
        <v>333</v>
      </c>
      <c r="AX25" s="2" t="s">
        <v>334</v>
      </c>
      <c r="AY25" s="2" t="s">
        <v>335</v>
      </c>
      <c r="AZ25" s="2" t="s">
        <v>335</v>
      </c>
      <c r="BA25" s="2" t="s">
        <v>336</v>
      </c>
      <c r="BB25" s="2" t="s">
        <v>21</v>
      </c>
      <c r="BD25" s="2" t="s">
        <v>337</v>
      </c>
      <c r="BE25" s="2" t="s">
        <v>341</v>
      </c>
      <c r="BF25" s="2" t="s">
        <v>342</v>
      </c>
    </row>
    <row r="26" spans="1:58" ht="42.75" customHeight="1" x14ac:dyDescent="0.25">
      <c r="A26" s="8" t="s">
        <v>8</v>
      </c>
      <c r="B26" s="1" t="s">
        <v>0</v>
      </c>
      <c r="C26" s="1" t="s">
        <v>1</v>
      </c>
      <c r="D26" s="1" t="s">
        <v>343</v>
      </c>
      <c r="E26" s="1" t="s">
        <v>344</v>
      </c>
      <c r="F26" s="1" t="s">
        <v>345</v>
      </c>
      <c r="G26" s="2" t="s">
        <v>346</v>
      </c>
      <c r="H26" s="2" t="s">
        <v>8</v>
      </c>
      <c r="I26" s="2" t="s">
        <v>7</v>
      </c>
      <c r="J26" s="2" t="s">
        <v>8</v>
      </c>
      <c r="K26" s="2" t="s">
        <v>8</v>
      </c>
      <c r="L26" s="2" t="s">
        <v>9</v>
      </c>
      <c r="M26" s="1" t="s">
        <v>347</v>
      </c>
      <c r="N26" s="1" t="s">
        <v>348</v>
      </c>
      <c r="O26" s="2" t="s">
        <v>51</v>
      </c>
      <c r="Q26" s="2" t="s">
        <v>12</v>
      </c>
      <c r="R26" s="2" t="s">
        <v>34</v>
      </c>
      <c r="S26" s="1" t="s">
        <v>349</v>
      </c>
      <c r="T26" s="2" t="s">
        <v>14</v>
      </c>
      <c r="U26" s="3">
        <v>3</v>
      </c>
      <c r="V26" s="3">
        <v>3</v>
      </c>
      <c r="W26" s="4" t="s">
        <v>350</v>
      </c>
      <c r="X26" s="4" t="s">
        <v>350</v>
      </c>
      <c r="Y26" s="4" t="s">
        <v>351</v>
      </c>
      <c r="Z26" s="4" t="s">
        <v>351</v>
      </c>
      <c r="AA26" s="3">
        <v>152</v>
      </c>
      <c r="AB26" s="3">
        <v>130</v>
      </c>
      <c r="AC26" s="3">
        <v>132</v>
      </c>
      <c r="AD26" s="3">
        <v>1</v>
      </c>
      <c r="AE26" s="3">
        <v>1</v>
      </c>
      <c r="AF26" s="3">
        <v>3</v>
      </c>
      <c r="AG26" s="3">
        <v>3</v>
      </c>
      <c r="AH26" s="3">
        <v>1</v>
      </c>
      <c r="AI26" s="3">
        <v>1</v>
      </c>
      <c r="AJ26" s="3">
        <v>0</v>
      </c>
      <c r="AK26" s="3">
        <v>0</v>
      </c>
      <c r="AL26" s="3">
        <v>3</v>
      </c>
      <c r="AM26" s="3">
        <v>3</v>
      </c>
      <c r="AN26" s="3">
        <v>0</v>
      </c>
      <c r="AO26" s="3">
        <v>0</v>
      </c>
      <c r="AP26" s="3">
        <v>0</v>
      </c>
      <c r="AQ26" s="3">
        <v>0</v>
      </c>
      <c r="AR26" s="2" t="s">
        <v>8</v>
      </c>
      <c r="AS26" s="2" t="s">
        <v>6</v>
      </c>
      <c r="AT26" s="5" t="str">
        <f>HYPERLINK("http://catalog.hathitrust.org/Record/000951699","HathiTrust Record")</f>
        <v>HathiTrust Record</v>
      </c>
      <c r="AU26" s="5" t="str">
        <f>HYPERLINK("https://creighton-primo.hosted.exlibrisgroup.com/primo-explore/search?tab=default_tab&amp;search_scope=EVERYTHING&amp;vid=01CRU&amp;lang=en_US&amp;offset=0&amp;query=any,contains,991001244779702656","Catalog Record")</f>
        <v>Catalog Record</v>
      </c>
      <c r="AV26" s="5" t="str">
        <f>HYPERLINK("http://www.worldcat.org/oclc/17484164","WorldCat Record")</f>
        <v>WorldCat Record</v>
      </c>
      <c r="AW26" s="2" t="s">
        <v>352</v>
      </c>
      <c r="AX26" s="2" t="s">
        <v>353</v>
      </c>
      <c r="AY26" s="2" t="s">
        <v>354</v>
      </c>
      <c r="AZ26" s="2" t="s">
        <v>354</v>
      </c>
      <c r="BA26" s="2" t="s">
        <v>355</v>
      </c>
      <c r="BB26" s="2" t="s">
        <v>21</v>
      </c>
      <c r="BD26" s="2" t="s">
        <v>356</v>
      </c>
      <c r="BE26" s="2" t="s">
        <v>357</v>
      </c>
      <c r="BF26" s="2" t="s">
        <v>358</v>
      </c>
    </row>
    <row r="27" spans="1:58" ht="42.75" customHeight="1" x14ac:dyDescent="0.25">
      <c r="A27" s="8" t="s">
        <v>8</v>
      </c>
      <c r="B27" s="1" t="s">
        <v>0</v>
      </c>
      <c r="C27" s="1" t="s">
        <v>1</v>
      </c>
      <c r="D27" s="1" t="s">
        <v>359</v>
      </c>
      <c r="E27" s="1" t="s">
        <v>360</v>
      </c>
      <c r="F27" s="1" t="s">
        <v>361</v>
      </c>
      <c r="G27" s="2" t="s">
        <v>362</v>
      </c>
      <c r="H27" s="2" t="s">
        <v>8</v>
      </c>
      <c r="I27" s="2" t="s">
        <v>7</v>
      </c>
      <c r="J27" s="2" t="s">
        <v>8</v>
      </c>
      <c r="K27" s="2" t="s">
        <v>8</v>
      </c>
      <c r="L27" s="2" t="s">
        <v>9</v>
      </c>
      <c r="N27" s="1" t="s">
        <v>348</v>
      </c>
      <c r="O27" s="2" t="s">
        <v>51</v>
      </c>
      <c r="Q27" s="2" t="s">
        <v>12</v>
      </c>
      <c r="R27" s="2" t="s">
        <v>34</v>
      </c>
      <c r="S27" s="1" t="s">
        <v>363</v>
      </c>
      <c r="T27" s="2" t="s">
        <v>14</v>
      </c>
      <c r="U27" s="3">
        <v>4</v>
      </c>
      <c r="V27" s="3">
        <v>4</v>
      </c>
      <c r="W27" s="4" t="s">
        <v>364</v>
      </c>
      <c r="X27" s="4" t="s">
        <v>364</v>
      </c>
      <c r="Y27" s="4" t="s">
        <v>365</v>
      </c>
      <c r="Z27" s="4" t="s">
        <v>365</v>
      </c>
      <c r="AA27" s="3">
        <v>140</v>
      </c>
      <c r="AB27" s="3">
        <v>111</v>
      </c>
      <c r="AC27" s="3">
        <v>113</v>
      </c>
      <c r="AD27" s="3">
        <v>2</v>
      </c>
      <c r="AE27" s="3">
        <v>2</v>
      </c>
      <c r="AF27" s="3">
        <v>2</v>
      </c>
      <c r="AG27" s="3">
        <v>2</v>
      </c>
      <c r="AH27" s="3">
        <v>0</v>
      </c>
      <c r="AI27" s="3">
        <v>0</v>
      </c>
      <c r="AJ27" s="3">
        <v>0</v>
      </c>
      <c r="AK27" s="3">
        <v>0</v>
      </c>
      <c r="AL27" s="3">
        <v>1</v>
      </c>
      <c r="AM27" s="3">
        <v>1</v>
      </c>
      <c r="AN27" s="3">
        <v>1</v>
      </c>
      <c r="AO27" s="3">
        <v>1</v>
      </c>
      <c r="AP27" s="3">
        <v>0</v>
      </c>
      <c r="AQ27" s="3">
        <v>0</v>
      </c>
      <c r="AR27" s="2" t="s">
        <v>8</v>
      </c>
      <c r="AS27" s="2" t="s">
        <v>6</v>
      </c>
      <c r="AT27" s="5" t="str">
        <f>HYPERLINK("http://catalog.hathitrust.org/Record/000911941","HathiTrust Record")</f>
        <v>HathiTrust Record</v>
      </c>
      <c r="AU27" s="5" t="str">
        <f>HYPERLINK("https://creighton-primo.hosted.exlibrisgroup.com/primo-explore/search?tab=default_tab&amp;search_scope=EVERYTHING&amp;vid=01CRU&amp;lang=en_US&amp;offset=0&amp;query=any,contains,991001421299702656","Catalog Record")</f>
        <v>Catalog Record</v>
      </c>
      <c r="AV27" s="5" t="str">
        <f>HYPERLINK("http://www.worldcat.org/oclc/17265672","WorldCat Record")</f>
        <v>WorldCat Record</v>
      </c>
      <c r="AW27" s="2" t="s">
        <v>366</v>
      </c>
      <c r="AX27" s="2" t="s">
        <v>367</v>
      </c>
      <c r="AY27" s="2" t="s">
        <v>368</v>
      </c>
      <c r="AZ27" s="2" t="s">
        <v>368</v>
      </c>
      <c r="BA27" s="2" t="s">
        <v>369</v>
      </c>
      <c r="BB27" s="2" t="s">
        <v>21</v>
      </c>
      <c r="BD27" s="2" t="s">
        <v>370</v>
      </c>
      <c r="BE27" s="2" t="s">
        <v>371</v>
      </c>
      <c r="BF27" s="2" t="s">
        <v>372</v>
      </c>
    </row>
    <row r="28" spans="1:58" ht="42.75" customHeight="1" x14ac:dyDescent="0.25">
      <c r="A28" s="8" t="s">
        <v>8</v>
      </c>
      <c r="B28" s="1" t="s">
        <v>0</v>
      </c>
      <c r="C28" s="1" t="s">
        <v>1</v>
      </c>
      <c r="D28" s="1" t="s">
        <v>373</v>
      </c>
      <c r="E28" s="1" t="s">
        <v>374</v>
      </c>
      <c r="F28" s="1" t="s">
        <v>375</v>
      </c>
      <c r="G28" s="2" t="s">
        <v>376</v>
      </c>
      <c r="H28" s="2" t="s">
        <v>8</v>
      </c>
      <c r="I28" s="2" t="s">
        <v>7</v>
      </c>
      <c r="J28" s="2" t="s">
        <v>8</v>
      </c>
      <c r="K28" s="2" t="s">
        <v>8</v>
      </c>
      <c r="L28" s="2" t="s">
        <v>9</v>
      </c>
      <c r="M28" s="1" t="s">
        <v>377</v>
      </c>
      <c r="N28" s="1" t="s">
        <v>378</v>
      </c>
      <c r="O28" s="2" t="s">
        <v>51</v>
      </c>
      <c r="Q28" s="2" t="s">
        <v>12</v>
      </c>
      <c r="R28" s="2" t="s">
        <v>34</v>
      </c>
      <c r="S28" s="1" t="s">
        <v>379</v>
      </c>
      <c r="T28" s="2" t="s">
        <v>14</v>
      </c>
      <c r="U28" s="3">
        <v>3</v>
      </c>
      <c r="V28" s="3">
        <v>3</v>
      </c>
      <c r="W28" s="4" t="s">
        <v>380</v>
      </c>
      <c r="X28" s="4" t="s">
        <v>380</v>
      </c>
      <c r="Y28" s="4" t="s">
        <v>381</v>
      </c>
      <c r="Z28" s="4" t="s">
        <v>381</v>
      </c>
      <c r="AA28" s="3">
        <v>165</v>
      </c>
      <c r="AB28" s="3">
        <v>129</v>
      </c>
      <c r="AC28" s="3">
        <v>133</v>
      </c>
      <c r="AD28" s="3">
        <v>1</v>
      </c>
      <c r="AE28" s="3">
        <v>2</v>
      </c>
      <c r="AF28" s="3">
        <v>2</v>
      </c>
      <c r="AG28" s="3">
        <v>3</v>
      </c>
      <c r="AH28" s="3">
        <v>0</v>
      </c>
      <c r="AI28" s="3">
        <v>0</v>
      </c>
      <c r="AJ28" s="3">
        <v>0</v>
      </c>
      <c r="AK28" s="3">
        <v>0</v>
      </c>
      <c r="AL28" s="3">
        <v>2</v>
      </c>
      <c r="AM28" s="3">
        <v>2</v>
      </c>
      <c r="AN28" s="3">
        <v>0</v>
      </c>
      <c r="AO28" s="3">
        <v>1</v>
      </c>
      <c r="AP28" s="3">
        <v>0</v>
      </c>
      <c r="AQ28" s="3">
        <v>0</v>
      </c>
      <c r="AR28" s="2" t="s">
        <v>8</v>
      </c>
      <c r="AS28" s="2" t="s">
        <v>6</v>
      </c>
      <c r="AT28" s="5" t="str">
        <f>HYPERLINK("http://catalog.hathitrust.org/Record/000907805","HathiTrust Record")</f>
        <v>HathiTrust Record</v>
      </c>
      <c r="AU28" s="5" t="str">
        <f>HYPERLINK("https://creighton-primo.hosted.exlibrisgroup.com/primo-explore/search?tab=default_tab&amp;search_scope=EVERYTHING&amp;vid=01CRU&amp;lang=en_US&amp;offset=0&amp;query=any,contains,991001419469702656","Catalog Record")</f>
        <v>Catalog Record</v>
      </c>
      <c r="AV28" s="5" t="str">
        <f>HYPERLINK("http://www.worldcat.org/oclc/17413307","WorldCat Record")</f>
        <v>WorldCat Record</v>
      </c>
      <c r="AW28" s="2" t="s">
        <v>382</v>
      </c>
      <c r="AX28" s="2" t="s">
        <v>383</v>
      </c>
      <c r="AY28" s="2" t="s">
        <v>384</v>
      </c>
      <c r="AZ28" s="2" t="s">
        <v>384</v>
      </c>
      <c r="BA28" s="2" t="s">
        <v>385</v>
      </c>
      <c r="BB28" s="2" t="s">
        <v>21</v>
      </c>
      <c r="BD28" s="2" t="s">
        <v>386</v>
      </c>
      <c r="BE28" s="2" t="s">
        <v>387</v>
      </c>
      <c r="BF28" s="2" t="s">
        <v>388</v>
      </c>
    </row>
    <row r="29" spans="1:58" ht="42.75" customHeight="1" x14ac:dyDescent="0.25">
      <c r="A29" s="8" t="s">
        <v>8</v>
      </c>
      <c r="B29" s="1" t="s">
        <v>0</v>
      </c>
      <c r="C29" s="1" t="s">
        <v>1</v>
      </c>
      <c r="D29" s="1" t="s">
        <v>389</v>
      </c>
      <c r="E29" s="1" t="s">
        <v>390</v>
      </c>
      <c r="F29" s="1" t="s">
        <v>391</v>
      </c>
      <c r="G29" s="2" t="s">
        <v>392</v>
      </c>
      <c r="H29" s="2" t="s">
        <v>8</v>
      </c>
      <c r="I29" s="2" t="s">
        <v>7</v>
      </c>
      <c r="J29" s="2" t="s">
        <v>8</v>
      </c>
      <c r="K29" s="2" t="s">
        <v>8</v>
      </c>
      <c r="L29" s="2" t="s">
        <v>9</v>
      </c>
      <c r="M29" s="1" t="s">
        <v>393</v>
      </c>
      <c r="N29" s="1" t="s">
        <v>378</v>
      </c>
      <c r="O29" s="2" t="s">
        <v>51</v>
      </c>
      <c r="Q29" s="2" t="s">
        <v>12</v>
      </c>
      <c r="R29" s="2" t="s">
        <v>34</v>
      </c>
      <c r="S29" s="1" t="s">
        <v>394</v>
      </c>
      <c r="T29" s="2" t="s">
        <v>14</v>
      </c>
      <c r="U29" s="3">
        <v>7</v>
      </c>
      <c r="V29" s="3">
        <v>7</v>
      </c>
      <c r="W29" s="4" t="s">
        <v>395</v>
      </c>
      <c r="X29" s="4" t="s">
        <v>395</v>
      </c>
      <c r="Y29" s="4" t="s">
        <v>396</v>
      </c>
      <c r="Z29" s="4" t="s">
        <v>396</v>
      </c>
      <c r="AA29" s="3">
        <v>170</v>
      </c>
      <c r="AB29" s="3">
        <v>144</v>
      </c>
      <c r="AC29" s="3">
        <v>146</v>
      </c>
      <c r="AD29" s="3">
        <v>2</v>
      </c>
      <c r="AE29" s="3">
        <v>2</v>
      </c>
      <c r="AF29" s="3">
        <v>5</v>
      </c>
      <c r="AG29" s="3">
        <v>5</v>
      </c>
      <c r="AH29" s="3">
        <v>1</v>
      </c>
      <c r="AI29" s="3">
        <v>1</v>
      </c>
      <c r="AJ29" s="3">
        <v>1</v>
      </c>
      <c r="AK29" s="3">
        <v>1</v>
      </c>
      <c r="AL29" s="3">
        <v>3</v>
      </c>
      <c r="AM29" s="3">
        <v>3</v>
      </c>
      <c r="AN29" s="3">
        <v>1</v>
      </c>
      <c r="AO29" s="3">
        <v>1</v>
      </c>
      <c r="AP29" s="3">
        <v>0</v>
      </c>
      <c r="AQ29" s="3">
        <v>0</v>
      </c>
      <c r="AR29" s="2" t="s">
        <v>8</v>
      </c>
      <c r="AS29" s="2" t="s">
        <v>6</v>
      </c>
      <c r="AT29" s="5" t="str">
        <f>HYPERLINK("http://catalog.hathitrust.org/Record/000917683","HathiTrust Record")</f>
        <v>HathiTrust Record</v>
      </c>
      <c r="AU29" s="5" t="str">
        <f>HYPERLINK("https://creighton-primo.hosted.exlibrisgroup.com/primo-explore/search?tab=default_tab&amp;search_scope=EVERYTHING&amp;vid=01CRU&amp;lang=en_US&amp;offset=0&amp;query=any,contains,991001112329702656","Catalog Record")</f>
        <v>Catalog Record</v>
      </c>
      <c r="AV29" s="5" t="str">
        <f>HYPERLINK("http://www.worldcat.org/oclc/17547074","WorldCat Record")</f>
        <v>WorldCat Record</v>
      </c>
      <c r="AW29" s="2" t="s">
        <v>397</v>
      </c>
      <c r="AX29" s="2" t="s">
        <v>398</v>
      </c>
      <c r="AY29" s="2" t="s">
        <v>399</v>
      </c>
      <c r="AZ29" s="2" t="s">
        <v>399</v>
      </c>
      <c r="BA29" s="2" t="s">
        <v>400</v>
      </c>
      <c r="BB29" s="2" t="s">
        <v>21</v>
      </c>
      <c r="BD29" s="2" t="s">
        <v>401</v>
      </c>
      <c r="BE29" s="2" t="s">
        <v>402</v>
      </c>
      <c r="BF29" s="2" t="s">
        <v>403</v>
      </c>
    </row>
    <row r="30" spans="1:58" ht="42.75" customHeight="1" x14ac:dyDescent="0.25">
      <c r="A30" s="8" t="s">
        <v>8</v>
      </c>
      <c r="B30" s="1" t="s">
        <v>0</v>
      </c>
      <c r="C30" s="1" t="s">
        <v>1</v>
      </c>
      <c r="D30" s="1" t="s">
        <v>404</v>
      </c>
      <c r="E30" s="1" t="s">
        <v>405</v>
      </c>
      <c r="F30" s="1" t="s">
        <v>406</v>
      </c>
      <c r="G30" s="2" t="s">
        <v>407</v>
      </c>
      <c r="H30" s="2" t="s">
        <v>8</v>
      </c>
      <c r="I30" s="2" t="s">
        <v>7</v>
      </c>
      <c r="J30" s="2" t="s">
        <v>8</v>
      </c>
      <c r="K30" s="2" t="s">
        <v>8</v>
      </c>
      <c r="L30" s="2" t="s">
        <v>9</v>
      </c>
      <c r="M30" s="1" t="s">
        <v>408</v>
      </c>
      <c r="N30" s="1" t="s">
        <v>409</v>
      </c>
      <c r="O30" s="2" t="s">
        <v>410</v>
      </c>
      <c r="Q30" s="2" t="s">
        <v>12</v>
      </c>
      <c r="R30" s="2" t="s">
        <v>34</v>
      </c>
      <c r="S30" s="1" t="s">
        <v>411</v>
      </c>
      <c r="T30" s="2" t="s">
        <v>14</v>
      </c>
      <c r="U30" s="3">
        <v>3</v>
      </c>
      <c r="V30" s="3">
        <v>3</v>
      </c>
      <c r="W30" s="4" t="s">
        <v>412</v>
      </c>
      <c r="X30" s="4" t="s">
        <v>412</v>
      </c>
      <c r="Y30" s="4" t="s">
        <v>413</v>
      </c>
      <c r="Z30" s="4" t="s">
        <v>413</v>
      </c>
      <c r="AA30" s="3">
        <v>21</v>
      </c>
      <c r="AB30" s="3">
        <v>14</v>
      </c>
      <c r="AC30" s="3">
        <v>99</v>
      </c>
      <c r="AD30" s="3">
        <v>1</v>
      </c>
      <c r="AE30" s="3">
        <v>2</v>
      </c>
      <c r="AF30" s="3">
        <v>0</v>
      </c>
      <c r="AG30" s="3">
        <v>2</v>
      </c>
      <c r="AH30" s="3">
        <v>0</v>
      </c>
      <c r="AI30" s="3">
        <v>0</v>
      </c>
      <c r="AJ30" s="3">
        <v>0</v>
      </c>
      <c r="AK30" s="3">
        <v>0</v>
      </c>
      <c r="AL30" s="3">
        <v>0</v>
      </c>
      <c r="AM30" s="3">
        <v>1</v>
      </c>
      <c r="AN30" s="3">
        <v>0</v>
      </c>
      <c r="AO30" s="3">
        <v>1</v>
      </c>
      <c r="AP30" s="3">
        <v>0</v>
      </c>
      <c r="AQ30" s="3">
        <v>0</v>
      </c>
      <c r="AR30" s="2" t="s">
        <v>8</v>
      </c>
      <c r="AS30" s="2" t="s">
        <v>8</v>
      </c>
      <c r="AU30" s="5" t="str">
        <f>HYPERLINK("https://creighton-primo.hosted.exlibrisgroup.com/primo-explore/search?tab=default_tab&amp;search_scope=EVERYTHING&amp;vid=01CRU&amp;lang=en_US&amp;offset=0&amp;query=any,contains,991000673229702656","Catalog Record")</f>
        <v>Catalog Record</v>
      </c>
      <c r="AV30" s="5" t="str">
        <f>HYPERLINK("http://www.worldcat.org/oclc/28888176","WorldCat Record")</f>
        <v>WorldCat Record</v>
      </c>
      <c r="AW30" s="2" t="s">
        <v>414</v>
      </c>
      <c r="AX30" s="2" t="s">
        <v>415</v>
      </c>
      <c r="AY30" s="2" t="s">
        <v>416</v>
      </c>
      <c r="AZ30" s="2" t="s">
        <v>416</v>
      </c>
      <c r="BA30" s="2" t="s">
        <v>417</v>
      </c>
      <c r="BB30" s="2" t="s">
        <v>21</v>
      </c>
      <c r="BD30" s="2" t="s">
        <v>418</v>
      </c>
      <c r="BE30" s="2" t="s">
        <v>419</v>
      </c>
      <c r="BF30" s="2" t="s">
        <v>420</v>
      </c>
    </row>
    <row r="31" spans="1:58" ht="42.75" customHeight="1" x14ac:dyDescent="0.25">
      <c r="A31" s="8" t="s">
        <v>8</v>
      </c>
      <c r="B31" s="1" t="s">
        <v>0</v>
      </c>
      <c r="C31" s="1" t="s">
        <v>1</v>
      </c>
      <c r="D31" s="1" t="s">
        <v>421</v>
      </c>
      <c r="E31" s="1" t="s">
        <v>422</v>
      </c>
      <c r="F31" s="1" t="s">
        <v>423</v>
      </c>
      <c r="G31" s="2" t="s">
        <v>424</v>
      </c>
      <c r="H31" s="2" t="s">
        <v>8</v>
      </c>
      <c r="I31" s="2" t="s">
        <v>7</v>
      </c>
      <c r="J31" s="2" t="s">
        <v>8</v>
      </c>
      <c r="K31" s="2" t="s">
        <v>8</v>
      </c>
      <c r="L31" s="2" t="s">
        <v>9</v>
      </c>
      <c r="N31" s="1" t="s">
        <v>425</v>
      </c>
      <c r="O31" s="2" t="s">
        <v>410</v>
      </c>
      <c r="Q31" s="2" t="s">
        <v>12</v>
      </c>
      <c r="R31" s="2" t="s">
        <v>13</v>
      </c>
      <c r="S31" s="1" t="s">
        <v>426</v>
      </c>
      <c r="T31" s="2" t="s">
        <v>14</v>
      </c>
      <c r="U31" s="3">
        <v>10</v>
      </c>
      <c r="V31" s="3">
        <v>10</v>
      </c>
      <c r="W31" s="4" t="s">
        <v>427</v>
      </c>
      <c r="X31" s="4" t="s">
        <v>427</v>
      </c>
      <c r="Y31" s="4" t="s">
        <v>413</v>
      </c>
      <c r="Z31" s="4" t="s">
        <v>413</v>
      </c>
      <c r="AA31" s="3">
        <v>161</v>
      </c>
      <c r="AB31" s="3">
        <v>130</v>
      </c>
      <c r="AC31" s="3">
        <v>132</v>
      </c>
      <c r="AD31" s="3">
        <v>1</v>
      </c>
      <c r="AE31" s="3">
        <v>1</v>
      </c>
      <c r="AF31" s="3">
        <v>2</v>
      </c>
      <c r="AG31" s="3">
        <v>2</v>
      </c>
      <c r="AH31" s="3">
        <v>0</v>
      </c>
      <c r="AI31" s="3">
        <v>0</v>
      </c>
      <c r="AJ31" s="3">
        <v>1</v>
      </c>
      <c r="AK31" s="3">
        <v>1</v>
      </c>
      <c r="AL31" s="3">
        <v>1</v>
      </c>
      <c r="AM31" s="3">
        <v>1</v>
      </c>
      <c r="AN31" s="3">
        <v>0</v>
      </c>
      <c r="AO31" s="3">
        <v>0</v>
      </c>
      <c r="AP31" s="3">
        <v>0</v>
      </c>
      <c r="AQ31" s="3">
        <v>0</v>
      </c>
      <c r="AR31" s="2" t="s">
        <v>8</v>
      </c>
      <c r="AS31" s="2" t="s">
        <v>6</v>
      </c>
      <c r="AT31" s="5" t="str">
        <f>HYPERLINK("http://catalog.hathitrust.org/Record/002610310","HathiTrust Record")</f>
        <v>HathiTrust Record</v>
      </c>
      <c r="AU31" s="5" t="str">
        <f>HYPERLINK("https://creighton-primo.hosted.exlibrisgroup.com/primo-explore/search?tab=default_tab&amp;search_scope=EVERYTHING&amp;vid=01CRU&amp;lang=en_US&amp;offset=0&amp;query=any,contains,991000673279702656","Catalog Record")</f>
        <v>Catalog Record</v>
      </c>
      <c r="AV31" s="5" t="str">
        <f>HYPERLINK("http://www.worldcat.org/oclc/26675153","WorldCat Record")</f>
        <v>WorldCat Record</v>
      </c>
      <c r="AW31" s="2" t="s">
        <v>428</v>
      </c>
      <c r="AX31" s="2" t="s">
        <v>429</v>
      </c>
      <c r="AY31" s="2" t="s">
        <v>430</v>
      </c>
      <c r="AZ31" s="2" t="s">
        <v>430</v>
      </c>
      <c r="BA31" s="2" t="s">
        <v>431</v>
      </c>
      <c r="BB31" s="2" t="s">
        <v>21</v>
      </c>
      <c r="BD31" s="2" t="s">
        <v>432</v>
      </c>
      <c r="BE31" s="2" t="s">
        <v>433</v>
      </c>
      <c r="BF31" s="2" t="s">
        <v>434</v>
      </c>
    </row>
    <row r="32" spans="1:58" ht="42.75" customHeight="1" x14ac:dyDescent="0.25">
      <c r="A32" s="8" t="s">
        <v>8</v>
      </c>
      <c r="B32" s="1" t="s">
        <v>0</v>
      </c>
      <c r="C32" s="1" t="s">
        <v>1</v>
      </c>
      <c r="D32" s="1" t="s">
        <v>435</v>
      </c>
      <c r="E32" s="1" t="s">
        <v>436</v>
      </c>
      <c r="F32" s="1" t="s">
        <v>437</v>
      </c>
      <c r="H32" s="2" t="s">
        <v>8</v>
      </c>
      <c r="I32" s="2" t="s">
        <v>7</v>
      </c>
      <c r="J32" s="2" t="s">
        <v>8</v>
      </c>
      <c r="K32" s="2" t="s">
        <v>8</v>
      </c>
      <c r="L32" s="2" t="s">
        <v>9</v>
      </c>
      <c r="M32" s="1" t="s">
        <v>438</v>
      </c>
      <c r="N32" s="1" t="s">
        <v>439</v>
      </c>
      <c r="O32" s="2" t="s">
        <v>440</v>
      </c>
      <c r="Q32" s="2" t="s">
        <v>12</v>
      </c>
      <c r="R32" s="2" t="s">
        <v>13</v>
      </c>
      <c r="S32" s="1" t="s">
        <v>441</v>
      </c>
      <c r="T32" s="2" t="s">
        <v>14</v>
      </c>
      <c r="U32" s="3">
        <v>1</v>
      </c>
      <c r="V32" s="3">
        <v>1</v>
      </c>
      <c r="W32" s="4" t="s">
        <v>442</v>
      </c>
      <c r="X32" s="4" t="s">
        <v>442</v>
      </c>
      <c r="Y32" s="4" t="s">
        <v>443</v>
      </c>
      <c r="Z32" s="4" t="s">
        <v>443</v>
      </c>
      <c r="AA32" s="3">
        <v>145</v>
      </c>
      <c r="AB32" s="3">
        <v>139</v>
      </c>
      <c r="AC32" s="3">
        <v>205</v>
      </c>
      <c r="AD32" s="3">
        <v>2</v>
      </c>
      <c r="AE32" s="3">
        <v>2</v>
      </c>
      <c r="AF32" s="3">
        <v>4</v>
      </c>
      <c r="AG32" s="3">
        <v>5</v>
      </c>
      <c r="AH32" s="3">
        <v>1</v>
      </c>
      <c r="AI32" s="3">
        <v>2</v>
      </c>
      <c r="AJ32" s="3">
        <v>1</v>
      </c>
      <c r="AK32" s="3">
        <v>1</v>
      </c>
      <c r="AL32" s="3">
        <v>1</v>
      </c>
      <c r="AM32" s="3">
        <v>1</v>
      </c>
      <c r="AN32" s="3">
        <v>1</v>
      </c>
      <c r="AO32" s="3">
        <v>1</v>
      </c>
      <c r="AP32" s="3">
        <v>0</v>
      </c>
      <c r="AQ32" s="3">
        <v>0</v>
      </c>
      <c r="AR32" s="2" t="s">
        <v>6</v>
      </c>
      <c r="AS32" s="2" t="s">
        <v>8</v>
      </c>
      <c r="AT32" s="5" t="str">
        <f>HYPERLINK("http://catalog.hathitrust.org/Record/002093872","HathiTrust Record")</f>
        <v>HathiTrust Record</v>
      </c>
      <c r="AU32" s="5" t="str">
        <f>HYPERLINK("https://creighton-primo.hosted.exlibrisgroup.com/primo-explore/search?tab=default_tab&amp;search_scope=EVERYTHING&amp;vid=01CRU&amp;lang=en_US&amp;offset=0&amp;query=any,contains,991000985849702656","Catalog Record")</f>
        <v>Catalog Record</v>
      </c>
      <c r="AV32" s="5" t="str">
        <f>HYPERLINK("http://www.worldcat.org/oclc/1196828","WorldCat Record")</f>
        <v>WorldCat Record</v>
      </c>
      <c r="AW32" s="2" t="s">
        <v>444</v>
      </c>
      <c r="AX32" s="2" t="s">
        <v>445</v>
      </c>
      <c r="AY32" s="2" t="s">
        <v>446</v>
      </c>
      <c r="AZ32" s="2" t="s">
        <v>446</v>
      </c>
      <c r="BA32" s="2" t="s">
        <v>447</v>
      </c>
      <c r="BB32" s="2" t="s">
        <v>21</v>
      </c>
      <c r="BE32" s="2" t="s">
        <v>448</v>
      </c>
      <c r="BF32" s="2" t="s">
        <v>449</v>
      </c>
    </row>
    <row r="33" spans="1:58" ht="42.75" customHeight="1" x14ac:dyDescent="0.25">
      <c r="A33" s="8" t="s">
        <v>8</v>
      </c>
      <c r="B33" s="1" t="s">
        <v>0</v>
      </c>
      <c r="C33" s="1" t="s">
        <v>1</v>
      </c>
      <c r="D33" s="1" t="s">
        <v>450</v>
      </c>
      <c r="E33" s="1" t="s">
        <v>451</v>
      </c>
      <c r="F33" s="1" t="s">
        <v>452</v>
      </c>
      <c r="H33" s="2" t="s">
        <v>8</v>
      </c>
      <c r="I33" s="2" t="s">
        <v>7</v>
      </c>
      <c r="J33" s="2" t="s">
        <v>8</v>
      </c>
      <c r="K33" s="2" t="s">
        <v>8</v>
      </c>
      <c r="L33" s="2" t="s">
        <v>9</v>
      </c>
      <c r="M33" s="1" t="s">
        <v>453</v>
      </c>
      <c r="N33" s="1" t="s">
        <v>454</v>
      </c>
      <c r="O33" s="2" t="s">
        <v>455</v>
      </c>
      <c r="Q33" s="2" t="s">
        <v>12</v>
      </c>
      <c r="R33" s="2" t="s">
        <v>456</v>
      </c>
      <c r="T33" s="2" t="s">
        <v>14</v>
      </c>
      <c r="U33" s="3">
        <v>3</v>
      </c>
      <c r="V33" s="3">
        <v>3</v>
      </c>
      <c r="W33" s="4" t="s">
        <v>457</v>
      </c>
      <c r="X33" s="4" t="s">
        <v>457</v>
      </c>
      <c r="Y33" s="4" t="s">
        <v>458</v>
      </c>
      <c r="Z33" s="4" t="s">
        <v>458</v>
      </c>
      <c r="AA33" s="3">
        <v>41</v>
      </c>
      <c r="AB33" s="3">
        <v>29</v>
      </c>
      <c r="AC33" s="3">
        <v>29</v>
      </c>
      <c r="AD33" s="3">
        <v>1</v>
      </c>
      <c r="AE33" s="3">
        <v>1</v>
      </c>
      <c r="AF33" s="3">
        <v>3</v>
      </c>
      <c r="AG33" s="3">
        <v>3</v>
      </c>
      <c r="AH33" s="3">
        <v>1</v>
      </c>
      <c r="AI33" s="3">
        <v>1</v>
      </c>
      <c r="AJ33" s="3">
        <v>1</v>
      </c>
      <c r="AK33" s="3">
        <v>1</v>
      </c>
      <c r="AL33" s="3">
        <v>2</v>
      </c>
      <c r="AM33" s="3">
        <v>2</v>
      </c>
      <c r="AN33" s="3">
        <v>0</v>
      </c>
      <c r="AO33" s="3">
        <v>0</v>
      </c>
      <c r="AP33" s="3">
        <v>0</v>
      </c>
      <c r="AQ33" s="3">
        <v>0</v>
      </c>
      <c r="AR33" s="2" t="s">
        <v>8</v>
      </c>
      <c r="AS33" s="2" t="s">
        <v>8</v>
      </c>
      <c r="AU33" s="5" t="str">
        <f>HYPERLINK("https://creighton-primo.hosted.exlibrisgroup.com/primo-explore/search?tab=default_tab&amp;search_scope=EVERYTHING&amp;vid=01CRU&amp;lang=en_US&amp;offset=0&amp;query=any,contains,991000986689702656","Catalog Record")</f>
        <v>Catalog Record</v>
      </c>
      <c r="AV33" s="5" t="str">
        <f>HYPERLINK("http://www.worldcat.org/oclc/8525104","WorldCat Record")</f>
        <v>WorldCat Record</v>
      </c>
      <c r="AW33" s="2" t="s">
        <v>459</v>
      </c>
      <c r="AX33" s="2" t="s">
        <v>460</v>
      </c>
      <c r="AY33" s="2" t="s">
        <v>461</v>
      </c>
      <c r="AZ33" s="2" t="s">
        <v>461</v>
      </c>
      <c r="BA33" s="2" t="s">
        <v>462</v>
      </c>
      <c r="BB33" s="2" t="s">
        <v>21</v>
      </c>
      <c r="BE33" s="2" t="s">
        <v>463</v>
      </c>
      <c r="BF33" s="2" t="s">
        <v>464</v>
      </c>
    </row>
    <row r="34" spans="1:58" ht="42.75" customHeight="1" x14ac:dyDescent="0.25">
      <c r="A34" s="8" t="s">
        <v>8</v>
      </c>
      <c r="B34" s="1" t="s">
        <v>0</v>
      </c>
      <c r="C34" s="1" t="s">
        <v>1</v>
      </c>
      <c r="D34" s="1" t="s">
        <v>450</v>
      </c>
      <c r="E34" s="1" t="s">
        <v>451</v>
      </c>
      <c r="F34" s="1" t="s">
        <v>465</v>
      </c>
      <c r="H34" s="2" t="s">
        <v>8</v>
      </c>
      <c r="I34" s="2" t="s">
        <v>7</v>
      </c>
      <c r="J34" s="2" t="s">
        <v>8</v>
      </c>
      <c r="K34" s="2" t="s">
        <v>8</v>
      </c>
      <c r="L34" s="2" t="s">
        <v>9</v>
      </c>
      <c r="M34" s="1" t="s">
        <v>466</v>
      </c>
      <c r="N34" s="1" t="s">
        <v>467</v>
      </c>
      <c r="O34" s="2" t="s">
        <v>468</v>
      </c>
      <c r="Q34" s="2" t="s">
        <v>12</v>
      </c>
      <c r="R34" s="2" t="s">
        <v>456</v>
      </c>
      <c r="T34" s="2" t="s">
        <v>14</v>
      </c>
      <c r="U34" s="3">
        <v>2</v>
      </c>
      <c r="V34" s="3">
        <v>2</v>
      </c>
      <c r="W34" s="4" t="s">
        <v>469</v>
      </c>
      <c r="X34" s="4" t="s">
        <v>469</v>
      </c>
      <c r="Y34" s="4" t="s">
        <v>470</v>
      </c>
      <c r="Z34" s="4" t="s">
        <v>470</v>
      </c>
      <c r="AA34" s="3">
        <v>23</v>
      </c>
      <c r="AB34" s="3">
        <v>21</v>
      </c>
      <c r="AC34" s="3">
        <v>21</v>
      </c>
      <c r="AD34" s="3">
        <v>1</v>
      </c>
      <c r="AE34" s="3">
        <v>1</v>
      </c>
      <c r="AF34" s="3">
        <v>1</v>
      </c>
      <c r="AG34" s="3">
        <v>1</v>
      </c>
      <c r="AH34" s="3">
        <v>1</v>
      </c>
      <c r="AI34" s="3">
        <v>1</v>
      </c>
      <c r="AJ34" s="3">
        <v>0</v>
      </c>
      <c r="AK34" s="3">
        <v>0</v>
      </c>
      <c r="AL34" s="3">
        <v>0</v>
      </c>
      <c r="AM34" s="3">
        <v>0</v>
      </c>
      <c r="AN34" s="3">
        <v>0</v>
      </c>
      <c r="AO34" s="3">
        <v>0</v>
      </c>
      <c r="AP34" s="3">
        <v>0</v>
      </c>
      <c r="AQ34" s="3">
        <v>0</v>
      </c>
      <c r="AR34" s="2" t="s">
        <v>8</v>
      </c>
      <c r="AS34" s="2" t="s">
        <v>8</v>
      </c>
      <c r="AU34" s="5" t="str">
        <f>HYPERLINK("https://creighton-primo.hosted.exlibrisgroup.com/primo-explore/search?tab=default_tab&amp;search_scope=EVERYTHING&amp;vid=01CRU&amp;lang=en_US&amp;offset=0&amp;query=any,contains,991000986619702656","Catalog Record")</f>
        <v>Catalog Record</v>
      </c>
      <c r="AV34" s="5" t="str">
        <f>HYPERLINK("http://www.worldcat.org/oclc/3816662","WorldCat Record")</f>
        <v>WorldCat Record</v>
      </c>
      <c r="AW34" s="2" t="s">
        <v>471</v>
      </c>
      <c r="AX34" s="2" t="s">
        <v>472</v>
      </c>
      <c r="AY34" s="2" t="s">
        <v>473</v>
      </c>
      <c r="AZ34" s="2" t="s">
        <v>473</v>
      </c>
      <c r="BA34" s="2" t="s">
        <v>474</v>
      </c>
      <c r="BB34" s="2" t="s">
        <v>21</v>
      </c>
      <c r="BE34" s="2" t="s">
        <v>475</v>
      </c>
      <c r="BF34" s="2" t="s">
        <v>476</v>
      </c>
    </row>
    <row r="35" spans="1:58" ht="42.75" customHeight="1" x14ac:dyDescent="0.25">
      <c r="A35" s="8" t="s">
        <v>8</v>
      </c>
      <c r="B35" s="1" t="s">
        <v>0</v>
      </c>
      <c r="C35" s="1" t="s">
        <v>1</v>
      </c>
      <c r="D35" s="1" t="s">
        <v>450</v>
      </c>
      <c r="E35" s="1" t="s">
        <v>451</v>
      </c>
      <c r="F35" s="1" t="s">
        <v>477</v>
      </c>
      <c r="H35" s="2" t="s">
        <v>8</v>
      </c>
      <c r="I35" s="2" t="s">
        <v>7</v>
      </c>
      <c r="J35" s="2" t="s">
        <v>8</v>
      </c>
      <c r="K35" s="2" t="s">
        <v>8</v>
      </c>
      <c r="L35" s="2" t="s">
        <v>9</v>
      </c>
      <c r="M35" s="1" t="s">
        <v>478</v>
      </c>
      <c r="N35" s="1" t="s">
        <v>479</v>
      </c>
      <c r="O35" s="2" t="s">
        <v>480</v>
      </c>
      <c r="Q35" s="2" t="s">
        <v>12</v>
      </c>
      <c r="R35" s="2" t="s">
        <v>145</v>
      </c>
      <c r="S35" s="1" t="s">
        <v>481</v>
      </c>
      <c r="T35" s="2" t="s">
        <v>14</v>
      </c>
      <c r="U35" s="3">
        <v>3</v>
      </c>
      <c r="V35" s="3">
        <v>3</v>
      </c>
      <c r="W35" s="4" t="s">
        <v>482</v>
      </c>
      <c r="X35" s="4" t="s">
        <v>482</v>
      </c>
      <c r="Y35" s="4" t="s">
        <v>470</v>
      </c>
      <c r="Z35" s="4" t="s">
        <v>470</v>
      </c>
      <c r="AA35" s="3">
        <v>21</v>
      </c>
      <c r="AB35" s="3">
        <v>15</v>
      </c>
      <c r="AC35" s="3">
        <v>15</v>
      </c>
      <c r="AD35" s="3">
        <v>1</v>
      </c>
      <c r="AE35" s="3">
        <v>1</v>
      </c>
      <c r="AF35" s="3">
        <v>0</v>
      </c>
      <c r="AG35" s="3">
        <v>0</v>
      </c>
      <c r="AH35" s="3">
        <v>0</v>
      </c>
      <c r="AI35" s="3">
        <v>0</v>
      </c>
      <c r="AJ35" s="3">
        <v>0</v>
      </c>
      <c r="AK35" s="3">
        <v>0</v>
      </c>
      <c r="AL35" s="3">
        <v>0</v>
      </c>
      <c r="AM35" s="3">
        <v>0</v>
      </c>
      <c r="AN35" s="3">
        <v>0</v>
      </c>
      <c r="AO35" s="3">
        <v>0</v>
      </c>
      <c r="AP35" s="3">
        <v>0</v>
      </c>
      <c r="AQ35" s="3">
        <v>0</v>
      </c>
      <c r="AR35" s="2" t="s">
        <v>8</v>
      </c>
      <c r="AS35" s="2" t="s">
        <v>8</v>
      </c>
      <c r="AU35" s="5" t="str">
        <f>HYPERLINK("https://creighton-primo.hosted.exlibrisgroup.com/primo-explore/search?tab=default_tab&amp;search_scope=EVERYTHING&amp;vid=01CRU&amp;lang=en_US&amp;offset=0&amp;query=any,contains,991000986729702656","Catalog Record")</f>
        <v>Catalog Record</v>
      </c>
      <c r="AV35" s="5" t="str">
        <f>HYPERLINK("http://www.worldcat.org/oclc/8773281","WorldCat Record")</f>
        <v>WorldCat Record</v>
      </c>
      <c r="AW35" s="2" t="s">
        <v>483</v>
      </c>
      <c r="AX35" s="2" t="s">
        <v>484</v>
      </c>
      <c r="AY35" s="2" t="s">
        <v>485</v>
      </c>
      <c r="AZ35" s="2" t="s">
        <v>485</v>
      </c>
      <c r="BA35" s="2" t="s">
        <v>486</v>
      </c>
      <c r="BB35" s="2" t="s">
        <v>21</v>
      </c>
      <c r="BE35" s="2" t="s">
        <v>487</v>
      </c>
      <c r="BF35" s="2" t="s">
        <v>488</v>
      </c>
    </row>
    <row r="36" spans="1:58" ht="42.75" customHeight="1" x14ac:dyDescent="0.25">
      <c r="A36" s="8" t="s">
        <v>8</v>
      </c>
      <c r="B36" s="1" t="s">
        <v>0</v>
      </c>
      <c r="C36" s="1" t="s">
        <v>1</v>
      </c>
      <c r="D36" s="1" t="s">
        <v>489</v>
      </c>
      <c r="E36" s="1" t="s">
        <v>490</v>
      </c>
      <c r="F36" s="1" t="s">
        <v>491</v>
      </c>
      <c r="H36" s="2" t="s">
        <v>8</v>
      </c>
      <c r="I36" s="2" t="s">
        <v>7</v>
      </c>
      <c r="J36" s="2" t="s">
        <v>8</v>
      </c>
      <c r="K36" s="2" t="s">
        <v>8</v>
      </c>
      <c r="L36" s="2" t="s">
        <v>9</v>
      </c>
      <c r="M36" s="1" t="s">
        <v>492</v>
      </c>
      <c r="N36" s="1" t="s">
        <v>493</v>
      </c>
      <c r="O36" s="2" t="s">
        <v>494</v>
      </c>
      <c r="Q36" s="2" t="s">
        <v>12</v>
      </c>
      <c r="R36" s="2" t="s">
        <v>456</v>
      </c>
      <c r="T36" s="2" t="s">
        <v>14</v>
      </c>
      <c r="U36" s="3">
        <v>2</v>
      </c>
      <c r="V36" s="3">
        <v>2</v>
      </c>
      <c r="W36" s="4" t="s">
        <v>469</v>
      </c>
      <c r="X36" s="4" t="s">
        <v>469</v>
      </c>
      <c r="Y36" s="4" t="s">
        <v>495</v>
      </c>
      <c r="Z36" s="4" t="s">
        <v>495</v>
      </c>
      <c r="AA36" s="3">
        <v>23</v>
      </c>
      <c r="AB36" s="3">
        <v>17</v>
      </c>
      <c r="AC36" s="3">
        <v>17</v>
      </c>
      <c r="AD36" s="3">
        <v>1</v>
      </c>
      <c r="AE36" s="3">
        <v>1</v>
      </c>
      <c r="AF36" s="3">
        <v>1</v>
      </c>
      <c r="AG36" s="3">
        <v>1</v>
      </c>
      <c r="AH36" s="3">
        <v>0</v>
      </c>
      <c r="AI36" s="3">
        <v>0</v>
      </c>
      <c r="AJ36" s="3">
        <v>1</v>
      </c>
      <c r="AK36" s="3">
        <v>1</v>
      </c>
      <c r="AL36" s="3">
        <v>1</v>
      </c>
      <c r="AM36" s="3">
        <v>1</v>
      </c>
      <c r="AN36" s="3">
        <v>0</v>
      </c>
      <c r="AO36" s="3">
        <v>0</v>
      </c>
      <c r="AP36" s="3">
        <v>0</v>
      </c>
      <c r="AQ36" s="3">
        <v>0</v>
      </c>
      <c r="AR36" s="2" t="s">
        <v>8</v>
      </c>
      <c r="AS36" s="2" t="s">
        <v>8</v>
      </c>
      <c r="AU36" s="5" t="str">
        <f>HYPERLINK("https://creighton-primo.hosted.exlibrisgroup.com/primo-explore/search?tab=default_tab&amp;search_scope=EVERYTHING&amp;vid=01CRU&amp;lang=en_US&amp;offset=0&amp;query=any,contains,991000986769702656","Catalog Record")</f>
        <v>Catalog Record</v>
      </c>
      <c r="AV36" s="5" t="str">
        <f>HYPERLINK("http://www.worldcat.org/oclc/9920725","WorldCat Record")</f>
        <v>WorldCat Record</v>
      </c>
      <c r="AW36" s="2" t="s">
        <v>496</v>
      </c>
      <c r="AX36" s="2" t="s">
        <v>497</v>
      </c>
      <c r="AY36" s="2" t="s">
        <v>498</v>
      </c>
      <c r="AZ36" s="2" t="s">
        <v>498</v>
      </c>
      <c r="BA36" s="2" t="s">
        <v>499</v>
      </c>
      <c r="BB36" s="2" t="s">
        <v>21</v>
      </c>
      <c r="BE36" s="2" t="s">
        <v>500</v>
      </c>
      <c r="BF36" s="2" t="s">
        <v>501</v>
      </c>
    </row>
    <row r="37" spans="1:58" ht="42.75" customHeight="1" x14ac:dyDescent="0.25">
      <c r="A37" s="8" t="s">
        <v>8</v>
      </c>
      <c r="B37" s="1" t="s">
        <v>0</v>
      </c>
      <c r="C37" s="1" t="s">
        <v>1</v>
      </c>
      <c r="D37" s="1" t="s">
        <v>502</v>
      </c>
      <c r="E37" s="1" t="s">
        <v>503</v>
      </c>
      <c r="F37" s="1" t="s">
        <v>504</v>
      </c>
      <c r="H37" s="2" t="s">
        <v>8</v>
      </c>
      <c r="I37" s="2" t="s">
        <v>7</v>
      </c>
      <c r="J37" s="2" t="s">
        <v>8</v>
      </c>
      <c r="K37" s="2" t="s">
        <v>8</v>
      </c>
      <c r="L37" s="2" t="s">
        <v>9</v>
      </c>
      <c r="M37" s="1" t="s">
        <v>505</v>
      </c>
      <c r="N37" s="1" t="s">
        <v>506</v>
      </c>
      <c r="O37" s="2" t="s">
        <v>507</v>
      </c>
      <c r="Q37" s="2" t="s">
        <v>12</v>
      </c>
      <c r="R37" s="2" t="s">
        <v>456</v>
      </c>
      <c r="T37" s="2" t="s">
        <v>14</v>
      </c>
      <c r="U37" s="3">
        <v>1</v>
      </c>
      <c r="V37" s="3">
        <v>1</v>
      </c>
      <c r="W37" s="4" t="s">
        <v>469</v>
      </c>
      <c r="X37" s="4" t="s">
        <v>469</v>
      </c>
      <c r="Y37" s="4" t="s">
        <v>508</v>
      </c>
      <c r="Z37" s="4" t="s">
        <v>508</v>
      </c>
      <c r="AA37" s="3">
        <v>30</v>
      </c>
      <c r="AB37" s="3">
        <v>23</v>
      </c>
      <c r="AC37" s="3">
        <v>23</v>
      </c>
      <c r="AD37" s="3">
        <v>1</v>
      </c>
      <c r="AE37" s="3">
        <v>1</v>
      </c>
      <c r="AF37" s="3">
        <v>3</v>
      </c>
      <c r="AG37" s="3">
        <v>3</v>
      </c>
      <c r="AH37" s="3">
        <v>0</v>
      </c>
      <c r="AI37" s="3">
        <v>0</v>
      </c>
      <c r="AJ37" s="3">
        <v>2</v>
      </c>
      <c r="AK37" s="3">
        <v>2</v>
      </c>
      <c r="AL37" s="3">
        <v>2</v>
      </c>
      <c r="AM37" s="3">
        <v>2</v>
      </c>
      <c r="AN37" s="3">
        <v>0</v>
      </c>
      <c r="AO37" s="3">
        <v>0</v>
      </c>
      <c r="AP37" s="3">
        <v>0</v>
      </c>
      <c r="AQ37" s="3">
        <v>0</v>
      </c>
      <c r="AR37" s="2" t="s">
        <v>8</v>
      </c>
      <c r="AS37" s="2" t="s">
        <v>8</v>
      </c>
      <c r="AU37" s="5" t="str">
        <f>HYPERLINK("https://creighton-primo.hosted.exlibrisgroup.com/primo-explore/search?tab=default_tab&amp;search_scope=EVERYTHING&amp;vid=01CRU&amp;lang=en_US&amp;offset=0&amp;query=any,contains,991000986799702656","Catalog Record")</f>
        <v>Catalog Record</v>
      </c>
      <c r="AV37" s="5" t="str">
        <f>HYPERLINK("http://www.worldcat.org/oclc/6883962","WorldCat Record")</f>
        <v>WorldCat Record</v>
      </c>
      <c r="AW37" s="2" t="s">
        <v>509</v>
      </c>
      <c r="AX37" s="2" t="s">
        <v>510</v>
      </c>
      <c r="AY37" s="2" t="s">
        <v>511</v>
      </c>
      <c r="AZ37" s="2" t="s">
        <v>511</v>
      </c>
      <c r="BA37" s="2" t="s">
        <v>512</v>
      </c>
      <c r="BB37" s="2" t="s">
        <v>21</v>
      </c>
      <c r="BE37" s="2" t="s">
        <v>513</v>
      </c>
      <c r="BF37" s="2" t="s">
        <v>514</v>
      </c>
    </row>
    <row r="38" spans="1:58" ht="42.75" customHeight="1" x14ac:dyDescent="0.25">
      <c r="A38" s="8" t="s">
        <v>8</v>
      </c>
      <c r="B38" s="1" t="s">
        <v>0</v>
      </c>
      <c r="C38" s="1" t="s">
        <v>1</v>
      </c>
      <c r="D38" s="1" t="s">
        <v>515</v>
      </c>
      <c r="E38" s="1" t="s">
        <v>516</v>
      </c>
      <c r="F38" s="1" t="s">
        <v>517</v>
      </c>
      <c r="H38" s="2" t="s">
        <v>8</v>
      </c>
      <c r="I38" s="2" t="s">
        <v>7</v>
      </c>
      <c r="J38" s="2" t="s">
        <v>8</v>
      </c>
      <c r="K38" s="2" t="s">
        <v>8</v>
      </c>
      <c r="L38" s="2" t="s">
        <v>9</v>
      </c>
      <c r="M38" s="1" t="s">
        <v>518</v>
      </c>
      <c r="N38" s="1" t="s">
        <v>519</v>
      </c>
      <c r="O38" s="2" t="s">
        <v>128</v>
      </c>
      <c r="Q38" s="2" t="s">
        <v>12</v>
      </c>
      <c r="R38" s="2" t="s">
        <v>520</v>
      </c>
      <c r="S38" s="1" t="s">
        <v>521</v>
      </c>
      <c r="T38" s="2" t="s">
        <v>14</v>
      </c>
      <c r="U38" s="3">
        <v>6</v>
      </c>
      <c r="V38" s="3">
        <v>6</v>
      </c>
      <c r="W38" s="4" t="s">
        <v>522</v>
      </c>
      <c r="X38" s="4" t="s">
        <v>522</v>
      </c>
      <c r="Y38" s="4" t="s">
        <v>523</v>
      </c>
      <c r="Z38" s="4" t="s">
        <v>523</v>
      </c>
      <c r="AA38" s="3">
        <v>114</v>
      </c>
      <c r="AB38" s="3">
        <v>90</v>
      </c>
      <c r="AC38" s="3">
        <v>90</v>
      </c>
      <c r="AD38" s="3">
        <v>2</v>
      </c>
      <c r="AE38" s="3">
        <v>2</v>
      </c>
      <c r="AF38" s="3">
        <v>4</v>
      </c>
      <c r="AG38" s="3">
        <v>4</v>
      </c>
      <c r="AH38" s="3">
        <v>0</v>
      </c>
      <c r="AI38" s="3">
        <v>0</v>
      </c>
      <c r="AJ38" s="3">
        <v>1</v>
      </c>
      <c r="AK38" s="3">
        <v>1</v>
      </c>
      <c r="AL38" s="3">
        <v>3</v>
      </c>
      <c r="AM38" s="3">
        <v>3</v>
      </c>
      <c r="AN38" s="3">
        <v>1</v>
      </c>
      <c r="AO38" s="3">
        <v>1</v>
      </c>
      <c r="AP38" s="3">
        <v>0</v>
      </c>
      <c r="AQ38" s="3">
        <v>0</v>
      </c>
      <c r="AR38" s="2" t="s">
        <v>8</v>
      </c>
      <c r="AS38" s="2" t="s">
        <v>8</v>
      </c>
      <c r="AU38" s="5" t="str">
        <f>HYPERLINK("https://creighton-primo.hosted.exlibrisgroup.com/primo-explore/search?tab=default_tab&amp;search_scope=EVERYTHING&amp;vid=01CRU&amp;lang=en_US&amp;offset=0&amp;query=any,contains,991001260329702656","Catalog Record")</f>
        <v>Catalog Record</v>
      </c>
      <c r="AV38" s="5" t="str">
        <f>HYPERLINK("http://www.worldcat.org/oclc/4003541","WorldCat Record")</f>
        <v>WorldCat Record</v>
      </c>
      <c r="AW38" s="2" t="s">
        <v>524</v>
      </c>
      <c r="AX38" s="2" t="s">
        <v>525</v>
      </c>
      <c r="AY38" s="2" t="s">
        <v>526</v>
      </c>
      <c r="AZ38" s="2" t="s">
        <v>526</v>
      </c>
      <c r="BA38" s="2" t="s">
        <v>527</v>
      </c>
      <c r="BB38" s="2" t="s">
        <v>21</v>
      </c>
      <c r="BD38" s="2" t="s">
        <v>528</v>
      </c>
      <c r="BE38" s="2" t="s">
        <v>529</v>
      </c>
      <c r="BF38" s="2" t="s">
        <v>530</v>
      </c>
    </row>
    <row r="39" spans="1:58" ht="42.75" customHeight="1" x14ac:dyDescent="0.25">
      <c r="A39" s="8" t="s">
        <v>8</v>
      </c>
      <c r="B39" s="1" t="s">
        <v>0</v>
      </c>
      <c r="C39" s="1" t="s">
        <v>1</v>
      </c>
      <c r="D39" s="1" t="s">
        <v>531</v>
      </c>
      <c r="E39" s="1" t="s">
        <v>532</v>
      </c>
      <c r="F39" s="1" t="s">
        <v>533</v>
      </c>
      <c r="H39" s="2" t="s">
        <v>8</v>
      </c>
      <c r="I39" s="2" t="s">
        <v>7</v>
      </c>
      <c r="J39" s="2" t="s">
        <v>8</v>
      </c>
      <c r="K39" s="2" t="s">
        <v>8</v>
      </c>
      <c r="L39" s="2" t="s">
        <v>9</v>
      </c>
      <c r="M39" s="1" t="s">
        <v>534</v>
      </c>
      <c r="Q39" s="2" t="s">
        <v>12</v>
      </c>
      <c r="R39" s="2" t="s">
        <v>535</v>
      </c>
      <c r="T39" s="2" t="s">
        <v>14</v>
      </c>
      <c r="U39" s="3">
        <v>2</v>
      </c>
      <c r="V39" s="3">
        <v>2</v>
      </c>
      <c r="W39" s="4" t="s">
        <v>536</v>
      </c>
      <c r="X39" s="4" t="s">
        <v>536</v>
      </c>
      <c r="Y39" s="4" t="s">
        <v>537</v>
      </c>
      <c r="Z39" s="4" t="s">
        <v>537</v>
      </c>
      <c r="AA39" s="3">
        <v>24</v>
      </c>
      <c r="AB39" s="3">
        <v>24</v>
      </c>
      <c r="AC39" s="3">
        <v>47</v>
      </c>
      <c r="AD39" s="3">
        <v>1</v>
      </c>
      <c r="AE39" s="3">
        <v>1</v>
      </c>
      <c r="AF39" s="3">
        <v>0</v>
      </c>
      <c r="AG39" s="3">
        <v>0</v>
      </c>
      <c r="AH39" s="3">
        <v>0</v>
      </c>
      <c r="AI39" s="3">
        <v>0</v>
      </c>
      <c r="AJ39" s="3">
        <v>0</v>
      </c>
      <c r="AK39" s="3">
        <v>0</v>
      </c>
      <c r="AL39" s="3">
        <v>0</v>
      </c>
      <c r="AM39" s="3">
        <v>0</v>
      </c>
      <c r="AN39" s="3">
        <v>0</v>
      </c>
      <c r="AO39" s="3">
        <v>0</v>
      </c>
      <c r="AP39" s="3">
        <v>0</v>
      </c>
      <c r="AQ39" s="3">
        <v>0</v>
      </c>
      <c r="AR39" s="2" t="s">
        <v>8</v>
      </c>
      <c r="AS39" s="2" t="s">
        <v>8</v>
      </c>
      <c r="AU39" s="5" t="str">
        <f>HYPERLINK("https://creighton-primo.hosted.exlibrisgroup.com/primo-explore/search?tab=default_tab&amp;search_scope=EVERYTHING&amp;vid=01CRU&amp;lang=en_US&amp;offset=0&amp;query=any,contains,991000987119702656","Catalog Record")</f>
        <v>Catalog Record</v>
      </c>
      <c r="AV39" s="5" t="str">
        <f>HYPERLINK("http://www.worldcat.org/oclc/1417080","WorldCat Record")</f>
        <v>WorldCat Record</v>
      </c>
      <c r="AW39" s="2" t="s">
        <v>538</v>
      </c>
      <c r="AX39" s="2" t="s">
        <v>539</v>
      </c>
      <c r="AY39" s="2" t="s">
        <v>540</v>
      </c>
      <c r="AZ39" s="2" t="s">
        <v>540</v>
      </c>
      <c r="BA39" s="2" t="s">
        <v>541</v>
      </c>
      <c r="BB39" s="2" t="s">
        <v>21</v>
      </c>
      <c r="BE39" s="2" t="s">
        <v>542</v>
      </c>
      <c r="BF39" s="2" t="s">
        <v>543</v>
      </c>
    </row>
    <row r="40" spans="1:58" ht="42.75" customHeight="1" x14ac:dyDescent="0.25">
      <c r="A40" s="8" t="s">
        <v>8</v>
      </c>
      <c r="B40" s="1" t="s">
        <v>0</v>
      </c>
      <c r="C40" s="1" t="s">
        <v>1</v>
      </c>
      <c r="D40" s="1" t="s">
        <v>544</v>
      </c>
      <c r="E40" s="1" t="s">
        <v>545</v>
      </c>
      <c r="F40" s="1" t="s">
        <v>546</v>
      </c>
      <c r="H40" s="2" t="s">
        <v>8</v>
      </c>
      <c r="I40" s="2" t="s">
        <v>7</v>
      </c>
      <c r="J40" s="2" t="s">
        <v>8</v>
      </c>
      <c r="K40" s="2" t="s">
        <v>8</v>
      </c>
      <c r="L40" s="2" t="s">
        <v>9</v>
      </c>
      <c r="M40" s="1" t="s">
        <v>547</v>
      </c>
      <c r="N40" s="1" t="s">
        <v>548</v>
      </c>
      <c r="O40" s="2" t="s">
        <v>549</v>
      </c>
      <c r="Q40" s="2" t="s">
        <v>12</v>
      </c>
      <c r="R40" s="2" t="s">
        <v>550</v>
      </c>
      <c r="T40" s="2" t="s">
        <v>14</v>
      </c>
      <c r="U40" s="3">
        <v>1</v>
      </c>
      <c r="V40" s="3">
        <v>1</v>
      </c>
      <c r="W40" s="4" t="s">
        <v>551</v>
      </c>
      <c r="X40" s="4" t="s">
        <v>551</v>
      </c>
      <c r="Y40" s="4" t="s">
        <v>552</v>
      </c>
      <c r="Z40" s="4" t="s">
        <v>552</v>
      </c>
      <c r="AA40" s="3">
        <v>163</v>
      </c>
      <c r="AB40" s="3">
        <v>142</v>
      </c>
      <c r="AC40" s="3">
        <v>144</v>
      </c>
      <c r="AD40" s="3">
        <v>1</v>
      </c>
      <c r="AE40" s="3">
        <v>1</v>
      </c>
      <c r="AF40" s="3">
        <v>5</v>
      </c>
      <c r="AG40" s="3">
        <v>5</v>
      </c>
      <c r="AH40" s="3">
        <v>1</v>
      </c>
      <c r="AI40" s="3">
        <v>1</v>
      </c>
      <c r="AJ40" s="3">
        <v>1</v>
      </c>
      <c r="AK40" s="3">
        <v>1</v>
      </c>
      <c r="AL40" s="3">
        <v>4</v>
      </c>
      <c r="AM40" s="3">
        <v>4</v>
      </c>
      <c r="AN40" s="3">
        <v>0</v>
      </c>
      <c r="AO40" s="3">
        <v>0</v>
      </c>
      <c r="AP40" s="3">
        <v>0</v>
      </c>
      <c r="AQ40" s="3">
        <v>0</v>
      </c>
      <c r="AR40" s="2" t="s">
        <v>8</v>
      </c>
      <c r="AS40" s="2" t="s">
        <v>8</v>
      </c>
      <c r="AT40" s="5" t="str">
        <f>HYPERLINK("http://catalog.hathitrust.org/Record/002066802","HathiTrust Record")</f>
        <v>HathiTrust Record</v>
      </c>
      <c r="AU40" s="5" t="str">
        <f>HYPERLINK("https://creighton-primo.hosted.exlibrisgroup.com/primo-explore/search?tab=default_tab&amp;search_scope=EVERYTHING&amp;vid=01CRU&amp;lang=en_US&amp;offset=0&amp;query=any,contains,991000986869702656","Catalog Record")</f>
        <v>Catalog Record</v>
      </c>
      <c r="AV40" s="5" t="str">
        <f>HYPERLINK("http://www.worldcat.org/oclc/14612538","WorldCat Record")</f>
        <v>WorldCat Record</v>
      </c>
      <c r="AW40" s="2" t="s">
        <v>553</v>
      </c>
      <c r="AX40" s="2" t="s">
        <v>554</v>
      </c>
      <c r="AY40" s="2" t="s">
        <v>555</v>
      </c>
      <c r="AZ40" s="2" t="s">
        <v>555</v>
      </c>
      <c r="BA40" s="2" t="s">
        <v>556</v>
      </c>
      <c r="BB40" s="2" t="s">
        <v>21</v>
      </c>
      <c r="BE40" s="2" t="s">
        <v>557</v>
      </c>
      <c r="BF40" s="2" t="s">
        <v>558</v>
      </c>
    </row>
    <row r="41" spans="1:58" ht="42.75" customHeight="1" x14ac:dyDescent="0.25">
      <c r="A41" s="8" t="s">
        <v>8</v>
      </c>
      <c r="B41" s="1" t="s">
        <v>0</v>
      </c>
      <c r="C41" s="1" t="s">
        <v>1</v>
      </c>
      <c r="D41" s="1" t="s">
        <v>559</v>
      </c>
      <c r="E41" s="1" t="s">
        <v>560</v>
      </c>
      <c r="F41" s="1" t="s">
        <v>561</v>
      </c>
      <c r="H41" s="2" t="s">
        <v>8</v>
      </c>
      <c r="I41" s="2" t="s">
        <v>7</v>
      </c>
      <c r="J41" s="2" t="s">
        <v>8</v>
      </c>
      <c r="K41" s="2" t="s">
        <v>8</v>
      </c>
      <c r="L41" s="2" t="s">
        <v>9</v>
      </c>
      <c r="M41" s="1" t="s">
        <v>562</v>
      </c>
      <c r="N41" s="1" t="s">
        <v>563</v>
      </c>
      <c r="O41" s="2" t="s">
        <v>564</v>
      </c>
      <c r="Q41" s="2" t="s">
        <v>12</v>
      </c>
      <c r="R41" s="2" t="s">
        <v>13</v>
      </c>
      <c r="T41" s="2" t="s">
        <v>14</v>
      </c>
      <c r="U41" s="3">
        <v>1</v>
      </c>
      <c r="V41" s="3">
        <v>1</v>
      </c>
      <c r="W41" s="4" t="s">
        <v>565</v>
      </c>
      <c r="X41" s="4" t="s">
        <v>565</v>
      </c>
      <c r="Y41" s="4" t="s">
        <v>552</v>
      </c>
      <c r="Z41" s="4" t="s">
        <v>552</v>
      </c>
      <c r="AA41" s="3">
        <v>124</v>
      </c>
      <c r="AB41" s="3">
        <v>107</v>
      </c>
      <c r="AC41" s="3">
        <v>114</v>
      </c>
      <c r="AD41" s="3">
        <v>1</v>
      </c>
      <c r="AE41" s="3">
        <v>1</v>
      </c>
      <c r="AF41" s="3">
        <v>4</v>
      </c>
      <c r="AG41" s="3">
        <v>4</v>
      </c>
      <c r="AH41" s="3">
        <v>1</v>
      </c>
      <c r="AI41" s="3">
        <v>1</v>
      </c>
      <c r="AJ41" s="3">
        <v>1</v>
      </c>
      <c r="AK41" s="3">
        <v>1</v>
      </c>
      <c r="AL41" s="3">
        <v>3</v>
      </c>
      <c r="AM41" s="3">
        <v>3</v>
      </c>
      <c r="AN41" s="3">
        <v>0</v>
      </c>
      <c r="AO41" s="3">
        <v>0</v>
      </c>
      <c r="AP41" s="3">
        <v>0</v>
      </c>
      <c r="AQ41" s="3">
        <v>0</v>
      </c>
      <c r="AR41" s="2" t="s">
        <v>6</v>
      </c>
      <c r="AS41" s="2" t="s">
        <v>8</v>
      </c>
      <c r="AT41" s="5" t="str">
        <f>HYPERLINK("http://catalog.hathitrust.org/Record/001562523","HathiTrust Record")</f>
        <v>HathiTrust Record</v>
      </c>
      <c r="AU41" s="5" t="str">
        <f>HYPERLINK("https://creighton-primo.hosted.exlibrisgroup.com/primo-explore/search?tab=default_tab&amp;search_scope=EVERYTHING&amp;vid=01CRU&amp;lang=en_US&amp;offset=0&amp;query=any,contains,991000986999702656","Catalog Record")</f>
        <v>Catalog Record</v>
      </c>
      <c r="AV41" s="5" t="str">
        <f>HYPERLINK("http://www.worldcat.org/oclc/14625656","WorldCat Record")</f>
        <v>WorldCat Record</v>
      </c>
      <c r="AW41" s="2" t="s">
        <v>566</v>
      </c>
      <c r="AX41" s="2" t="s">
        <v>567</v>
      </c>
      <c r="AY41" s="2" t="s">
        <v>568</v>
      </c>
      <c r="AZ41" s="2" t="s">
        <v>568</v>
      </c>
      <c r="BA41" s="2" t="s">
        <v>569</v>
      </c>
      <c r="BB41" s="2" t="s">
        <v>21</v>
      </c>
      <c r="BE41" s="2" t="s">
        <v>570</v>
      </c>
      <c r="BF41" s="2" t="s">
        <v>571</v>
      </c>
    </row>
    <row r="42" spans="1:58" ht="42.75" customHeight="1" x14ac:dyDescent="0.25">
      <c r="A42" s="8" t="s">
        <v>8</v>
      </c>
      <c r="B42" s="1" t="s">
        <v>0</v>
      </c>
      <c r="C42" s="1" t="s">
        <v>1</v>
      </c>
      <c r="D42" s="1" t="s">
        <v>572</v>
      </c>
      <c r="E42" s="1" t="s">
        <v>573</v>
      </c>
      <c r="F42" s="1" t="s">
        <v>574</v>
      </c>
      <c r="H42" s="2" t="s">
        <v>8</v>
      </c>
      <c r="I42" s="2" t="s">
        <v>7</v>
      </c>
      <c r="J42" s="2" t="s">
        <v>8</v>
      </c>
      <c r="K42" s="2" t="s">
        <v>8</v>
      </c>
      <c r="L42" s="2" t="s">
        <v>9</v>
      </c>
      <c r="M42" s="1" t="s">
        <v>575</v>
      </c>
      <c r="N42" s="1" t="s">
        <v>576</v>
      </c>
      <c r="O42" s="2" t="s">
        <v>564</v>
      </c>
      <c r="Q42" s="2" t="s">
        <v>12</v>
      </c>
      <c r="R42" s="2" t="s">
        <v>577</v>
      </c>
      <c r="T42" s="2" t="s">
        <v>14</v>
      </c>
      <c r="U42" s="3">
        <v>8</v>
      </c>
      <c r="V42" s="3">
        <v>8</v>
      </c>
      <c r="W42" s="4" t="s">
        <v>578</v>
      </c>
      <c r="X42" s="4" t="s">
        <v>578</v>
      </c>
      <c r="Y42" s="4" t="s">
        <v>101</v>
      </c>
      <c r="Z42" s="4" t="s">
        <v>101</v>
      </c>
      <c r="AA42" s="3">
        <v>50</v>
      </c>
      <c r="AB42" s="3">
        <v>50</v>
      </c>
      <c r="AC42" s="3">
        <v>52</v>
      </c>
      <c r="AD42" s="3">
        <v>2</v>
      </c>
      <c r="AE42" s="3">
        <v>2</v>
      </c>
      <c r="AF42" s="3">
        <v>1</v>
      </c>
      <c r="AG42" s="3">
        <v>1</v>
      </c>
      <c r="AH42" s="3">
        <v>0</v>
      </c>
      <c r="AI42" s="3">
        <v>0</v>
      </c>
      <c r="AJ42" s="3">
        <v>0</v>
      </c>
      <c r="AK42" s="3">
        <v>0</v>
      </c>
      <c r="AL42" s="3">
        <v>0</v>
      </c>
      <c r="AM42" s="3">
        <v>0</v>
      </c>
      <c r="AN42" s="3">
        <v>1</v>
      </c>
      <c r="AO42" s="3">
        <v>1</v>
      </c>
      <c r="AP42" s="3">
        <v>0</v>
      </c>
      <c r="AQ42" s="3">
        <v>0</v>
      </c>
      <c r="AR42" s="2" t="s">
        <v>8</v>
      </c>
      <c r="AS42" s="2" t="s">
        <v>6</v>
      </c>
      <c r="AT42" s="5" t="str">
        <f>HYPERLINK("http://catalog.hathitrust.org/Record/012265121","HathiTrust Record")</f>
        <v>HathiTrust Record</v>
      </c>
      <c r="AU42" s="5" t="str">
        <f>HYPERLINK("https://creighton-primo.hosted.exlibrisgroup.com/primo-explore/search?tab=default_tab&amp;search_scope=EVERYTHING&amp;vid=01CRU&amp;lang=en_US&amp;offset=0&amp;query=any,contains,991000987339702656","Catalog Record")</f>
        <v>Catalog Record</v>
      </c>
      <c r="AV42" s="5" t="str">
        <f>HYPERLINK("http://www.worldcat.org/oclc/2437187","WorldCat Record")</f>
        <v>WorldCat Record</v>
      </c>
      <c r="AW42" s="2" t="s">
        <v>579</v>
      </c>
      <c r="AX42" s="2" t="s">
        <v>580</v>
      </c>
      <c r="AY42" s="2" t="s">
        <v>581</v>
      </c>
      <c r="AZ42" s="2" t="s">
        <v>581</v>
      </c>
      <c r="BA42" s="2" t="s">
        <v>582</v>
      </c>
      <c r="BB42" s="2" t="s">
        <v>21</v>
      </c>
      <c r="BE42" s="2" t="s">
        <v>583</v>
      </c>
      <c r="BF42" s="2" t="s">
        <v>584</v>
      </c>
    </row>
    <row r="43" spans="1:58" ht="42.75" customHeight="1" x14ac:dyDescent="0.25">
      <c r="A43" s="8" t="s">
        <v>8</v>
      </c>
      <c r="B43" s="1" t="s">
        <v>0</v>
      </c>
      <c r="C43" s="1" t="s">
        <v>1</v>
      </c>
      <c r="D43" s="1" t="s">
        <v>585</v>
      </c>
      <c r="E43" s="1" t="s">
        <v>586</v>
      </c>
      <c r="F43" s="1" t="s">
        <v>587</v>
      </c>
      <c r="H43" s="2" t="s">
        <v>8</v>
      </c>
      <c r="I43" s="2" t="s">
        <v>7</v>
      </c>
      <c r="J43" s="2" t="s">
        <v>8</v>
      </c>
      <c r="K43" s="2" t="s">
        <v>8</v>
      </c>
      <c r="L43" s="2" t="s">
        <v>9</v>
      </c>
      <c r="N43" s="1" t="s">
        <v>588</v>
      </c>
      <c r="O43" s="2" t="s">
        <v>589</v>
      </c>
      <c r="Q43" s="2" t="s">
        <v>12</v>
      </c>
      <c r="R43" s="2" t="s">
        <v>590</v>
      </c>
      <c r="T43" s="2" t="s">
        <v>14</v>
      </c>
      <c r="U43" s="3">
        <v>1</v>
      </c>
      <c r="V43" s="3">
        <v>1</v>
      </c>
      <c r="W43" s="4" t="s">
        <v>591</v>
      </c>
      <c r="X43" s="4" t="s">
        <v>591</v>
      </c>
      <c r="Y43" s="4" t="s">
        <v>591</v>
      </c>
      <c r="Z43" s="4" t="s">
        <v>591</v>
      </c>
      <c r="AA43" s="3">
        <v>2</v>
      </c>
      <c r="AB43" s="3">
        <v>2</v>
      </c>
      <c r="AC43" s="3">
        <v>2</v>
      </c>
      <c r="AD43" s="3">
        <v>1</v>
      </c>
      <c r="AE43" s="3">
        <v>1</v>
      </c>
      <c r="AF43" s="3">
        <v>0</v>
      </c>
      <c r="AG43" s="3">
        <v>0</v>
      </c>
      <c r="AH43" s="3">
        <v>0</v>
      </c>
      <c r="AI43" s="3">
        <v>0</v>
      </c>
      <c r="AJ43" s="3">
        <v>0</v>
      </c>
      <c r="AK43" s="3">
        <v>0</v>
      </c>
      <c r="AL43" s="3">
        <v>0</v>
      </c>
      <c r="AM43" s="3">
        <v>0</v>
      </c>
      <c r="AN43" s="3">
        <v>0</v>
      </c>
      <c r="AO43" s="3">
        <v>0</v>
      </c>
      <c r="AP43" s="3">
        <v>0</v>
      </c>
      <c r="AQ43" s="3">
        <v>0</v>
      </c>
      <c r="AR43" s="2" t="s">
        <v>8</v>
      </c>
      <c r="AS43" s="2" t="s">
        <v>8</v>
      </c>
      <c r="AU43" s="5" t="str">
        <f>HYPERLINK("https://creighton-primo.hosted.exlibrisgroup.com/primo-explore/search?tab=default_tab&amp;search_scope=EVERYTHING&amp;vid=01CRU&amp;lang=en_US&amp;offset=0&amp;query=any,contains,991000817419702656","Catalog Record")</f>
        <v>Catalog Record</v>
      </c>
      <c r="AV43" s="5" t="str">
        <f>HYPERLINK("http://www.worldcat.org/oclc/23245967","WorldCat Record")</f>
        <v>WorldCat Record</v>
      </c>
      <c r="AW43" s="2" t="s">
        <v>592</v>
      </c>
      <c r="AX43" s="2" t="s">
        <v>593</v>
      </c>
      <c r="AY43" s="2" t="s">
        <v>594</v>
      </c>
      <c r="AZ43" s="2" t="s">
        <v>594</v>
      </c>
      <c r="BA43" s="2" t="s">
        <v>595</v>
      </c>
      <c r="BB43" s="2" t="s">
        <v>21</v>
      </c>
      <c r="BE43" s="2" t="s">
        <v>596</v>
      </c>
      <c r="BF43" s="2" t="s">
        <v>597</v>
      </c>
    </row>
    <row r="44" spans="1:58" ht="42.75" customHeight="1" x14ac:dyDescent="0.25">
      <c r="A44" s="8" t="s">
        <v>8</v>
      </c>
      <c r="B44" s="1" t="s">
        <v>0</v>
      </c>
      <c r="C44" s="1" t="s">
        <v>1</v>
      </c>
      <c r="D44" s="1" t="s">
        <v>598</v>
      </c>
      <c r="E44" s="1" t="s">
        <v>599</v>
      </c>
      <c r="F44" s="1" t="s">
        <v>600</v>
      </c>
      <c r="H44" s="2" t="s">
        <v>8</v>
      </c>
      <c r="I44" s="2" t="s">
        <v>7</v>
      </c>
      <c r="J44" s="2" t="s">
        <v>8</v>
      </c>
      <c r="K44" s="2" t="s">
        <v>8</v>
      </c>
      <c r="L44" s="2" t="s">
        <v>9</v>
      </c>
      <c r="N44" s="1" t="s">
        <v>601</v>
      </c>
      <c r="O44" s="2" t="s">
        <v>602</v>
      </c>
      <c r="Q44" s="2" t="s">
        <v>12</v>
      </c>
      <c r="R44" s="2" t="s">
        <v>590</v>
      </c>
      <c r="T44" s="2" t="s">
        <v>14</v>
      </c>
      <c r="U44" s="3">
        <v>1</v>
      </c>
      <c r="V44" s="3">
        <v>1</v>
      </c>
      <c r="W44" s="4" t="s">
        <v>603</v>
      </c>
      <c r="X44" s="4" t="s">
        <v>603</v>
      </c>
      <c r="Y44" s="4" t="s">
        <v>603</v>
      </c>
      <c r="Z44" s="4" t="s">
        <v>603</v>
      </c>
      <c r="AA44" s="3">
        <v>4</v>
      </c>
      <c r="AB44" s="3">
        <v>4</v>
      </c>
      <c r="AC44" s="3">
        <v>4</v>
      </c>
      <c r="AD44" s="3">
        <v>1</v>
      </c>
      <c r="AE44" s="3">
        <v>1</v>
      </c>
      <c r="AF44" s="3">
        <v>0</v>
      </c>
      <c r="AG44" s="3">
        <v>0</v>
      </c>
      <c r="AH44" s="3">
        <v>0</v>
      </c>
      <c r="AI44" s="3">
        <v>0</v>
      </c>
      <c r="AJ44" s="3">
        <v>0</v>
      </c>
      <c r="AK44" s="3">
        <v>0</v>
      </c>
      <c r="AL44" s="3">
        <v>0</v>
      </c>
      <c r="AM44" s="3">
        <v>0</v>
      </c>
      <c r="AN44" s="3">
        <v>0</v>
      </c>
      <c r="AO44" s="3">
        <v>0</v>
      </c>
      <c r="AP44" s="3">
        <v>0</v>
      </c>
      <c r="AQ44" s="3">
        <v>0</v>
      </c>
      <c r="AR44" s="2" t="s">
        <v>8</v>
      </c>
      <c r="AS44" s="2" t="s">
        <v>8</v>
      </c>
      <c r="AU44" s="5" t="str">
        <f>HYPERLINK("https://creighton-primo.hosted.exlibrisgroup.com/primo-explore/search?tab=default_tab&amp;search_scope=EVERYTHING&amp;vid=01CRU&amp;lang=en_US&amp;offset=0&amp;query=any,contains,991001027889702656","Catalog Record")</f>
        <v>Catalog Record</v>
      </c>
      <c r="AV44" s="5" t="str">
        <f>HYPERLINK("http://www.worldcat.org/oclc/24768915","WorldCat Record")</f>
        <v>WorldCat Record</v>
      </c>
      <c r="AW44" s="2" t="s">
        <v>604</v>
      </c>
      <c r="AX44" s="2" t="s">
        <v>605</v>
      </c>
      <c r="AY44" s="2" t="s">
        <v>606</v>
      </c>
      <c r="AZ44" s="2" t="s">
        <v>606</v>
      </c>
      <c r="BA44" s="2" t="s">
        <v>607</v>
      </c>
      <c r="BB44" s="2" t="s">
        <v>21</v>
      </c>
      <c r="BE44" s="2" t="s">
        <v>608</v>
      </c>
      <c r="BF44" s="2" t="s">
        <v>609</v>
      </c>
    </row>
    <row r="45" spans="1:58" ht="42.75" customHeight="1" x14ac:dyDescent="0.25">
      <c r="A45" s="8" t="s">
        <v>8</v>
      </c>
      <c r="B45" s="1" t="s">
        <v>0</v>
      </c>
      <c r="C45" s="1" t="s">
        <v>1</v>
      </c>
      <c r="D45" s="1" t="s">
        <v>610</v>
      </c>
      <c r="E45" s="1" t="s">
        <v>611</v>
      </c>
      <c r="F45" s="1" t="s">
        <v>612</v>
      </c>
      <c r="H45" s="2" t="s">
        <v>8</v>
      </c>
      <c r="I45" s="2" t="s">
        <v>7</v>
      </c>
      <c r="J45" s="2" t="s">
        <v>8</v>
      </c>
      <c r="K45" s="2" t="s">
        <v>8</v>
      </c>
      <c r="L45" s="2" t="s">
        <v>9</v>
      </c>
      <c r="N45" s="1" t="s">
        <v>613</v>
      </c>
      <c r="O45" s="2" t="s">
        <v>614</v>
      </c>
      <c r="Q45" s="2" t="s">
        <v>12</v>
      </c>
      <c r="R45" s="2" t="s">
        <v>590</v>
      </c>
      <c r="T45" s="2" t="s">
        <v>14</v>
      </c>
      <c r="U45" s="3">
        <v>1</v>
      </c>
      <c r="V45" s="3">
        <v>1</v>
      </c>
      <c r="W45" s="4" t="s">
        <v>615</v>
      </c>
      <c r="X45" s="4" t="s">
        <v>615</v>
      </c>
      <c r="Y45" s="4" t="s">
        <v>615</v>
      </c>
      <c r="Z45" s="4" t="s">
        <v>615</v>
      </c>
      <c r="AA45" s="3">
        <v>9</v>
      </c>
      <c r="AB45" s="3">
        <v>9</v>
      </c>
      <c r="AC45" s="3">
        <v>9</v>
      </c>
      <c r="AD45" s="3">
        <v>1</v>
      </c>
      <c r="AE45" s="3">
        <v>1</v>
      </c>
      <c r="AF45" s="3">
        <v>0</v>
      </c>
      <c r="AG45" s="3">
        <v>0</v>
      </c>
      <c r="AH45" s="3">
        <v>0</v>
      </c>
      <c r="AI45" s="3">
        <v>0</v>
      </c>
      <c r="AJ45" s="3">
        <v>0</v>
      </c>
      <c r="AK45" s="3">
        <v>0</v>
      </c>
      <c r="AL45" s="3">
        <v>0</v>
      </c>
      <c r="AM45" s="3">
        <v>0</v>
      </c>
      <c r="AN45" s="3">
        <v>0</v>
      </c>
      <c r="AO45" s="3">
        <v>0</v>
      </c>
      <c r="AP45" s="3">
        <v>0</v>
      </c>
      <c r="AQ45" s="3">
        <v>0</v>
      </c>
      <c r="AR45" s="2" t="s">
        <v>8</v>
      </c>
      <c r="AS45" s="2" t="s">
        <v>8</v>
      </c>
      <c r="AU45" s="5" t="str">
        <f>HYPERLINK("https://creighton-primo.hosted.exlibrisgroup.com/primo-explore/search?tab=default_tab&amp;search_scope=EVERYTHING&amp;vid=01CRU&amp;lang=en_US&amp;offset=0&amp;query=any,contains,991001352059702656","Catalog Record")</f>
        <v>Catalog Record</v>
      </c>
      <c r="AV45" s="5" t="str">
        <f>HYPERLINK("http://www.worldcat.org/oclc/27345161","WorldCat Record")</f>
        <v>WorldCat Record</v>
      </c>
      <c r="AW45" s="2" t="s">
        <v>616</v>
      </c>
      <c r="AX45" s="2" t="s">
        <v>617</v>
      </c>
      <c r="AY45" s="2" t="s">
        <v>618</v>
      </c>
      <c r="AZ45" s="2" t="s">
        <v>618</v>
      </c>
      <c r="BA45" s="2" t="s">
        <v>619</v>
      </c>
      <c r="BB45" s="2" t="s">
        <v>21</v>
      </c>
      <c r="BE45" s="2" t="s">
        <v>620</v>
      </c>
      <c r="BF45" s="2" t="s">
        <v>621</v>
      </c>
    </row>
    <row r="46" spans="1:58" ht="42.75" customHeight="1" x14ac:dyDescent="0.25">
      <c r="A46" s="8" t="s">
        <v>8</v>
      </c>
      <c r="B46" s="1" t="s">
        <v>0</v>
      </c>
      <c r="C46" s="1" t="s">
        <v>1</v>
      </c>
      <c r="D46" s="1" t="s">
        <v>622</v>
      </c>
      <c r="E46" s="1" t="s">
        <v>623</v>
      </c>
      <c r="F46" s="1" t="s">
        <v>624</v>
      </c>
      <c r="H46" s="2" t="s">
        <v>8</v>
      </c>
      <c r="I46" s="2" t="s">
        <v>7</v>
      </c>
      <c r="J46" s="2" t="s">
        <v>8</v>
      </c>
      <c r="K46" s="2" t="s">
        <v>8</v>
      </c>
      <c r="L46" s="2" t="s">
        <v>9</v>
      </c>
      <c r="M46" s="1" t="s">
        <v>625</v>
      </c>
      <c r="N46" s="1" t="s">
        <v>626</v>
      </c>
      <c r="O46" s="2" t="s">
        <v>627</v>
      </c>
      <c r="Q46" s="2" t="s">
        <v>12</v>
      </c>
      <c r="R46" s="2" t="s">
        <v>628</v>
      </c>
      <c r="T46" s="2" t="s">
        <v>14</v>
      </c>
      <c r="U46" s="3">
        <v>7</v>
      </c>
      <c r="V46" s="3">
        <v>7</v>
      </c>
      <c r="W46" s="4" t="s">
        <v>629</v>
      </c>
      <c r="X46" s="4" t="s">
        <v>629</v>
      </c>
      <c r="Y46" s="4" t="s">
        <v>523</v>
      </c>
      <c r="Z46" s="4" t="s">
        <v>523</v>
      </c>
      <c r="AA46" s="3">
        <v>366</v>
      </c>
      <c r="AB46" s="3">
        <v>313</v>
      </c>
      <c r="AC46" s="3">
        <v>319</v>
      </c>
      <c r="AD46" s="3">
        <v>1</v>
      </c>
      <c r="AE46" s="3">
        <v>1</v>
      </c>
      <c r="AF46" s="3">
        <v>20</v>
      </c>
      <c r="AG46" s="3">
        <v>20</v>
      </c>
      <c r="AH46" s="3">
        <v>8</v>
      </c>
      <c r="AI46" s="3">
        <v>8</v>
      </c>
      <c r="AJ46" s="3">
        <v>8</v>
      </c>
      <c r="AK46" s="3">
        <v>8</v>
      </c>
      <c r="AL46" s="3">
        <v>10</v>
      </c>
      <c r="AM46" s="3">
        <v>10</v>
      </c>
      <c r="AN46" s="3">
        <v>0</v>
      </c>
      <c r="AO46" s="3">
        <v>0</v>
      </c>
      <c r="AP46" s="3">
        <v>1</v>
      </c>
      <c r="AQ46" s="3">
        <v>1</v>
      </c>
      <c r="AR46" s="2" t="s">
        <v>8</v>
      </c>
      <c r="AS46" s="2" t="s">
        <v>6</v>
      </c>
      <c r="AT46" s="5" t="str">
        <f>HYPERLINK("http://catalog.hathitrust.org/Record/001538727","HathiTrust Record")</f>
        <v>HathiTrust Record</v>
      </c>
      <c r="AU46" s="5" t="str">
        <f>HYPERLINK("https://creighton-primo.hosted.exlibrisgroup.com/primo-explore/search?tab=default_tab&amp;search_scope=EVERYTHING&amp;vid=01CRU&amp;lang=en_US&amp;offset=0&amp;query=any,contains,991001253469702656","Catalog Record")</f>
        <v>Catalog Record</v>
      </c>
      <c r="AV46" s="5" t="str">
        <f>HYPERLINK("http://www.worldcat.org/oclc/19264615","WorldCat Record")</f>
        <v>WorldCat Record</v>
      </c>
      <c r="AW46" s="2" t="s">
        <v>630</v>
      </c>
      <c r="AX46" s="2" t="s">
        <v>631</v>
      </c>
      <c r="AY46" s="2" t="s">
        <v>632</v>
      </c>
      <c r="AZ46" s="2" t="s">
        <v>632</v>
      </c>
      <c r="BA46" s="2" t="s">
        <v>633</v>
      </c>
      <c r="BB46" s="2" t="s">
        <v>21</v>
      </c>
      <c r="BD46" s="2" t="s">
        <v>634</v>
      </c>
      <c r="BE46" s="2" t="s">
        <v>635</v>
      </c>
      <c r="BF46" s="2" t="s">
        <v>636</v>
      </c>
    </row>
    <row r="47" spans="1:58" ht="42.75" customHeight="1" x14ac:dyDescent="0.25">
      <c r="A47" s="8" t="s">
        <v>8</v>
      </c>
      <c r="B47" s="1" t="s">
        <v>0</v>
      </c>
      <c r="C47" s="1" t="s">
        <v>1</v>
      </c>
      <c r="D47" s="1" t="s">
        <v>637</v>
      </c>
      <c r="E47" s="1" t="s">
        <v>638</v>
      </c>
      <c r="F47" s="1" t="s">
        <v>639</v>
      </c>
      <c r="H47" s="2" t="s">
        <v>8</v>
      </c>
      <c r="I47" s="2" t="s">
        <v>7</v>
      </c>
      <c r="J47" s="2" t="s">
        <v>8</v>
      </c>
      <c r="K47" s="2" t="s">
        <v>8</v>
      </c>
      <c r="L47" s="2" t="s">
        <v>9</v>
      </c>
      <c r="M47" s="1" t="s">
        <v>640</v>
      </c>
      <c r="N47" s="1" t="s">
        <v>641</v>
      </c>
      <c r="O47" s="2" t="s">
        <v>642</v>
      </c>
      <c r="Q47" s="2" t="s">
        <v>12</v>
      </c>
      <c r="R47" s="2" t="s">
        <v>643</v>
      </c>
      <c r="T47" s="2" t="s">
        <v>14</v>
      </c>
      <c r="U47" s="3">
        <v>0</v>
      </c>
      <c r="V47" s="3">
        <v>0</v>
      </c>
      <c r="W47" s="4" t="s">
        <v>644</v>
      </c>
      <c r="X47" s="4" t="s">
        <v>644</v>
      </c>
      <c r="Y47" s="4" t="s">
        <v>644</v>
      </c>
      <c r="Z47" s="4" t="s">
        <v>644</v>
      </c>
      <c r="AA47" s="3">
        <v>88</v>
      </c>
      <c r="AB47" s="3">
        <v>41</v>
      </c>
      <c r="AC47" s="3">
        <v>43</v>
      </c>
      <c r="AD47" s="3">
        <v>1</v>
      </c>
      <c r="AE47" s="3">
        <v>1</v>
      </c>
      <c r="AF47" s="3">
        <v>2</v>
      </c>
      <c r="AG47" s="3">
        <v>2</v>
      </c>
      <c r="AH47" s="3">
        <v>1</v>
      </c>
      <c r="AI47" s="3">
        <v>1</v>
      </c>
      <c r="AJ47" s="3">
        <v>1</v>
      </c>
      <c r="AK47" s="3">
        <v>1</v>
      </c>
      <c r="AL47" s="3">
        <v>0</v>
      </c>
      <c r="AM47" s="3">
        <v>0</v>
      </c>
      <c r="AN47" s="3">
        <v>0</v>
      </c>
      <c r="AO47" s="3">
        <v>0</v>
      </c>
      <c r="AP47" s="3">
        <v>0</v>
      </c>
      <c r="AQ47" s="3">
        <v>0</v>
      </c>
      <c r="AR47" s="2" t="s">
        <v>8</v>
      </c>
      <c r="AS47" s="2" t="s">
        <v>6</v>
      </c>
      <c r="AT47" s="5" t="str">
        <f>HYPERLINK("http://catalog.hathitrust.org/Record/004748493","HathiTrust Record")</f>
        <v>HathiTrust Record</v>
      </c>
      <c r="AU47" s="5" t="str">
        <f>HYPERLINK("https://creighton-primo.hosted.exlibrisgroup.com/primo-explore/search?tab=default_tab&amp;search_scope=EVERYTHING&amp;vid=01CRU&amp;lang=en_US&amp;offset=0&amp;query=any,contains,991000388729702656","Catalog Record")</f>
        <v>Catalog Record</v>
      </c>
      <c r="AV47" s="5" t="str">
        <f>HYPERLINK("http://www.worldcat.org/oclc/55211456","WorldCat Record")</f>
        <v>WorldCat Record</v>
      </c>
      <c r="AW47" s="2" t="s">
        <v>645</v>
      </c>
      <c r="AX47" s="2" t="s">
        <v>646</v>
      </c>
      <c r="AY47" s="2" t="s">
        <v>647</v>
      </c>
      <c r="AZ47" s="2" t="s">
        <v>647</v>
      </c>
      <c r="BA47" s="2" t="s">
        <v>648</v>
      </c>
      <c r="BB47" s="2" t="s">
        <v>21</v>
      </c>
      <c r="BD47" s="2" t="s">
        <v>649</v>
      </c>
      <c r="BE47" s="2" t="s">
        <v>650</v>
      </c>
      <c r="BF47" s="2" t="s">
        <v>651</v>
      </c>
    </row>
    <row r="48" spans="1:58" ht="42.75" customHeight="1" x14ac:dyDescent="0.25">
      <c r="A48" s="8" t="s">
        <v>8</v>
      </c>
      <c r="B48" s="1" t="s">
        <v>0</v>
      </c>
      <c r="C48" s="1" t="s">
        <v>1</v>
      </c>
      <c r="D48" s="1" t="s">
        <v>652</v>
      </c>
      <c r="E48" s="1" t="s">
        <v>653</v>
      </c>
      <c r="F48" s="1" t="s">
        <v>654</v>
      </c>
      <c r="H48" s="2" t="s">
        <v>8</v>
      </c>
      <c r="I48" s="2" t="s">
        <v>7</v>
      </c>
      <c r="J48" s="2" t="s">
        <v>8</v>
      </c>
      <c r="K48" s="2" t="s">
        <v>8</v>
      </c>
      <c r="L48" s="2" t="s">
        <v>9</v>
      </c>
      <c r="M48" s="1" t="s">
        <v>655</v>
      </c>
      <c r="N48" s="1" t="s">
        <v>656</v>
      </c>
      <c r="O48" s="2" t="s">
        <v>657</v>
      </c>
      <c r="Q48" s="2" t="s">
        <v>12</v>
      </c>
      <c r="R48" s="2" t="s">
        <v>658</v>
      </c>
      <c r="T48" s="2" t="s">
        <v>14</v>
      </c>
      <c r="U48" s="3">
        <v>7</v>
      </c>
      <c r="V48" s="3">
        <v>7</v>
      </c>
      <c r="W48" s="4" t="s">
        <v>659</v>
      </c>
      <c r="X48" s="4" t="s">
        <v>659</v>
      </c>
      <c r="Y48" s="4" t="s">
        <v>660</v>
      </c>
      <c r="Z48" s="4" t="s">
        <v>660</v>
      </c>
      <c r="AA48" s="3">
        <v>253</v>
      </c>
      <c r="AB48" s="3">
        <v>247</v>
      </c>
      <c r="AC48" s="3">
        <v>254</v>
      </c>
      <c r="AD48" s="3">
        <v>7</v>
      </c>
      <c r="AE48" s="3">
        <v>7</v>
      </c>
      <c r="AF48" s="3">
        <v>5</v>
      </c>
      <c r="AG48" s="3">
        <v>5</v>
      </c>
      <c r="AH48" s="3">
        <v>2</v>
      </c>
      <c r="AI48" s="3">
        <v>2</v>
      </c>
      <c r="AJ48" s="3">
        <v>0</v>
      </c>
      <c r="AK48" s="3">
        <v>0</v>
      </c>
      <c r="AL48" s="3">
        <v>2</v>
      </c>
      <c r="AM48" s="3">
        <v>2</v>
      </c>
      <c r="AN48" s="3">
        <v>2</v>
      </c>
      <c r="AO48" s="3">
        <v>2</v>
      </c>
      <c r="AP48" s="3">
        <v>0</v>
      </c>
      <c r="AQ48" s="3">
        <v>0</v>
      </c>
      <c r="AR48" s="2" t="s">
        <v>8</v>
      </c>
      <c r="AS48" s="2" t="s">
        <v>6</v>
      </c>
      <c r="AT48" s="5" t="str">
        <f>HYPERLINK("http://catalog.hathitrust.org/Record/004971928","HathiTrust Record")</f>
        <v>HathiTrust Record</v>
      </c>
      <c r="AU48" s="5" t="str">
        <f>HYPERLINK("https://creighton-primo.hosted.exlibrisgroup.com/primo-explore/search?tab=default_tab&amp;search_scope=EVERYTHING&amp;vid=01CRU&amp;lang=en_US&amp;offset=0&amp;query=any,contains,991000339399702656","Catalog Record")</f>
        <v>Catalog Record</v>
      </c>
      <c r="AV48" s="5" t="str">
        <f>HYPERLINK("http://www.worldcat.org/oclc/46835210","WorldCat Record")</f>
        <v>WorldCat Record</v>
      </c>
      <c r="AW48" s="2" t="s">
        <v>661</v>
      </c>
      <c r="AX48" s="2" t="s">
        <v>662</v>
      </c>
      <c r="AY48" s="2" t="s">
        <v>663</v>
      </c>
      <c r="AZ48" s="2" t="s">
        <v>663</v>
      </c>
      <c r="BA48" s="2" t="s">
        <v>664</v>
      </c>
      <c r="BB48" s="2" t="s">
        <v>21</v>
      </c>
      <c r="BD48" s="2" t="s">
        <v>665</v>
      </c>
      <c r="BE48" s="2" t="s">
        <v>666</v>
      </c>
      <c r="BF48" s="2" t="s">
        <v>667</v>
      </c>
    </row>
    <row r="49" spans="1:58" ht="42.75" customHeight="1" x14ac:dyDescent="0.25">
      <c r="A49" s="8" t="s">
        <v>8</v>
      </c>
      <c r="B49" s="1" t="s">
        <v>0</v>
      </c>
      <c r="C49" s="1" t="s">
        <v>1</v>
      </c>
      <c r="D49" s="1" t="s">
        <v>668</v>
      </c>
      <c r="E49" s="1" t="s">
        <v>669</v>
      </c>
      <c r="F49" s="1" t="s">
        <v>670</v>
      </c>
      <c r="H49" s="2" t="s">
        <v>8</v>
      </c>
      <c r="I49" s="2" t="s">
        <v>7</v>
      </c>
      <c r="J49" s="2" t="s">
        <v>8</v>
      </c>
      <c r="K49" s="2" t="s">
        <v>8</v>
      </c>
      <c r="L49" s="2" t="s">
        <v>9</v>
      </c>
      <c r="M49" s="1" t="s">
        <v>671</v>
      </c>
      <c r="N49" s="1" t="s">
        <v>672</v>
      </c>
      <c r="O49" s="2" t="s">
        <v>673</v>
      </c>
      <c r="Q49" s="2" t="s">
        <v>12</v>
      </c>
      <c r="R49" s="2" t="s">
        <v>674</v>
      </c>
      <c r="T49" s="2" t="s">
        <v>14</v>
      </c>
      <c r="U49" s="3">
        <v>1</v>
      </c>
      <c r="V49" s="3">
        <v>1</v>
      </c>
      <c r="W49" s="4" t="s">
        <v>675</v>
      </c>
      <c r="X49" s="4" t="s">
        <v>675</v>
      </c>
      <c r="Y49" s="4" t="s">
        <v>676</v>
      </c>
      <c r="Z49" s="4" t="s">
        <v>676</v>
      </c>
      <c r="AA49" s="3">
        <v>134</v>
      </c>
      <c r="AB49" s="3">
        <v>123</v>
      </c>
      <c r="AC49" s="3">
        <v>319</v>
      </c>
      <c r="AD49" s="3">
        <v>1</v>
      </c>
      <c r="AE49" s="3">
        <v>4</v>
      </c>
      <c r="AF49" s="3">
        <v>1</v>
      </c>
      <c r="AG49" s="3">
        <v>4</v>
      </c>
      <c r="AH49" s="3">
        <v>0</v>
      </c>
      <c r="AI49" s="3">
        <v>1</v>
      </c>
      <c r="AJ49" s="3">
        <v>1</v>
      </c>
      <c r="AK49" s="3">
        <v>1</v>
      </c>
      <c r="AL49" s="3">
        <v>0</v>
      </c>
      <c r="AM49" s="3">
        <v>1</v>
      </c>
      <c r="AN49" s="3">
        <v>0</v>
      </c>
      <c r="AO49" s="3">
        <v>1</v>
      </c>
      <c r="AP49" s="3">
        <v>0</v>
      </c>
      <c r="AQ49" s="3">
        <v>0</v>
      </c>
      <c r="AR49" s="2" t="s">
        <v>8</v>
      </c>
      <c r="AS49" s="2" t="s">
        <v>8</v>
      </c>
      <c r="AU49" s="5" t="str">
        <f>HYPERLINK("https://creighton-primo.hosted.exlibrisgroup.com/primo-explore/search?tab=default_tab&amp;search_scope=EVERYTHING&amp;vid=01CRU&amp;lang=en_US&amp;offset=0&amp;query=any,contains,991001339239702656","Catalog Record")</f>
        <v>Catalog Record</v>
      </c>
      <c r="AV49" s="5" t="str">
        <f>HYPERLINK("http://www.worldcat.org/oclc/122341305","WorldCat Record")</f>
        <v>WorldCat Record</v>
      </c>
      <c r="AW49" s="2" t="s">
        <v>677</v>
      </c>
      <c r="AX49" s="2" t="s">
        <v>678</v>
      </c>
      <c r="AY49" s="2" t="s">
        <v>679</v>
      </c>
      <c r="AZ49" s="2" t="s">
        <v>679</v>
      </c>
      <c r="BA49" s="2" t="s">
        <v>680</v>
      </c>
      <c r="BB49" s="2" t="s">
        <v>21</v>
      </c>
      <c r="BD49" s="2" t="s">
        <v>681</v>
      </c>
      <c r="BE49" s="2" t="s">
        <v>682</v>
      </c>
      <c r="BF49" s="2" t="s">
        <v>683</v>
      </c>
    </row>
    <row r="50" spans="1:58" ht="42.75" customHeight="1" x14ac:dyDescent="0.25">
      <c r="A50" s="8" t="s">
        <v>8</v>
      </c>
      <c r="B50" s="1" t="s">
        <v>0</v>
      </c>
      <c r="C50" s="1" t="s">
        <v>1</v>
      </c>
      <c r="D50" s="1" t="s">
        <v>684</v>
      </c>
      <c r="E50" s="1" t="s">
        <v>685</v>
      </c>
      <c r="F50" s="1" t="s">
        <v>686</v>
      </c>
      <c r="H50" s="2" t="s">
        <v>8</v>
      </c>
      <c r="I50" s="2" t="s">
        <v>7</v>
      </c>
      <c r="J50" s="2" t="s">
        <v>8</v>
      </c>
      <c r="K50" s="2" t="s">
        <v>6</v>
      </c>
      <c r="L50" s="2" t="s">
        <v>9</v>
      </c>
      <c r="N50" s="1" t="s">
        <v>687</v>
      </c>
      <c r="O50" s="2" t="s">
        <v>688</v>
      </c>
      <c r="P50" s="1" t="s">
        <v>689</v>
      </c>
      <c r="Q50" s="2" t="s">
        <v>12</v>
      </c>
      <c r="R50" s="2" t="s">
        <v>34</v>
      </c>
      <c r="T50" s="2" t="s">
        <v>14</v>
      </c>
      <c r="U50" s="3">
        <v>34</v>
      </c>
      <c r="V50" s="3">
        <v>34</v>
      </c>
      <c r="W50" s="4" t="s">
        <v>690</v>
      </c>
      <c r="X50" s="4" t="s">
        <v>690</v>
      </c>
      <c r="Y50" s="4" t="s">
        <v>691</v>
      </c>
      <c r="Z50" s="4" t="s">
        <v>691</v>
      </c>
      <c r="AA50" s="3">
        <v>664</v>
      </c>
      <c r="AB50" s="3">
        <v>488</v>
      </c>
      <c r="AC50" s="3">
        <v>3188</v>
      </c>
      <c r="AD50" s="3">
        <v>4</v>
      </c>
      <c r="AE50" s="3">
        <v>24</v>
      </c>
      <c r="AF50" s="3">
        <v>12</v>
      </c>
      <c r="AG50" s="3">
        <v>54</v>
      </c>
      <c r="AH50" s="3">
        <v>4</v>
      </c>
      <c r="AI50" s="3">
        <v>21</v>
      </c>
      <c r="AJ50" s="3">
        <v>1</v>
      </c>
      <c r="AK50" s="3">
        <v>5</v>
      </c>
      <c r="AL50" s="3">
        <v>4</v>
      </c>
      <c r="AM50" s="3">
        <v>17</v>
      </c>
      <c r="AN50" s="3">
        <v>2</v>
      </c>
      <c r="AO50" s="3">
        <v>8</v>
      </c>
      <c r="AP50" s="3">
        <v>3</v>
      </c>
      <c r="AQ50" s="3">
        <v>10</v>
      </c>
      <c r="AR50" s="2" t="s">
        <v>8</v>
      </c>
      <c r="AS50" s="2" t="s">
        <v>8</v>
      </c>
      <c r="AU50" s="5" t="str">
        <f>HYPERLINK("https://creighton-primo.hosted.exlibrisgroup.com/primo-explore/search?tab=default_tab&amp;search_scope=EVERYTHING&amp;vid=01CRU&amp;lang=en_US&amp;offset=0&amp;query=any,contains,991001399229702656","Catalog Record")</f>
        <v>Catalog Record</v>
      </c>
      <c r="AV50" s="5" t="str">
        <f>HYPERLINK("http://www.worldcat.org/oclc/30948606","WorldCat Record")</f>
        <v>WorldCat Record</v>
      </c>
      <c r="AW50" s="2" t="s">
        <v>692</v>
      </c>
      <c r="AX50" s="2" t="s">
        <v>693</v>
      </c>
      <c r="AY50" s="2" t="s">
        <v>694</v>
      </c>
      <c r="AZ50" s="2" t="s">
        <v>694</v>
      </c>
      <c r="BA50" s="2" t="s">
        <v>695</v>
      </c>
      <c r="BB50" s="2" t="s">
        <v>21</v>
      </c>
      <c r="BD50" s="2" t="s">
        <v>696</v>
      </c>
      <c r="BE50" s="2" t="s">
        <v>697</v>
      </c>
      <c r="BF50" s="2" t="s">
        <v>698</v>
      </c>
    </row>
    <row r="51" spans="1:58" ht="42.75" customHeight="1" x14ac:dyDescent="0.25">
      <c r="A51" s="8" t="s">
        <v>8</v>
      </c>
      <c r="B51" s="1" t="s">
        <v>0</v>
      </c>
      <c r="C51" s="1" t="s">
        <v>1</v>
      </c>
      <c r="D51" s="1" t="s">
        <v>699</v>
      </c>
      <c r="E51" s="1" t="s">
        <v>700</v>
      </c>
      <c r="F51" s="1" t="s">
        <v>701</v>
      </c>
      <c r="H51" s="2" t="s">
        <v>8</v>
      </c>
      <c r="I51" s="2" t="s">
        <v>7</v>
      </c>
      <c r="J51" s="2" t="s">
        <v>8</v>
      </c>
      <c r="K51" s="2" t="s">
        <v>8</v>
      </c>
      <c r="L51" s="2" t="s">
        <v>9</v>
      </c>
      <c r="M51" s="1" t="s">
        <v>702</v>
      </c>
      <c r="N51" s="1" t="s">
        <v>703</v>
      </c>
      <c r="O51" s="2" t="s">
        <v>614</v>
      </c>
      <c r="Q51" s="2" t="s">
        <v>12</v>
      </c>
      <c r="R51" s="2" t="s">
        <v>643</v>
      </c>
      <c r="T51" s="2" t="s">
        <v>14</v>
      </c>
      <c r="U51" s="3">
        <v>1</v>
      </c>
      <c r="V51" s="3">
        <v>1</v>
      </c>
      <c r="W51" s="4" t="s">
        <v>704</v>
      </c>
      <c r="X51" s="4" t="s">
        <v>704</v>
      </c>
      <c r="Y51" s="4" t="s">
        <v>704</v>
      </c>
      <c r="Z51" s="4" t="s">
        <v>704</v>
      </c>
      <c r="AA51" s="3">
        <v>188</v>
      </c>
      <c r="AB51" s="3">
        <v>119</v>
      </c>
      <c r="AC51" s="3">
        <v>119</v>
      </c>
      <c r="AD51" s="3">
        <v>1</v>
      </c>
      <c r="AE51" s="3">
        <v>1</v>
      </c>
      <c r="AF51" s="3">
        <v>0</v>
      </c>
      <c r="AG51" s="3">
        <v>0</v>
      </c>
      <c r="AH51" s="3">
        <v>0</v>
      </c>
      <c r="AI51" s="3">
        <v>0</v>
      </c>
      <c r="AJ51" s="3">
        <v>0</v>
      </c>
      <c r="AK51" s="3">
        <v>0</v>
      </c>
      <c r="AL51" s="3">
        <v>0</v>
      </c>
      <c r="AM51" s="3">
        <v>0</v>
      </c>
      <c r="AN51" s="3">
        <v>0</v>
      </c>
      <c r="AO51" s="3">
        <v>0</v>
      </c>
      <c r="AP51" s="3">
        <v>0</v>
      </c>
      <c r="AQ51" s="3">
        <v>0</v>
      </c>
      <c r="AR51" s="2" t="s">
        <v>8</v>
      </c>
      <c r="AS51" s="2" t="s">
        <v>8</v>
      </c>
      <c r="AU51" s="5" t="str">
        <f>HYPERLINK("https://creighton-primo.hosted.exlibrisgroup.com/primo-explore/search?tab=default_tab&amp;search_scope=EVERYTHING&amp;vid=01CRU&amp;lang=en_US&amp;offset=0&amp;query=any,contains,991001035359702656","Catalog Record")</f>
        <v>Catalog Record</v>
      </c>
      <c r="AV51" s="5" t="str">
        <f>HYPERLINK("http://www.worldcat.org/oclc/23732311","WorldCat Record")</f>
        <v>WorldCat Record</v>
      </c>
      <c r="AW51" s="2" t="s">
        <v>705</v>
      </c>
      <c r="AX51" s="2" t="s">
        <v>706</v>
      </c>
      <c r="AY51" s="2" t="s">
        <v>707</v>
      </c>
      <c r="AZ51" s="2" t="s">
        <v>707</v>
      </c>
      <c r="BA51" s="2" t="s">
        <v>708</v>
      </c>
      <c r="BB51" s="2" t="s">
        <v>21</v>
      </c>
      <c r="BD51" s="2" t="s">
        <v>709</v>
      </c>
      <c r="BE51" s="2" t="s">
        <v>710</v>
      </c>
      <c r="BF51" s="2" t="s">
        <v>711</v>
      </c>
    </row>
    <row r="52" spans="1:58" ht="42.75" customHeight="1" x14ac:dyDescent="0.25">
      <c r="A52" s="8" t="s">
        <v>8</v>
      </c>
      <c r="B52" s="1" t="s">
        <v>0</v>
      </c>
      <c r="C52" s="1" t="s">
        <v>1</v>
      </c>
      <c r="D52" s="1" t="s">
        <v>712</v>
      </c>
      <c r="E52" s="1" t="s">
        <v>713</v>
      </c>
      <c r="F52" s="1" t="s">
        <v>714</v>
      </c>
      <c r="H52" s="2" t="s">
        <v>8</v>
      </c>
      <c r="I52" s="2" t="s">
        <v>7</v>
      </c>
      <c r="J52" s="2" t="s">
        <v>8</v>
      </c>
      <c r="K52" s="2" t="s">
        <v>8</v>
      </c>
      <c r="L52" s="2" t="s">
        <v>9</v>
      </c>
      <c r="M52" s="1" t="s">
        <v>715</v>
      </c>
      <c r="N52" s="1" t="s">
        <v>716</v>
      </c>
      <c r="O52" s="2" t="s">
        <v>627</v>
      </c>
      <c r="Q52" s="2" t="s">
        <v>12</v>
      </c>
      <c r="R52" s="2" t="s">
        <v>34</v>
      </c>
      <c r="T52" s="2" t="s">
        <v>14</v>
      </c>
      <c r="U52" s="3">
        <v>4</v>
      </c>
      <c r="V52" s="3">
        <v>4</v>
      </c>
      <c r="W52" s="4" t="s">
        <v>717</v>
      </c>
      <c r="X52" s="4" t="s">
        <v>717</v>
      </c>
      <c r="Y52" s="4" t="s">
        <v>718</v>
      </c>
      <c r="Z52" s="4" t="s">
        <v>718</v>
      </c>
      <c r="AA52" s="3">
        <v>170</v>
      </c>
      <c r="AB52" s="3">
        <v>153</v>
      </c>
      <c r="AC52" s="3">
        <v>154</v>
      </c>
      <c r="AD52" s="3">
        <v>1</v>
      </c>
      <c r="AE52" s="3">
        <v>1</v>
      </c>
      <c r="AF52" s="3">
        <v>7</v>
      </c>
      <c r="AG52" s="3">
        <v>7</v>
      </c>
      <c r="AH52" s="3">
        <v>2</v>
      </c>
      <c r="AI52" s="3">
        <v>2</v>
      </c>
      <c r="AJ52" s="3">
        <v>2</v>
      </c>
      <c r="AK52" s="3">
        <v>2</v>
      </c>
      <c r="AL52" s="3">
        <v>2</v>
      </c>
      <c r="AM52" s="3">
        <v>2</v>
      </c>
      <c r="AN52" s="3">
        <v>0</v>
      </c>
      <c r="AO52" s="3">
        <v>0</v>
      </c>
      <c r="AP52" s="3">
        <v>3</v>
      </c>
      <c r="AQ52" s="3">
        <v>3</v>
      </c>
      <c r="AR52" s="2" t="s">
        <v>8</v>
      </c>
      <c r="AS52" s="2" t="s">
        <v>6</v>
      </c>
      <c r="AT52" s="5" t="str">
        <f>HYPERLINK("http://catalog.hathitrust.org/Record/001545565","HathiTrust Record")</f>
        <v>HathiTrust Record</v>
      </c>
      <c r="AU52" s="5" t="str">
        <f>HYPERLINK("https://creighton-primo.hosted.exlibrisgroup.com/primo-explore/search?tab=default_tab&amp;search_scope=EVERYTHING&amp;vid=01CRU&amp;lang=en_US&amp;offset=0&amp;query=any,contains,991001315339702656","Catalog Record")</f>
        <v>Catalog Record</v>
      </c>
      <c r="AV52" s="5" t="str">
        <f>HYPERLINK("http://www.worldcat.org/oclc/20134020","WorldCat Record")</f>
        <v>WorldCat Record</v>
      </c>
      <c r="AW52" s="2" t="s">
        <v>719</v>
      </c>
      <c r="AX52" s="2" t="s">
        <v>720</v>
      </c>
      <c r="AY52" s="2" t="s">
        <v>721</v>
      </c>
      <c r="AZ52" s="2" t="s">
        <v>721</v>
      </c>
      <c r="BA52" s="2" t="s">
        <v>722</v>
      </c>
      <c r="BB52" s="2" t="s">
        <v>21</v>
      </c>
      <c r="BD52" s="2" t="s">
        <v>723</v>
      </c>
      <c r="BE52" s="2" t="s">
        <v>724</v>
      </c>
      <c r="BF52" s="2" t="s">
        <v>725</v>
      </c>
    </row>
    <row r="53" spans="1:58" ht="42.75" customHeight="1" x14ac:dyDescent="0.25">
      <c r="A53" s="8" t="s">
        <v>8</v>
      </c>
      <c r="B53" s="1" t="s">
        <v>0</v>
      </c>
      <c r="C53" s="1" t="s">
        <v>1</v>
      </c>
      <c r="D53" s="1" t="s">
        <v>726</v>
      </c>
      <c r="E53" s="1" t="s">
        <v>727</v>
      </c>
      <c r="F53" s="1" t="s">
        <v>728</v>
      </c>
      <c r="H53" s="2" t="s">
        <v>8</v>
      </c>
      <c r="I53" s="2" t="s">
        <v>7</v>
      </c>
      <c r="J53" s="2" t="s">
        <v>8</v>
      </c>
      <c r="K53" s="2" t="s">
        <v>6</v>
      </c>
      <c r="L53" s="2" t="s">
        <v>9</v>
      </c>
      <c r="M53" s="1" t="s">
        <v>729</v>
      </c>
      <c r="N53" s="1" t="s">
        <v>730</v>
      </c>
      <c r="O53" s="2" t="s">
        <v>731</v>
      </c>
      <c r="P53" s="1" t="s">
        <v>732</v>
      </c>
      <c r="Q53" s="2" t="s">
        <v>12</v>
      </c>
      <c r="R53" s="2" t="s">
        <v>456</v>
      </c>
      <c r="T53" s="2" t="s">
        <v>14</v>
      </c>
      <c r="U53" s="3">
        <v>9</v>
      </c>
      <c r="V53" s="3">
        <v>9</v>
      </c>
      <c r="W53" s="4" t="s">
        <v>733</v>
      </c>
      <c r="X53" s="4" t="s">
        <v>733</v>
      </c>
      <c r="Y53" s="4" t="s">
        <v>734</v>
      </c>
      <c r="Z53" s="4" t="s">
        <v>734</v>
      </c>
      <c r="AA53" s="3">
        <v>311</v>
      </c>
      <c r="AB53" s="3">
        <v>262</v>
      </c>
      <c r="AC53" s="3">
        <v>997</v>
      </c>
      <c r="AD53" s="3">
        <v>1</v>
      </c>
      <c r="AE53" s="3">
        <v>4</v>
      </c>
      <c r="AF53" s="3">
        <v>4</v>
      </c>
      <c r="AG53" s="3">
        <v>19</v>
      </c>
      <c r="AH53" s="3">
        <v>0</v>
      </c>
      <c r="AI53" s="3">
        <v>7</v>
      </c>
      <c r="AJ53" s="3">
        <v>1</v>
      </c>
      <c r="AK53" s="3">
        <v>3</v>
      </c>
      <c r="AL53" s="3">
        <v>4</v>
      </c>
      <c r="AM53" s="3">
        <v>9</v>
      </c>
      <c r="AN53" s="3">
        <v>0</v>
      </c>
      <c r="AO53" s="3">
        <v>2</v>
      </c>
      <c r="AP53" s="3">
        <v>0</v>
      </c>
      <c r="AQ53" s="3">
        <v>1</v>
      </c>
      <c r="AR53" s="2" t="s">
        <v>8</v>
      </c>
      <c r="AS53" s="2" t="s">
        <v>6</v>
      </c>
      <c r="AT53" s="5" t="str">
        <f>HYPERLINK("http://catalog.hathitrust.org/Record/003958825","HathiTrust Record")</f>
        <v>HathiTrust Record</v>
      </c>
      <c r="AU53" s="5" t="str">
        <f>HYPERLINK("https://creighton-primo.hosted.exlibrisgroup.com/primo-explore/search?tab=default_tab&amp;search_scope=EVERYTHING&amp;vid=01CRU&amp;lang=en_US&amp;offset=0&amp;query=any,contains,991001306309702656","Catalog Record")</f>
        <v>Catalog Record</v>
      </c>
      <c r="AV53" s="5" t="str">
        <f>HYPERLINK("http://www.worldcat.org/oclc/38161435","WorldCat Record")</f>
        <v>WorldCat Record</v>
      </c>
      <c r="AW53" s="2" t="s">
        <v>735</v>
      </c>
      <c r="AX53" s="2" t="s">
        <v>736</v>
      </c>
      <c r="AY53" s="2" t="s">
        <v>737</v>
      </c>
      <c r="AZ53" s="2" t="s">
        <v>737</v>
      </c>
      <c r="BA53" s="2" t="s">
        <v>738</v>
      </c>
      <c r="BB53" s="2" t="s">
        <v>21</v>
      </c>
      <c r="BD53" s="2" t="s">
        <v>739</v>
      </c>
      <c r="BE53" s="2" t="s">
        <v>740</v>
      </c>
      <c r="BF53" s="2" t="s">
        <v>741</v>
      </c>
    </row>
    <row r="54" spans="1:58" ht="42.75" customHeight="1" x14ac:dyDescent="0.25">
      <c r="A54" s="8" t="s">
        <v>8</v>
      </c>
      <c r="B54" s="1" t="s">
        <v>0</v>
      </c>
      <c r="C54" s="1" t="s">
        <v>1</v>
      </c>
      <c r="D54" s="1" t="s">
        <v>742</v>
      </c>
      <c r="E54" s="1" t="s">
        <v>743</v>
      </c>
      <c r="F54" s="1" t="s">
        <v>744</v>
      </c>
      <c r="G54" s="2" t="s">
        <v>745</v>
      </c>
      <c r="H54" s="2" t="s">
        <v>8</v>
      </c>
      <c r="I54" s="2" t="s">
        <v>7</v>
      </c>
      <c r="J54" s="2" t="s">
        <v>8</v>
      </c>
      <c r="K54" s="2" t="s">
        <v>6</v>
      </c>
      <c r="L54" s="2" t="s">
        <v>9</v>
      </c>
      <c r="M54" s="1" t="s">
        <v>746</v>
      </c>
      <c r="N54" s="1" t="s">
        <v>747</v>
      </c>
      <c r="O54" s="2" t="s">
        <v>266</v>
      </c>
      <c r="P54" s="1" t="s">
        <v>732</v>
      </c>
      <c r="Q54" s="2" t="s">
        <v>12</v>
      </c>
      <c r="R54" s="2" t="s">
        <v>34</v>
      </c>
      <c r="T54" s="2" t="s">
        <v>14</v>
      </c>
      <c r="U54" s="3">
        <v>12</v>
      </c>
      <c r="V54" s="3">
        <v>12</v>
      </c>
      <c r="W54" s="4" t="s">
        <v>748</v>
      </c>
      <c r="X54" s="4" t="s">
        <v>748</v>
      </c>
      <c r="Y54" s="4" t="s">
        <v>749</v>
      </c>
      <c r="Z54" s="4" t="s">
        <v>749</v>
      </c>
      <c r="AA54" s="3">
        <v>380</v>
      </c>
      <c r="AB54" s="3">
        <v>333</v>
      </c>
      <c r="AC54" s="3">
        <v>1471</v>
      </c>
      <c r="AD54" s="3">
        <v>1</v>
      </c>
      <c r="AE54" s="3">
        <v>5</v>
      </c>
      <c r="AF54" s="3">
        <v>4</v>
      </c>
      <c r="AG54" s="3">
        <v>29</v>
      </c>
      <c r="AH54" s="3">
        <v>3</v>
      </c>
      <c r="AI54" s="3">
        <v>13</v>
      </c>
      <c r="AJ54" s="3">
        <v>0</v>
      </c>
      <c r="AK54" s="3">
        <v>5</v>
      </c>
      <c r="AL54" s="3">
        <v>2</v>
      </c>
      <c r="AM54" s="3">
        <v>12</v>
      </c>
      <c r="AN54" s="3">
        <v>0</v>
      </c>
      <c r="AO54" s="3">
        <v>2</v>
      </c>
      <c r="AP54" s="3">
        <v>0</v>
      </c>
      <c r="AQ54" s="3">
        <v>2</v>
      </c>
      <c r="AR54" s="2" t="s">
        <v>8</v>
      </c>
      <c r="AS54" s="2" t="s">
        <v>6</v>
      </c>
      <c r="AT54" s="5" t="str">
        <f>HYPERLINK("http://catalog.hathitrust.org/Record/008852213","HathiTrust Record")</f>
        <v>HathiTrust Record</v>
      </c>
      <c r="AU54" s="5" t="str">
        <f>HYPERLINK("https://creighton-primo.hosted.exlibrisgroup.com/primo-explore/search?tab=default_tab&amp;search_scope=EVERYTHING&amp;vid=01CRU&amp;lang=en_US&amp;offset=0&amp;query=any,contains,991000757459702656","Catalog Record")</f>
        <v>Catalog Record</v>
      </c>
      <c r="AV54" s="5" t="str">
        <f>HYPERLINK("http://www.worldcat.org/oclc/8709241","WorldCat Record")</f>
        <v>WorldCat Record</v>
      </c>
      <c r="AW54" s="2" t="s">
        <v>750</v>
      </c>
      <c r="AX54" s="2" t="s">
        <v>751</v>
      </c>
      <c r="AY54" s="2" t="s">
        <v>752</v>
      </c>
      <c r="AZ54" s="2" t="s">
        <v>752</v>
      </c>
      <c r="BA54" s="2" t="s">
        <v>753</v>
      </c>
      <c r="BB54" s="2" t="s">
        <v>21</v>
      </c>
      <c r="BD54" s="2" t="s">
        <v>754</v>
      </c>
      <c r="BE54" s="2" t="s">
        <v>755</v>
      </c>
      <c r="BF54" s="2" t="s">
        <v>756</v>
      </c>
    </row>
    <row r="55" spans="1:58" ht="42.75" customHeight="1" x14ac:dyDescent="0.25">
      <c r="A55" s="8" t="s">
        <v>8</v>
      </c>
      <c r="B55" s="1" t="s">
        <v>0</v>
      </c>
      <c r="C55" s="1" t="s">
        <v>1</v>
      </c>
      <c r="D55" s="1" t="s">
        <v>757</v>
      </c>
      <c r="E55" s="1" t="s">
        <v>758</v>
      </c>
      <c r="F55" s="1" t="s">
        <v>759</v>
      </c>
      <c r="H55" s="2" t="s">
        <v>8</v>
      </c>
      <c r="I55" s="2" t="s">
        <v>7</v>
      </c>
      <c r="J55" s="2" t="s">
        <v>8</v>
      </c>
      <c r="K55" s="2" t="s">
        <v>6</v>
      </c>
      <c r="L55" s="2" t="s">
        <v>9</v>
      </c>
      <c r="M55" s="1" t="s">
        <v>746</v>
      </c>
      <c r="N55" s="1" t="s">
        <v>760</v>
      </c>
      <c r="O55" s="2" t="s">
        <v>298</v>
      </c>
      <c r="P55" s="1" t="s">
        <v>761</v>
      </c>
      <c r="Q55" s="2" t="s">
        <v>12</v>
      </c>
      <c r="R55" s="2" t="s">
        <v>34</v>
      </c>
      <c r="T55" s="2" t="s">
        <v>14</v>
      </c>
      <c r="U55" s="3">
        <v>24</v>
      </c>
      <c r="V55" s="3">
        <v>24</v>
      </c>
      <c r="W55" s="4" t="s">
        <v>762</v>
      </c>
      <c r="X55" s="4" t="s">
        <v>762</v>
      </c>
      <c r="Y55" s="4" t="s">
        <v>763</v>
      </c>
      <c r="Z55" s="4" t="s">
        <v>763</v>
      </c>
      <c r="AA55" s="3">
        <v>549</v>
      </c>
      <c r="AB55" s="3">
        <v>443</v>
      </c>
      <c r="AC55" s="3">
        <v>1471</v>
      </c>
      <c r="AD55" s="3">
        <v>1</v>
      </c>
      <c r="AE55" s="3">
        <v>5</v>
      </c>
      <c r="AF55" s="3">
        <v>7</v>
      </c>
      <c r="AG55" s="3">
        <v>29</v>
      </c>
      <c r="AH55" s="3">
        <v>2</v>
      </c>
      <c r="AI55" s="3">
        <v>13</v>
      </c>
      <c r="AJ55" s="3">
        <v>2</v>
      </c>
      <c r="AK55" s="3">
        <v>5</v>
      </c>
      <c r="AL55" s="3">
        <v>3</v>
      </c>
      <c r="AM55" s="3">
        <v>12</v>
      </c>
      <c r="AN55" s="3">
        <v>0</v>
      </c>
      <c r="AO55" s="3">
        <v>2</v>
      </c>
      <c r="AP55" s="3">
        <v>1</v>
      </c>
      <c r="AQ55" s="3">
        <v>2</v>
      </c>
      <c r="AR55" s="2" t="s">
        <v>8</v>
      </c>
      <c r="AS55" s="2" t="s">
        <v>6</v>
      </c>
      <c r="AT55" s="5" t="str">
        <f>HYPERLINK("http://catalog.hathitrust.org/Record/000808661","HathiTrust Record")</f>
        <v>HathiTrust Record</v>
      </c>
      <c r="AU55" s="5" t="str">
        <f>HYPERLINK("https://creighton-primo.hosted.exlibrisgroup.com/primo-explore/search?tab=default_tab&amp;search_scope=EVERYTHING&amp;vid=01CRU&amp;lang=en_US&amp;offset=0&amp;query=any,contains,991000588309702656","Catalog Record")</f>
        <v>Catalog Record</v>
      </c>
      <c r="AV55" s="5" t="str">
        <f>HYPERLINK("http://www.worldcat.org/oclc/14587064","WorldCat Record")</f>
        <v>WorldCat Record</v>
      </c>
      <c r="AW55" s="2" t="s">
        <v>750</v>
      </c>
      <c r="AX55" s="2" t="s">
        <v>764</v>
      </c>
      <c r="AY55" s="2" t="s">
        <v>765</v>
      </c>
      <c r="AZ55" s="2" t="s">
        <v>765</v>
      </c>
      <c r="BA55" s="2" t="s">
        <v>766</v>
      </c>
      <c r="BB55" s="2" t="s">
        <v>21</v>
      </c>
      <c r="BD55" s="2" t="s">
        <v>767</v>
      </c>
      <c r="BE55" s="2" t="s">
        <v>768</v>
      </c>
      <c r="BF55" s="2" t="s">
        <v>769</v>
      </c>
    </row>
    <row r="56" spans="1:58" ht="42.75" customHeight="1" x14ac:dyDescent="0.25">
      <c r="A56" s="8" t="s">
        <v>8</v>
      </c>
      <c r="B56" s="1" t="s">
        <v>0</v>
      </c>
      <c r="C56" s="1" t="s">
        <v>1</v>
      </c>
      <c r="D56" s="1" t="s">
        <v>770</v>
      </c>
      <c r="E56" s="1" t="s">
        <v>771</v>
      </c>
      <c r="F56" s="1" t="s">
        <v>772</v>
      </c>
      <c r="H56" s="2" t="s">
        <v>8</v>
      </c>
      <c r="I56" s="2" t="s">
        <v>7</v>
      </c>
      <c r="J56" s="2" t="s">
        <v>8</v>
      </c>
      <c r="K56" s="2" t="s">
        <v>6</v>
      </c>
      <c r="L56" s="2" t="s">
        <v>9</v>
      </c>
      <c r="N56" s="1" t="s">
        <v>773</v>
      </c>
      <c r="O56" s="2" t="s">
        <v>688</v>
      </c>
      <c r="P56" s="1" t="s">
        <v>761</v>
      </c>
      <c r="Q56" s="2" t="s">
        <v>12</v>
      </c>
      <c r="R56" s="2" t="s">
        <v>774</v>
      </c>
      <c r="T56" s="2" t="s">
        <v>14</v>
      </c>
      <c r="U56" s="3">
        <v>48</v>
      </c>
      <c r="V56" s="3">
        <v>48</v>
      </c>
      <c r="W56" s="4" t="s">
        <v>775</v>
      </c>
      <c r="X56" s="4" t="s">
        <v>775</v>
      </c>
      <c r="Y56" s="4" t="s">
        <v>776</v>
      </c>
      <c r="Z56" s="4" t="s">
        <v>776</v>
      </c>
      <c r="AA56" s="3">
        <v>700</v>
      </c>
      <c r="AB56" s="3">
        <v>601</v>
      </c>
      <c r="AC56" s="3">
        <v>1206</v>
      </c>
      <c r="AD56" s="3">
        <v>2</v>
      </c>
      <c r="AE56" s="3">
        <v>3</v>
      </c>
      <c r="AF56" s="3">
        <v>7</v>
      </c>
      <c r="AG56" s="3">
        <v>15</v>
      </c>
      <c r="AH56" s="3">
        <v>2</v>
      </c>
      <c r="AI56" s="3">
        <v>3</v>
      </c>
      <c r="AJ56" s="3">
        <v>2</v>
      </c>
      <c r="AK56" s="3">
        <v>4</v>
      </c>
      <c r="AL56" s="3">
        <v>5</v>
      </c>
      <c r="AM56" s="3">
        <v>9</v>
      </c>
      <c r="AN56" s="3">
        <v>0</v>
      </c>
      <c r="AO56" s="3">
        <v>0</v>
      </c>
      <c r="AP56" s="3">
        <v>0</v>
      </c>
      <c r="AQ56" s="3">
        <v>1</v>
      </c>
      <c r="AR56" s="2" t="s">
        <v>8</v>
      </c>
      <c r="AS56" s="2" t="s">
        <v>8</v>
      </c>
      <c r="AU56" s="5" t="str">
        <f>HYPERLINK("https://creighton-primo.hosted.exlibrisgroup.com/primo-explore/search?tab=default_tab&amp;search_scope=EVERYTHING&amp;vid=01CRU&amp;lang=en_US&amp;offset=0&amp;query=any,contains,991000684399702656","Catalog Record")</f>
        <v>Catalog Record</v>
      </c>
      <c r="AV56" s="5" t="str">
        <f>HYPERLINK("http://www.worldcat.org/oclc/29185395","WorldCat Record")</f>
        <v>WorldCat Record</v>
      </c>
      <c r="AW56" s="2" t="s">
        <v>777</v>
      </c>
      <c r="AX56" s="2" t="s">
        <v>778</v>
      </c>
      <c r="AY56" s="2" t="s">
        <v>779</v>
      </c>
      <c r="AZ56" s="2" t="s">
        <v>779</v>
      </c>
      <c r="BA56" s="2" t="s">
        <v>780</v>
      </c>
      <c r="BB56" s="2" t="s">
        <v>21</v>
      </c>
      <c r="BD56" s="2" t="s">
        <v>781</v>
      </c>
      <c r="BE56" s="2" t="s">
        <v>782</v>
      </c>
      <c r="BF56" s="2" t="s">
        <v>783</v>
      </c>
    </row>
    <row r="57" spans="1:58" ht="42.75" customHeight="1" x14ac:dyDescent="0.25">
      <c r="A57" s="8" t="s">
        <v>8</v>
      </c>
      <c r="B57" s="1" t="s">
        <v>0</v>
      </c>
      <c r="C57" s="1" t="s">
        <v>1</v>
      </c>
      <c r="D57" s="1" t="s">
        <v>784</v>
      </c>
      <c r="E57" s="1" t="s">
        <v>785</v>
      </c>
      <c r="F57" s="1" t="s">
        <v>786</v>
      </c>
      <c r="H57" s="2" t="s">
        <v>8</v>
      </c>
      <c r="I57" s="2" t="s">
        <v>7</v>
      </c>
      <c r="J57" s="2" t="s">
        <v>8</v>
      </c>
      <c r="K57" s="2" t="s">
        <v>8</v>
      </c>
      <c r="L57" s="2" t="s">
        <v>9</v>
      </c>
      <c r="M57" s="1" t="s">
        <v>787</v>
      </c>
      <c r="N57" s="1" t="s">
        <v>788</v>
      </c>
      <c r="O57" s="2" t="s">
        <v>507</v>
      </c>
      <c r="Q57" s="2" t="s">
        <v>12</v>
      </c>
      <c r="R57" s="2" t="s">
        <v>267</v>
      </c>
      <c r="T57" s="2" t="s">
        <v>14</v>
      </c>
      <c r="U57" s="3">
        <v>4</v>
      </c>
      <c r="V57" s="3">
        <v>4</v>
      </c>
      <c r="W57" s="4" t="s">
        <v>789</v>
      </c>
      <c r="X57" s="4" t="s">
        <v>789</v>
      </c>
      <c r="Y57" s="4" t="s">
        <v>789</v>
      </c>
      <c r="Z57" s="4" t="s">
        <v>789</v>
      </c>
      <c r="AA57" s="3">
        <v>207</v>
      </c>
      <c r="AB57" s="3">
        <v>170</v>
      </c>
      <c r="AC57" s="3">
        <v>343</v>
      </c>
      <c r="AD57" s="3">
        <v>1</v>
      </c>
      <c r="AE57" s="3">
        <v>3</v>
      </c>
      <c r="AF57" s="3">
        <v>2</v>
      </c>
      <c r="AG57" s="3">
        <v>12</v>
      </c>
      <c r="AH57" s="3">
        <v>1</v>
      </c>
      <c r="AI57" s="3">
        <v>4</v>
      </c>
      <c r="AJ57" s="3">
        <v>0</v>
      </c>
      <c r="AK57" s="3">
        <v>2</v>
      </c>
      <c r="AL57" s="3">
        <v>0</v>
      </c>
      <c r="AM57" s="3">
        <v>0</v>
      </c>
      <c r="AN57" s="3">
        <v>0</v>
      </c>
      <c r="AO57" s="3">
        <v>1</v>
      </c>
      <c r="AP57" s="3">
        <v>1</v>
      </c>
      <c r="AQ57" s="3">
        <v>6</v>
      </c>
      <c r="AR57" s="2" t="s">
        <v>6</v>
      </c>
      <c r="AS57" s="2" t="s">
        <v>8</v>
      </c>
      <c r="AT57" s="5" t="str">
        <f>HYPERLINK("http://catalog.hathitrust.org/Record/001556834","HathiTrust Record")</f>
        <v>HathiTrust Record</v>
      </c>
      <c r="AU57" s="5" t="str">
        <f>HYPERLINK("https://creighton-primo.hosted.exlibrisgroup.com/primo-explore/search?tab=default_tab&amp;search_scope=EVERYTHING&amp;vid=01CRU&amp;lang=en_US&amp;offset=0&amp;query=any,contains,991000769729702656","Catalog Record")</f>
        <v>Catalog Record</v>
      </c>
      <c r="AV57" s="5" t="str">
        <f>HYPERLINK("http://www.worldcat.org/oclc/722042","WorldCat Record")</f>
        <v>WorldCat Record</v>
      </c>
      <c r="AW57" s="2" t="s">
        <v>790</v>
      </c>
      <c r="AX57" s="2" t="s">
        <v>791</v>
      </c>
      <c r="AY57" s="2" t="s">
        <v>792</v>
      </c>
      <c r="AZ57" s="2" t="s">
        <v>792</v>
      </c>
      <c r="BA57" s="2" t="s">
        <v>793</v>
      </c>
      <c r="BB57" s="2" t="s">
        <v>21</v>
      </c>
      <c r="BE57" s="2" t="s">
        <v>794</v>
      </c>
      <c r="BF57" s="2" t="s">
        <v>795</v>
      </c>
    </row>
    <row r="58" spans="1:58" ht="42.75" customHeight="1" x14ac:dyDescent="0.25">
      <c r="A58" s="8" t="s">
        <v>8</v>
      </c>
      <c r="B58" s="1" t="s">
        <v>0</v>
      </c>
      <c r="C58" s="1" t="s">
        <v>1</v>
      </c>
      <c r="D58" s="1" t="s">
        <v>796</v>
      </c>
      <c r="E58" s="1" t="s">
        <v>797</v>
      </c>
      <c r="F58" s="1" t="s">
        <v>798</v>
      </c>
      <c r="H58" s="2" t="s">
        <v>8</v>
      </c>
      <c r="I58" s="2" t="s">
        <v>7</v>
      </c>
      <c r="J58" s="2" t="s">
        <v>8</v>
      </c>
      <c r="K58" s="2" t="s">
        <v>8</v>
      </c>
      <c r="L58" s="2" t="s">
        <v>9</v>
      </c>
      <c r="M58" s="1" t="s">
        <v>799</v>
      </c>
      <c r="N58" s="1" t="s">
        <v>800</v>
      </c>
      <c r="O58" s="2" t="s">
        <v>614</v>
      </c>
      <c r="Q58" s="2" t="s">
        <v>12</v>
      </c>
      <c r="R58" s="2" t="s">
        <v>643</v>
      </c>
      <c r="T58" s="2" t="s">
        <v>14</v>
      </c>
      <c r="U58" s="3">
        <v>13</v>
      </c>
      <c r="V58" s="3">
        <v>13</v>
      </c>
      <c r="W58" s="4" t="s">
        <v>801</v>
      </c>
      <c r="X58" s="4" t="s">
        <v>801</v>
      </c>
      <c r="Y58" s="4" t="s">
        <v>802</v>
      </c>
      <c r="Z58" s="4" t="s">
        <v>802</v>
      </c>
      <c r="AA58" s="3">
        <v>281</v>
      </c>
      <c r="AB58" s="3">
        <v>200</v>
      </c>
      <c r="AC58" s="3">
        <v>216</v>
      </c>
      <c r="AD58" s="3">
        <v>1</v>
      </c>
      <c r="AE58" s="3">
        <v>1</v>
      </c>
      <c r="AF58" s="3">
        <v>3</v>
      </c>
      <c r="AG58" s="3">
        <v>3</v>
      </c>
      <c r="AH58" s="3">
        <v>1</v>
      </c>
      <c r="AI58" s="3">
        <v>1</v>
      </c>
      <c r="AJ58" s="3">
        <v>2</v>
      </c>
      <c r="AK58" s="3">
        <v>2</v>
      </c>
      <c r="AL58" s="3">
        <v>1</v>
      </c>
      <c r="AM58" s="3">
        <v>1</v>
      </c>
      <c r="AN58" s="3">
        <v>0</v>
      </c>
      <c r="AO58" s="3">
        <v>0</v>
      </c>
      <c r="AP58" s="3">
        <v>0</v>
      </c>
      <c r="AQ58" s="3">
        <v>0</v>
      </c>
      <c r="AR58" s="2" t="s">
        <v>8</v>
      </c>
      <c r="AS58" s="2" t="s">
        <v>8</v>
      </c>
      <c r="AU58" s="5" t="str">
        <f>HYPERLINK("https://creighton-primo.hosted.exlibrisgroup.com/primo-explore/search?tab=default_tab&amp;search_scope=EVERYTHING&amp;vid=01CRU&amp;lang=en_US&amp;offset=0&amp;query=any,contains,991000647549702656","Catalog Record")</f>
        <v>Catalog Record</v>
      </c>
      <c r="AV58" s="5" t="str">
        <f>HYPERLINK("http://www.worldcat.org/oclc/24870535","WorldCat Record")</f>
        <v>WorldCat Record</v>
      </c>
      <c r="AW58" s="2" t="s">
        <v>803</v>
      </c>
      <c r="AX58" s="2" t="s">
        <v>804</v>
      </c>
      <c r="AY58" s="2" t="s">
        <v>805</v>
      </c>
      <c r="AZ58" s="2" t="s">
        <v>805</v>
      </c>
      <c r="BA58" s="2" t="s">
        <v>806</v>
      </c>
      <c r="BB58" s="2" t="s">
        <v>21</v>
      </c>
      <c r="BD58" s="2" t="s">
        <v>807</v>
      </c>
      <c r="BE58" s="2" t="s">
        <v>808</v>
      </c>
      <c r="BF58" s="2" t="s">
        <v>809</v>
      </c>
    </row>
    <row r="59" spans="1:58" ht="42.75" customHeight="1" x14ac:dyDescent="0.25">
      <c r="A59" s="8" t="s">
        <v>8</v>
      </c>
      <c r="B59" s="1" t="s">
        <v>0</v>
      </c>
      <c r="C59" s="1" t="s">
        <v>1</v>
      </c>
      <c r="D59" s="1" t="s">
        <v>810</v>
      </c>
      <c r="E59" s="1" t="s">
        <v>811</v>
      </c>
      <c r="F59" s="1" t="s">
        <v>812</v>
      </c>
      <c r="H59" s="2" t="s">
        <v>8</v>
      </c>
      <c r="I59" s="2" t="s">
        <v>7</v>
      </c>
      <c r="J59" s="2" t="s">
        <v>8</v>
      </c>
      <c r="K59" s="2" t="s">
        <v>6</v>
      </c>
      <c r="L59" s="2" t="s">
        <v>9</v>
      </c>
      <c r="N59" s="1" t="s">
        <v>813</v>
      </c>
      <c r="O59" s="2" t="s">
        <v>814</v>
      </c>
      <c r="P59" s="1" t="s">
        <v>83</v>
      </c>
      <c r="Q59" s="2" t="s">
        <v>12</v>
      </c>
      <c r="R59" s="2" t="s">
        <v>815</v>
      </c>
      <c r="S59" s="1" t="s">
        <v>816</v>
      </c>
      <c r="T59" s="2" t="s">
        <v>14</v>
      </c>
      <c r="U59" s="3">
        <v>42</v>
      </c>
      <c r="V59" s="3">
        <v>42</v>
      </c>
      <c r="W59" s="4" t="s">
        <v>817</v>
      </c>
      <c r="X59" s="4" t="s">
        <v>817</v>
      </c>
      <c r="Y59" s="4" t="s">
        <v>818</v>
      </c>
      <c r="Z59" s="4" t="s">
        <v>818</v>
      </c>
      <c r="AA59" s="3">
        <v>347</v>
      </c>
      <c r="AB59" s="3">
        <v>318</v>
      </c>
      <c r="AC59" s="3">
        <v>671</v>
      </c>
      <c r="AD59" s="3">
        <v>3</v>
      </c>
      <c r="AE59" s="3">
        <v>4</v>
      </c>
      <c r="AF59" s="3">
        <v>8</v>
      </c>
      <c r="AG59" s="3">
        <v>19</v>
      </c>
      <c r="AH59" s="3">
        <v>2</v>
      </c>
      <c r="AI59" s="3">
        <v>6</v>
      </c>
      <c r="AJ59" s="3">
        <v>2</v>
      </c>
      <c r="AK59" s="3">
        <v>3</v>
      </c>
      <c r="AL59" s="3">
        <v>5</v>
      </c>
      <c r="AM59" s="3">
        <v>11</v>
      </c>
      <c r="AN59" s="3">
        <v>0</v>
      </c>
      <c r="AO59" s="3">
        <v>1</v>
      </c>
      <c r="AP59" s="3">
        <v>0</v>
      </c>
      <c r="AQ59" s="3">
        <v>1</v>
      </c>
      <c r="AR59" s="2" t="s">
        <v>8</v>
      </c>
      <c r="AS59" s="2" t="s">
        <v>6</v>
      </c>
      <c r="AT59" s="5" t="str">
        <f>HYPERLINK("http://catalog.hathitrust.org/Record/004014946","HathiTrust Record")</f>
        <v>HathiTrust Record</v>
      </c>
      <c r="AU59" s="5" t="str">
        <f>HYPERLINK("https://creighton-primo.hosted.exlibrisgroup.com/primo-explore/search?tab=default_tab&amp;search_scope=EVERYTHING&amp;vid=01CRU&amp;lang=en_US&amp;offset=0&amp;query=any,contains,991000869679702656","Catalog Record")</f>
        <v>Catalog Record</v>
      </c>
      <c r="AV59" s="5" t="str">
        <f>HYPERLINK("http://www.worldcat.org/oclc/39982608","WorldCat Record")</f>
        <v>WorldCat Record</v>
      </c>
      <c r="AW59" s="2" t="s">
        <v>819</v>
      </c>
      <c r="AX59" s="2" t="s">
        <v>820</v>
      </c>
      <c r="AY59" s="2" t="s">
        <v>821</v>
      </c>
      <c r="AZ59" s="2" t="s">
        <v>821</v>
      </c>
      <c r="BA59" s="2" t="s">
        <v>822</v>
      </c>
      <c r="BB59" s="2" t="s">
        <v>21</v>
      </c>
      <c r="BD59" s="2" t="s">
        <v>823</v>
      </c>
      <c r="BE59" s="2" t="s">
        <v>824</v>
      </c>
      <c r="BF59" s="2" t="s">
        <v>825</v>
      </c>
    </row>
    <row r="60" spans="1:58" ht="42.75" customHeight="1" x14ac:dyDescent="0.25">
      <c r="A60" s="8" t="s">
        <v>8</v>
      </c>
      <c r="B60" s="1" t="s">
        <v>0</v>
      </c>
      <c r="C60" s="1" t="s">
        <v>1</v>
      </c>
      <c r="D60" s="1" t="s">
        <v>826</v>
      </c>
      <c r="E60" s="1" t="s">
        <v>827</v>
      </c>
      <c r="F60" s="1" t="s">
        <v>828</v>
      </c>
      <c r="H60" s="2" t="s">
        <v>8</v>
      </c>
      <c r="I60" s="2" t="s">
        <v>7</v>
      </c>
      <c r="J60" s="2" t="s">
        <v>8</v>
      </c>
      <c r="K60" s="2" t="s">
        <v>6</v>
      </c>
      <c r="L60" s="2" t="s">
        <v>9</v>
      </c>
      <c r="N60" s="1" t="s">
        <v>829</v>
      </c>
      <c r="O60" s="2" t="s">
        <v>830</v>
      </c>
      <c r="P60" s="1" t="s">
        <v>732</v>
      </c>
      <c r="Q60" s="2" t="s">
        <v>12</v>
      </c>
      <c r="R60" s="2" t="s">
        <v>815</v>
      </c>
      <c r="T60" s="2" t="s">
        <v>14</v>
      </c>
      <c r="U60" s="3">
        <v>13</v>
      </c>
      <c r="V60" s="3">
        <v>13</v>
      </c>
      <c r="W60" s="4" t="s">
        <v>831</v>
      </c>
      <c r="X60" s="4" t="s">
        <v>831</v>
      </c>
      <c r="Y60" s="4" t="s">
        <v>832</v>
      </c>
      <c r="Z60" s="4" t="s">
        <v>832</v>
      </c>
      <c r="AA60" s="3">
        <v>362</v>
      </c>
      <c r="AB60" s="3">
        <v>309</v>
      </c>
      <c r="AC60" s="3">
        <v>671</v>
      </c>
      <c r="AD60" s="3">
        <v>2</v>
      </c>
      <c r="AE60" s="3">
        <v>4</v>
      </c>
      <c r="AF60" s="3">
        <v>9</v>
      </c>
      <c r="AG60" s="3">
        <v>19</v>
      </c>
      <c r="AH60" s="3">
        <v>3</v>
      </c>
      <c r="AI60" s="3">
        <v>6</v>
      </c>
      <c r="AJ60" s="3">
        <v>1</v>
      </c>
      <c r="AK60" s="3">
        <v>3</v>
      </c>
      <c r="AL60" s="3">
        <v>5</v>
      </c>
      <c r="AM60" s="3">
        <v>11</v>
      </c>
      <c r="AN60" s="3">
        <v>1</v>
      </c>
      <c r="AO60" s="3">
        <v>1</v>
      </c>
      <c r="AP60" s="3">
        <v>0</v>
      </c>
      <c r="AQ60" s="3">
        <v>1</v>
      </c>
      <c r="AR60" s="2" t="s">
        <v>8</v>
      </c>
      <c r="AS60" s="2" t="s">
        <v>8</v>
      </c>
      <c r="AU60" s="5" t="str">
        <f>HYPERLINK("https://creighton-primo.hosted.exlibrisgroup.com/primo-explore/search?tab=default_tab&amp;search_scope=EVERYTHING&amp;vid=01CRU&amp;lang=en_US&amp;offset=0&amp;query=any,contains,991000351779702656","Catalog Record")</f>
        <v>Catalog Record</v>
      </c>
      <c r="AV60" s="5" t="str">
        <f>HYPERLINK("http://www.worldcat.org/oclc/51258191","WorldCat Record")</f>
        <v>WorldCat Record</v>
      </c>
      <c r="AW60" s="2" t="s">
        <v>819</v>
      </c>
      <c r="AX60" s="2" t="s">
        <v>833</v>
      </c>
      <c r="AY60" s="2" t="s">
        <v>834</v>
      </c>
      <c r="AZ60" s="2" t="s">
        <v>834</v>
      </c>
      <c r="BA60" s="2" t="s">
        <v>835</v>
      </c>
      <c r="BB60" s="2" t="s">
        <v>21</v>
      </c>
      <c r="BD60" s="2" t="s">
        <v>836</v>
      </c>
      <c r="BE60" s="2" t="s">
        <v>837</v>
      </c>
      <c r="BF60" s="2" t="s">
        <v>838</v>
      </c>
    </row>
    <row r="61" spans="1:58" ht="42.75" customHeight="1" x14ac:dyDescent="0.25">
      <c r="A61" s="8" t="s">
        <v>8</v>
      </c>
      <c r="B61" s="1" t="s">
        <v>0</v>
      </c>
      <c r="C61" s="1" t="s">
        <v>1</v>
      </c>
      <c r="D61" s="1" t="s">
        <v>839</v>
      </c>
      <c r="E61" s="1" t="s">
        <v>840</v>
      </c>
      <c r="F61" s="1" t="s">
        <v>841</v>
      </c>
      <c r="H61" s="2" t="s">
        <v>8</v>
      </c>
      <c r="I61" s="2" t="s">
        <v>7</v>
      </c>
      <c r="J61" s="2" t="s">
        <v>8</v>
      </c>
      <c r="K61" s="2" t="s">
        <v>6</v>
      </c>
      <c r="L61" s="2" t="s">
        <v>7</v>
      </c>
      <c r="M61" s="1" t="s">
        <v>842</v>
      </c>
      <c r="N61" s="1" t="s">
        <v>843</v>
      </c>
      <c r="O61" s="2" t="s">
        <v>844</v>
      </c>
      <c r="P61" s="1" t="s">
        <v>845</v>
      </c>
      <c r="Q61" s="2" t="s">
        <v>12</v>
      </c>
      <c r="R61" s="2" t="s">
        <v>815</v>
      </c>
      <c r="T61" s="2" t="s">
        <v>14</v>
      </c>
      <c r="U61" s="3">
        <v>259</v>
      </c>
      <c r="V61" s="3">
        <v>259</v>
      </c>
      <c r="W61" s="4" t="s">
        <v>846</v>
      </c>
      <c r="X61" s="4" t="s">
        <v>846</v>
      </c>
      <c r="Y61" s="4" t="s">
        <v>847</v>
      </c>
      <c r="Z61" s="4" t="s">
        <v>847</v>
      </c>
      <c r="AA61" s="3">
        <v>1013</v>
      </c>
      <c r="AB61" s="3">
        <v>862</v>
      </c>
      <c r="AC61" s="3">
        <v>2937</v>
      </c>
      <c r="AD61" s="3">
        <v>4</v>
      </c>
      <c r="AE61" s="3">
        <v>21</v>
      </c>
      <c r="AF61" s="3">
        <v>27</v>
      </c>
      <c r="AG61" s="3">
        <v>65</v>
      </c>
      <c r="AH61" s="3">
        <v>5</v>
      </c>
      <c r="AI61" s="3">
        <v>21</v>
      </c>
      <c r="AJ61" s="3">
        <v>6</v>
      </c>
      <c r="AK61" s="3">
        <v>8</v>
      </c>
      <c r="AL61" s="3">
        <v>8</v>
      </c>
      <c r="AM61" s="3">
        <v>23</v>
      </c>
      <c r="AN61" s="3">
        <v>2</v>
      </c>
      <c r="AO61" s="3">
        <v>6</v>
      </c>
      <c r="AP61" s="3">
        <v>9</v>
      </c>
      <c r="AQ61" s="3">
        <v>18</v>
      </c>
      <c r="AR61" s="2" t="s">
        <v>8</v>
      </c>
      <c r="AS61" s="2" t="s">
        <v>6</v>
      </c>
      <c r="AT61" s="5" t="str">
        <f>HYPERLINK("http://catalog.hathitrust.org/Record/002960803","HathiTrust Record")</f>
        <v>HathiTrust Record</v>
      </c>
      <c r="AU61" s="5" t="str">
        <f>HYPERLINK("https://creighton-primo.hosted.exlibrisgroup.com/primo-explore/search?tab=default_tab&amp;search_scope=EVERYTHING&amp;vid=01CRU&amp;lang=en_US&amp;offset=0&amp;query=any,contains,991001400299702656","Catalog Record")</f>
        <v>Catalog Record</v>
      </c>
      <c r="AV61" s="5" t="str">
        <f>HYPERLINK("http://www.worldcat.org/oclc/31241072","WorldCat Record")</f>
        <v>WorldCat Record</v>
      </c>
      <c r="AW61" s="2" t="s">
        <v>848</v>
      </c>
      <c r="AX61" s="2" t="s">
        <v>849</v>
      </c>
      <c r="AY61" s="2" t="s">
        <v>850</v>
      </c>
      <c r="AZ61" s="2" t="s">
        <v>850</v>
      </c>
      <c r="BA61" s="2" t="s">
        <v>851</v>
      </c>
      <c r="BB61" s="2" t="s">
        <v>21</v>
      </c>
      <c r="BD61" s="2" t="s">
        <v>852</v>
      </c>
      <c r="BE61" s="2" t="s">
        <v>853</v>
      </c>
      <c r="BF61" s="2" t="s">
        <v>854</v>
      </c>
    </row>
    <row r="62" spans="1:58" ht="42.75" customHeight="1" x14ac:dyDescent="0.25">
      <c r="A62" s="8" t="s">
        <v>8</v>
      </c>
      <c r="B62" s="1" t="s">
        <v>0</v>
      </c>
      <c r="C62" s="1" t="s">
        <v>1</v>
      </c>
      <c r="D62" s="1" t="s">
        <v>855</v>
      </c>
      <c r="E62" s="1" t="s">
        <v>856</v>
      </c>
      <c r="F62" s="1" t="s">
        <v>857</v>
      </c>
      <c r="H62" s="2" t="s">
        <v>8</v>
      </c>
      <c r="I62" s="2" t="s">
        <v>7</v>
      </c>
      <c r="J62" s="2" t="s">
        <v>8</v>
      </c>
      <c r="K62" s="2" t="s">
        <v>6</v>
      </c>
      <c r="L62" s="2" t="s">
        <v>858</v>
      </c>
      <c r="N62" s="1" t="s">
        <v>859</v>
      </c>
      <c r="O62" s="2" t="s">
        <v>657</v>
      </c>
      <c r="P62" s="1" t="s">
        <v>860</v>
      </c>
      <c r="Q62" s="2" t="s">
        <v>12</v>
      </c>
      <c r="R62" s="2" t="s">
        <v>456</v>
      </c>
      <c r="T62" s="2" t="s">
        <v>14</v>
      </c>
      <c r="U62" s="3">
        <v>63</v>
      </c>
      <c r="V62" s="3">
        <v>63</v>
      </c>
      <c r="W62" s="4" t="s">
        <v>861</v>
      </c>
      <c r="X62" s="4" t="s">
        <v>861</v>
      </c>
      <c r="Y62" s="4" t="s">
        <v>862</v>
      </c>
      <c r="Z62" s="4" t="s">
        <v>862</v>
      </c>
      <c r="AA62" s="3">
        <v>625</v>
      </c>
      <c r="AB62" s="3">
        <v>560</v>
      </c>
      <c r="AC62" s="3">
        <v>3412</v>
      </c>
      <c r="AD62" s="3">
        <v>2</v>
      </c>
      <c r="AE62" s="3">
        <v>36</v>
      </c>
      <c r="AF62" s="3">
        <v>7</v>
      </c>
      <c r="AG62" s="3">
        <v>69</v>
      </c>
      <c r="AH62" s="3">
        <v>4</v>
      </c>
      <c r="AI62" s="3">
        <v>21</v>
      </c>
      <c r="AJ62" s="3">
        <v>2</v>
      </c>
      <c r="AK62" s="3">
        <v>9</v>
      </c>
      <c r="AL62" s="3">
        <v>1</v>
      </c>
      <c r="AM62" s="3">
        <v>19</v>
      </c>
      <c r="AN62" s="3">
        <v>0</v>
      </c>
      <c r="AO62" s="3">
        <v>16</v>
      </c>
      <c r="AP62" s="3">
        <v>0</v>
      </c>
      <c r="AQ62" s="3">
        <v>12</v>
      </c>
      <c r="AR62" s="2" t="s">
        <v>8</v>
      </c>
      <c r="AS62" s="2" t="s">
        <v>8</v>
      </c>
      <c r="AU62" s="5" t="str">
        <f>HYPERLINK("https://creighton-primo.hosted.exlibrisgroup.com/primo-explore/search?tab=default_tab&amp;search_scope=EVERYTHING&amp;vid=01CRU&amp;lang=en_US&amp;offset=0&amp;query=any,contains,991001705729702656","Catalog Record")</f>
        <v>Catalog Record</v>
      </c>
      <c r="AV62" s="5" t="str">
        <f>HYPERLINK("http://www.worldcat.org/oclc/44969810","WorldCat Record")</f>
        <v>WorldCat Record</v>
      </c>
      <c r="AW62" s="2" t="s">
        <v>863</v>
      </c>
      <c r="AX62" s="2" t="s">
        <v>864</v>
      </c>
      <c r="AY62" s="2" t="s">
        <v>865</v>
      </c>
      <c r="AZ62" s="2" t="s">
        <v>865</v>
      </c>
      <c r="BA62" s="2" t="s">
        <v>866</v>
      </c>
      <c r="BB62" s="2" t="s">
        <v>21</v>
      </c>
      <c r="BD62" s="2" t="s">
        <v>867</v>
      </c>
      <c r="BE62" s="2" t="s">
        <v>868</v>
      </c>
      <c r="BF62" s="2" t="s">
        <v>869</v>
      </c>
    </row>
    <row r="63" spans="1:58" ht="42.75" customHeight="1" x14ac:dyDescent="0.25">
      <c r="A63" s="8" t="s">
        <v>8</v>
      </c>
      <c r="B63" s="1" t="s">
        <v>0</v>
      </c>
      <c r="C63" s="1" t="s">
        <v>1</v>
      </c>
      <c r="D63" s="1" t="s">
        <v>870</v>
      </c>
      <c r="E63" s="1" t="s">
        <v>871</v>
      </c>
      <c r="F63" s="1" t="s">
        <v>872</v>
      </c>
      <c r="H63" s="2" t="s">
        <v>8</v>
      </c>
      <c r="I63" s="2" t="s">
        <v>7</v>
      </c>
      <c r="J63" s="2" t="s">
        <v>6</v>
      </c>
      <c r="K63" s="2" t="s">
        <v>6</v>
      </c>
      <c r="L63" s="2" t="s">
        <v>858</v>
      </c>
      <c r="N63" s="1" t="s">
        <v>873</v>
      </c>
      <c r="O63" s="2" t="s">
        <v>874</v>
      </c>
      <c r="P63" s="1" t="s">
        <v>875</v>
      </c>
      <c r="Q63" s="2" t="s">
        <v>12</v>
      </c>
      <c r="R63" s="2" t="s">
        <v>456</v>
      </c>
      <c r="T63" s="2" t="s">
        <v>14</v>
      </c>
      <c r="U63" s="3">
        <v>25</v>
      </c>
      <c r="V63" s="3">
        <v>183</v>
      </c>
      <c r="W63" s="4" t="s">
        <v>876</v>
      </c>
      <c r="X63" s="4" t="s">
        <v>877</v>
      </c>
      <c r="Y63" s="4" t="s">
        <v>878</v>
      </c>
      <c r="Z63" s="4" t="s">
        <v>878</v>
      </c>
      <c r="AA63" s="3">
        <v>552</v>
      </c>
      <c r="AB63" s="3">
        <v>488</v>
      </c>
      <c r="AC63" s="3">
        <v>3412</v>
      </c>
      <c r="AD63" s="3">
        <v>2</v>
      </c>
      <c r="AE63" s="3">
        <v>36</v>
      </c>
      <c r="AF63" s="3">
        <v>9</v>
      </c>
      <c r="AG63" s="3">
        <v>69</v>
      </c>
      <c r="AH63" s="3">
        <v>2</v>
      </c>
      <c r="AI63" s="3">
        <v>21</v>
      </c>
      <c r="AJ63" s="3">
        <v>2</v>
      </c>
      <c r="AK63" s="3">
        <v>9</v>
      </c>
      <c r="AL63" s="3">
        <v>2</v>
      </c>
      <c r="AM63" s="3">
        <v>19</v>
      </c>
      <c r="AN63" s="3">
        <v>0</v>
      </c>
      <c r="AO63" s="3">
        <v>16</v>
      </c>
      <c r="AP63" s="3">
        <v>3</v>
      </c>
      <c r="AQ63" s="3">
        <v>12</v>
      </c>
      <c r="AR63" s="2" t="s">
        <v>8</v>
      </c>
      <c r="AS63" s="2" t="s">
        <v>6</v>
      </c>
      <c r="AT63" s="5" t="str">
        <f>HYPERLINK("http://catalog.hathitrust.org/Record/009666481","HathiTrust Record")</f>
        <v>HathiTrust Record</v>
      </c>
      <c r="AU63" s="5" t="str">
        <f>HYPERLINK("https://creighton-primo.hosted.exlibrisgroup.com/primo-explore/search?tab=default_tab&amp;search_scope=EVERYTHING&amp;vid=01CRU&amp;lang=en_US&amp;offset=0&amp;query=any,contains,991000837529702656","Catalog Record")</f>
        <v>Catalog Record</v>
      </c>
      <c r="AV63" s="5" t="str">
        <f>HYPERLINK("http://www.worldcat.org/oclc/36768415","WorldCat Record")</f>
        <v>WorldCat Record</v>
      </c>
      <c r="AW63" s="2" t="s">
        <v>863</v>
      </c>
      <c r="AX63" s="2" t="s">
        <v>879</v>
      </c>
      <c r="AY63" s="2" t="s">
        <v>880</v>
      </c>
      <c r="AZ63" s="2" t="s">
        <v>880</v>
      </c>
      <c r="BA63" s="2" t="s">
        <v>881</v>
      </c>
      <c r="BB63" s="2" t="s">
        <v>21</v>
      </c>
      <c r="BD63" s="2" t="s">
        <v>882</v>
      </c>
      <c r="BE63" s="2" t="s">
        <v>883</v>
      </c>
      <c r="BF63" s="2" t="s">
        <v>884</v>
      </c>
    </row>
    <row r="64" spans="1:58" ht="42.75" customHeight="1" x14ac:dyDescent="0.25">
      <c r="A64" s="8" t="s">
        <v>8</v>
      </c>
      <c r="B64" s="1" t="s">
        <v>0</v>
      </c>
      <c r="C64" s="1" t="s">
        <v>1</v>
      </c>
      <c r="D64" s="1" t="s">
        <v>870</v>
      </c>
      <c r="E64" s="1" t="s">
        <v>871</v>
      </c>
      <c r="F64" s="1" t="s">
        <v>872</v>
      </c>
      <c r="H64" s="2" t="s">
        <v>8</v>
      </c>
      <c r="I64" s="2" t="s">
        <v>885</v>
      </c>
      <c r="J64" s="2" t="s">
        <v>6</v>
      </c>
      <c r="K64" s="2" t="s">
        <v>6</v>
      </c>
      <c r="L64" s="2" t="s">
        <v>858</v>
      </c>
      <c r="N64" s="1" t="s">
        <v>873</v>
      </c>
      <c r="O64" s="2" t="s">
        <v>874</v>
      </c>
      <c r="P64" s="1" t="s">
        <v>875</v>
      </c>
      <c r="Q64" s="2" t="s">
        <v>12</v>
      </c>
      <c r="R64" s="2" t="s">
        <v>456</v>
      </c>
      <c r="T64" s="2" t="s">
        <v>14</v>
      </c>
      <c r="U64" s="3">
        <v>158</v>
      </c>
      <c r="V64" s="3">
        <v>183</v>
      </c>
      <c r="W64" s="4" t="s">
        <v>877</v>
      </c>
      <c r="X64" s="4" t="s">
        <v>877</v>
      </c>
      <c r="Y64" s="4" t="s">
        <v>886</v>
      </c>
      <c r="Z64" s="4" t="s">
        <v>878</v>
      </c>
      <c r="AA64" s="3">
        <v>552</v>
      </c>
      <c r="AB64" s="3">
        <v>488</v>
      </c>
      <c r="AC64" s="3">
        <v>3412</v>
      </c>
      <c r="AD64" s="3">
        <v>2</v>
      </c>
      <c r="AE64" s="3">
        <v>36</v>
      </c>
      <c r="AF64" s="3">
        <v>9</v>
      </c>
      <c r="AG64" s="3">
        <v>69</v>
      </c>
      <c r="AH64" s="3">
        <v>2</v>
      </c>
      <c r="AI64" s="3">
        <v>21</v>
      </c>
      <c r="AJ64" s="3">
        <v>2</v>
      </c>
      <c r="AK64" s="3">
        <v>9</v>
      </c>
      <c r="AL64" s="3">
        <v>2</v>
      </c>
      <c r="AM64" s="3">
        <v>19</v>
      </c>
      <c r="AN64" s="3">
        <v>0</v>
      </c>
      <c r="AO64" s="3">
        <v>16</v>
      </c>
      <c r="AP64" s="3">
        <v>3</v>
      </c>
      <c r="AQ64" s="3">
        <v>12</v>
      </c>
      <c r="AR64" s="2" t="s">
        <v>8</v>
      </c>
      <c r="AS64" s="2" t="s">
        <v>6</v>
      </c>
      <c r="AT64" s="5" t="str">
        <f>HYPERLINK("http://catalog.hathitrust.org/Record/009666481","HathiTrust Record")</f>
        <v>HathiTrust Record</v>
      </c>
      <c r="AU64" s="5" t="str">
        <f>HYPERLINK("https://creighton-primo.hosted.exlibrisgroup.com/primo-explore/search?tab=default_tab&amp;search_scope=EVERYTHING&amp;vid=01CRU&amp;lang=en_US&amp;offset=0&amp;query=any,contains,991000837529702656","Catalog Record")</f>
        <v>Catalog Record</v>
      </c>
      <c r="AV64" s="5" t="str">
        <f>HYPERLINK("http://www.worldcat.org/oclc/36768415","WorldCat Record")</f>
        <v>WorldCat Record</v>
      </c>
      <c r="AW64" s="2" t="s">
        <v>863</v>
      </c>
      <c r="AX64" s="2" t="s">
        <v>879</v>
      </c>
      <c r="AY64" s="2" t="s">
        <v>880</v>
      </c>
      <c r="AZ64" s="2" t="s">
        <v>880</v>
      </c>
      <c r="BA64" s="2" t="s">
        <v>881</v>
      </c>
      <c r="BB64" s="2" t="s">
        <v>21</v>
      </c>
      <c r="BD64" s="2" t="s">
        <v>882</v>
      </c>
      <c r="BE64" s="2" t="s">
        <v>887</v>
      </c>
      <c r="BF64" s="2" t="s">
        <v>888</v>
      </c>
    </row>
    <row r="65" spans="1:58" ht="42.75" customHeight="1" x14ac:dyDescent="0.25">
      <c r="A65" s="8" t="s">
        <v>8</v>
      </c>
      <c r="B65" s="1" t="s">
        <v>0</v>
      </c>
      <c r="C65" s="1" t="s">
        <v>1</v>
      </c>
      <c r="D65" s="1" t="s">
        <v>889</v>
      </c>
      <c r="E65" s="1" t="s">
        <v>890</v>
      </c>
      <c r="F65" s="1" t="s">
        <v>891</v>
      </c>
      <c r="H65" s="2" t="s">
        <v>8</v>
      </c>
      <c r="I65" s="2" t="s">
        <v>7</v>
      </c>
      <c r="J65" s="2" t="s">
        <v>8</v>
      </c>
      <c r="K65" s="2" t="s">
        <v>6</v>
      </c>
      <c r="L65" s="2" t="s">
        <v>9</v>
      </c>
      <c r="M65" s="1" t="s">
        <v>892</v>
      </c>
      <c r="N65" s="1" t="s">
        <v>893</v>
      </c>
      <c r="O65" s="2" t="s">
        <v>602</v>
      </c>
      <c r="P65" s="1" t="s">
        <v>83</v>
      </c>
      <c r="Q65" s="2" t="s">
        <v>12</v>
      </c>
      <c r="R65" s="2" t="s">
        <v>13</v>
      </c>
      <c r="T65" s="2" t="s">
        <v>14</v>
      </c>
      <c r="U65" s="3">
        <v>20</v>
      </c>
      <c r="V65" s="3">
        <v>20</v>
      </c>
      <c r="W65" s="4" t="s">
        <v>894</v>
      </c>
      <c r="X65" s="4" t="s">
        <v>894</v>
      </c>
      <c r="Y65" s="4" t="s">
        <v>895</v>
      </c>
      <c r="Z65" s="4" t="s">
        <v>895</v>
      </c>
      <c r="AA65" s="3">
        <v>177</v>
      </c>
      <c r="AB65" s="3">
        <v>172</v>
      </c>
      <c r="AC65" s="3">
        <v>648</v>
      </c>
      <c r="AD65" s="3">
        <v>2</v>
      </c>
      <c r="AE65" s="3">
        <v>6</v>
      </c>
      <c r="AF65" s="3">
        <v>3</v>
      </c>
      <c r="AG65" s="3">
        <v>15</v>
      </c>
      <c r="AH65" s="3">
        <v>3</v>
      </c>
      <c r="AI65" s="3">
        <v>6</v>
      </c>
      <c r="AJ65" s="3">
        <v>0</v>
      </c>
      <c r="AK65" s="3">
        <v>7</v>
      </c>
      <c r="AL65" s="3">
        <v>0</v>
      </c>
      <c r="AM65" s="3">
        <v>2</v>
      </c>
      <c r="AN65" s="3">
        <v>0</v>
      </c>
      <c r="AO65" s="3">
        <v>2</v>
      </c>
      <c r="AP65" s="3">
        <v>0</v>
      </c>
      <c r="AQ65" s="3">
        <v>0</v>
      </c>
      <c r="AR65" s="2" t="s">
        <v>8</v>
      </c>
      <c r="AS65" s="2" t="s">
        <v>6</v>
      </c>
      <c r="AT65" s="5" t="str">
        <f>HYPERLINK("http://catalog.hathitrust.org/Record/002570081","HathiTrust Record")</f>
        <v>HathiTrust Record</v>
      </c>
      <c r="AU65" s="5" t="str">
        <f>HYPERLINK("https://creighton-primo.hosted.exlibrisgroup.com/primo-explore/search?tab=default_tab&amp;search_scope=EVERYTHING&amp;vid=01CRU&amp;lang=en_US&amp;offset=0&amp;query=any,contains,991001021199702656","Catalog Record")</f>
        <v>Catalog Record</v>
      </c>
      <c r="AV65" s="5" t="str">
        <f>HYPERLINK("http://www.worldcat.org/oclc/23648683","WorldCat Record")</f>
        <v>WorldCat Record</v>
      </c>
      <c r="AW65" s="2" t="s">
        <v>896</v>
      </c>
      <c r="AX65" s="2" t="s">
        <v>897</v>
      </c>
      <c r="AY65" s="2" t="s">
        <v>898</v>
      </c>
      <c r="AZ65" s="2" t="s">
        <v>898</v>
      </c>
      <c r="BA65" s="2" t="s">
        <v>899</v>
      </c>
      <c r="BB65" s="2" t="s">
        <v>21</v>
      </c>
      <c r="BD65" s="2" t="s">
        <v>900</v>
      </c>
      <c r="BE65" s="2" t="s">
        <v>901</v>
      </c>
      <c r="BF65" s="2" t="s">
        <v>902</v>
      </c>
    </row>
    <row r="66" spans="1:58" ht="42.75" customHeight="1" x14ac:dyDescent="0.25">
      <c r="A66" s="8" t="s">
        <v>8</v>
      </c>
      <c r="B66" s="1" t="s">
        <v>0</v>
      </c>
      <c r="C66" s="1" t="s">
        <v>1</v>
      </c>
      <c r="D66" s="1" t="s">
        <v>903</v>
      </c>
      <c r="E66" s="1" t="s">
        <v>904</v>
      </c>
      <c r="F66" s="1" t="s">
        <v>905</v>
      </c>
      <c r="H66" s="2" t="s">
        <v>8</v>
      </c>
      <c r="I66" s="2" t="s">
        <v>7</v>
      </c>
      <c r="J66" s="2" t="s">
        <v>8</v>
      </c>
      <c r="K66" s="2" t="s">
        <v>6</v>
      </c>
      <c r="L66" s="2" t="s">
        <v>9</v>
      </c>
      <c r="M66" s="1" t="s">
        <v>892</v>
      </c>
      <c r="N66" s="1" t="s">
        <v>906</v>
      </c>
      <c r="O66" s="2" t="s">
        <v>907</v>
      </c>
      <c r="P66" s="1" t="s">
        <v>732</v>
      </c>
      <c r="Q66" s="2" t="s">
        <v>12</v>
      </c>
      <c r="R66" s="2" t="s">
        <v>13</v>
      </c>
      <c r="T66" s="2" t="s">
        <v>14</v>
      </c>
      <c r="U66" s="3">
        <v>5</v>
      </c>
      <c r="V66" s="3">
        <v>5</v>
      </c>
      <c r="W66" s="4" t="s">
        <v>908</v>
      </c>
      <c r="X66" s="4" t="s">
        <v>908</v>
      </c>
      <c r="Y66" s="4" t="s">
        <v>909</v>
      </c>
      <c r="Z66" s="4" t="s">
        <v>909</v>
      </c>
      <c r="AA66" s="3">
        <v>197</v>
      </c>
      <c r="AB66" s="3">
        <v>182</v>
      </c>
      <c r="AC66" s="3">
        <v>648</v>
      </c>
      <c r="AD66" s="3">
        <v>1</v>
      </c>
      <c r="AE66" s="3">
        <v>6</v>
      </c>
      <c r="AF66" s="3">
        <v>3</v>
      </c>
      <c r="AG66" s="3">
        <v>15</v>
      </c>
      <c r="AH66" s="3">
        <v>1</v>
      </c>
      <c r="AI66" s="3">
        <v>6</v>
      </c>
      <c r="AJ66" s="3">
        <v>2</v>
      </c>
      <c r="AK66" s="3">
        <v>7</v>
      </c>
      <c r="AL66" s="3">
        <v>1</v>
      </c>
      <c r="AM66" s="3">
        <v>2</v>
      </c>
      <c r="AN66" s="3">
        <v>0</v>
      </c>
      <c r="AO66" s="3">
        <v>2</v>
      </c>
      <c r="AP66" s="3">
        <v>0</v>
      </c>
      <c r="AQ66" s="3">
        <v>0</v>
      </c>
      <c r="AR66" s="2" t="s">
        <v>8</v>
      </c>
      <c r="AS66" s="2" t="s">
        <v>8</v>
      </c>
      <c r="AU66" s="5" t="str">
        <f>HYPERLINK("https://creighton-primo.hosted.exlibrisgroup.com/primo-explore/search?tab=default_tab&amp;search_scope=EVERYTHING&amp;vid=01CRU&amp;lang=en_US&amp;offset=0&amp;query=any,contains,991001714029702656","Catalog Record")</f>
        <v>Catalog Record</v>
      </c>
      <c r="AV66" s="5" t="str">
        <f>HYPERLINK("http://www.worldcat.org/oclc/42682804","WorldCat Record")</f>
        <v>WorldCat Record</v>
      </c>
      <c r="AW66" s="2" t="s">
        <v>896</v>
      </c>
      <c r="AX66" s="2" t="s">
        <v>910</v>
      </c>
      <c r="AY66" s="2" t="s">
        <v>911</v>
      </c>
      <c r="AZ66" s="2" t="s">
        <v>911</v>
      </c>
      <c r="BA66" s="2" t="s">
        <v>912</v>
      </c>
      <c r="BB66" s="2" t="s">
        <v>21</v>
      </c>
      <c r="BD66" s="2" t="s">
        <v>913</v>
      </c>
      <c r="BE66" s="2" t="s">
        <v>914</v>
      </c>
      <c r="BF66" s="2" t="s">
        <v>915</v>
      </c>
    </row>
    <row r="67" spans="1:58" ht="42.75" customHeight="1" x14ac:dyDescent="0.25">
      <c r="A67" s="8" t="s">
        <v>8</v>
      </c>
      <c r="B67" s="1" t="s">
        <v>0</v>
      </c>
      <c r="C67" s="1" t="s">
        <v>1</v>
      </c>
      <c r="D67" s="1" t="s">
        <v>916</v>
      </c>
      <c r="E67" s="1" t="s">
        <v>917</v>
      </c>
      <c r="F67" s="1" t="s">
        <v>918</v>
      </c>
      <c r="H67" s="2" t="s">
        <v>8</v>
      </c>
      <c r="I67" s="2" t="s">
        <v>7</v>
      </c>
      <c r="J67" s="2" t="s">
        <v>8</v>
      </c>
      <c r="K67" s="2" t="s">
        <v>8</v>
      </c>
      <c r="L67" s="2" t="s">
        <v>9</v>
      </c>
      <c r="M67" s="1" t="s">
        <v>919</v>
      </c>
      <c r="N67" s="1" t="s">
        <v>920</v>
      </c>
      <c r="O67" s="2" t="s">
        <v>144</v>
      </c>
      <c r="Q67" s="2" t="s">
        <v>12</v>
      </c>
      <c r="R67" s="2" t="s">
        <v>456</v>
      </c>
      <c r="T67" s="2" t="s">
        <v>14</v>
      </c>
      <c r="U67" s="3">
        <v>6</v>
      </c>
      <c r="V67" s="3">
        <v>6</v>
      </c>
      <c r="W67" s="4" t="s">
        <v>921</v>
      </c>
      <c r="X67" s="4" t="s">
        <v>921</v>
      </c>
      <c r="Y67" s="4" t="s">
        <v>552</v>
      </c>
      <c r="Z67" s="4" t="s">
        <v>552</v>
      </c>
      <c r="AA67" s="3">
        <v>55</v>
      </c>
      <c r="AB67" s="3">
        <v>50</v>
      </c>
      <c r="AC67" s="3">
        <v>111</v>
      </c>
      <c r="AD67" s="3">
        <v>1</v>
      </c>
      <c r="AE67" s="3">
        <v>2</v>
      </c>
      <c r="AF67" s="3">
        <v>0</v>
      </c>
      <c r="AG67" s="3">
        <v>2</v>
      </c>
      <c r="AH67" s="3">
        <v>0</v>
      </c>
      <c r="AI67" s="3">
        <v>0</v>
      </c>
      <c r="AJ67" s="3">
        <v>0</v>
      </c>
      <c r="AK67" s="3">
        <v>0</v>
      </c>
      <c r="AL67" s="3">
        <v>0</v>
      </c>
      <c r="AM67" s="3">
        <v>1</v>
      </c>
      <c r="AN67" s="3">
        <v>0</v>
      </c>
      <c r="AO67" s="3">
        <v>1</v>
      </c>
      <c r="AP67" s="3">
        <v>0</v>
      </c>
      <c r="AQ67" s="3">
        <v>0</v>
      </c>
      <c r="AR67" s="2" t="s">
        <v>8</v>
      </c>
      <c r="AS67" s="2" t="s">
        <v>6</v>
      </c>
      <c r="AT67" s="5" t="str">
        <f>HYPERLINK("http://catalog.hathitrust.org/Record/008162921","HathiTrust Record")</f>
        <v>HathiTrust Record</v>
      </c>
      <c r="AU67" s="5" t="str">
        <f>HYPERLINK("https://creighton-primo.hosted.exlibrisgroup.com/primo-explore/search?tab=default_tab&amp;search_scope=EVERYTHING&amp;vid=01CRU&amp;lang=en_US&amp;offset=0&amp;query=any,contains,991000988619702656","Catalog Record")</f>
        <v>Catalog Record</v>
      </c>
      <c r="AV67" s="5" t="str">
        <f>HYPERLINK("http://www.worldcat.org/oclc/6127207","WorldCat Record")</f>
        <v>WorldCat Record</v>
      </c>
      <c r="AW67" s="2" t="s">
        <v>922</v>
      </c>
      <c r="AX67" s="2" t="s">
        <v>923</v>
      </c>
      <c r="AY67" s="2" t="s">
        <v>924</v>
      </c>
      <c r="AZ67" s="2" t="s">
        <v>924</v>
      </c>
      <c r="BA67" s="2" t="s">
        <v>925</v>
      </c>
      <c r="BB67" s="2" t="s">
        <v>21</v>
      </c>
      <c r="BE67" s="2" t="s">
        <v>926</v>
      </c>
      <c r="BF67" s="2" t="s">
        <v>927</v>
      </c>
    </row>
    <row r="68" spans="1:58" ht="42.75" customHeight="1" x14ac:dyDescent="0.25">
      <c r="A68" s="8" t="s">
        <v>8</v>
      </c>
      <c r="B68" s="1" t="s">
        <v>0</v>
      </c>
      <c r="C68" s="1" t="s">
        <v>1</v>
      </c>
      <c r="D68" s="1" t="s">
        <v>928</v>
      </c>
      <c r="E68" s="1" t="s">
        <v>929</v>
      </c>
      <c r="F68" s="1" t="s">
        <v>930</v>
      </c>
      <c r="H68" s="2" t="s">
        <v>8</v>
      </c>
      <c r="I68" s="2" t="s">
        <v>7</v>
      </c>
      <c r="J68" s="2" t="s">
        <v>8</v>
      </c>
      <c r="K68" s="2" t="s">
        <v>8</v>
      </c>
      <c r="L68" s="2" t="s">
        <v>9</v>
      </c>
      <c r="M68" s="1" t="s">
        <v>931</v>
      </c>
      <c r="N68" s="1" t="s">
        <v>932</v>
      </c>
      <c r="O68" s="2" t="s">
        <v>128</v>
      </c>
      <c r="Q68" s="2" t="s">
        <v>12</v>
      </c>
      <c r="R68" s="2" t="s">
        <v>933</v>
      </c>
      <c r="T68" s="2" t="s">
        <v>14</v>
      </c>
      <c r="U68" s="3">
        <v>3</v>
      </c>
      <c r="V68" s="3">
        <v>3</v>
      </c>
      <c r="W68" s="4" t="s">
        <v>934</v>
      </c>
      <c r="X68" s="4" t="s">
        <v>934</v>
      </c>
      <c r="Y68" s="4" t="s">
        <v>148</v>
      </c>
      <c r="Z68" s="4" t="s">
        <v>148</v>
      </c>
      <c r="AA68" s="3">
        <v>129</v>
      </c>
      <c r="AB68" s="3">
        <v>110</v>
      </c>
      <c r="AC68" s="3">
        <v>117</v>
      </c>
      <c r="AD68" s="3">
        <v>2</v>
      </c>
      <c r="AE68" s="3">
        <v>2</v>
      </c>
      <c r="AF68" s="3">
        <v>4</v>
      </c>
      <c r="AG68" s="3">
        <v>4</v>
      </c>
      <c r="AH68" s="3">
        <v>1</v>
      </c>
      <c r="AI68" s="3">
        <v>1</v>
      </c>
      <c r="AJ68" s="3">
        <v>1</v>
      </c>
      <c r="AK68" s="3">
        <v>1</v>
      </c>
      <c r="AL68" s="3">
        <v>2</v>
      </c>
      <c r="AM68" s="3">
        <v>2</v>
      </c>
      <c r="AN68" s="3">
        <v>1</v>
      </c>
      <c r="AO68" s="3">
        <v>1</v>
      </c>
      <c r="AP68" s="3">
        <v>0</v>
      </c>
      <c r="AQ68" s="3">
        <v>0</v>
      </c>
      <c r="AR68" s="2" t="s">
        <v>8</v>
      </c>
      <c r="AS68" s="2" t="s">
        <v>6</v>
      </c>
      <c r="AT68" s="5" t="str">
        <f>HYPERLINK("http://catalog.hathitrust.org/Record/004483592","HathiTrust Record")</f>
        <v>HathiTrust Record</v>
      </c>
      <c r="AU68" s="5" t="str">
        <f>HYPERLINK("https://creighton-primo.hosted.exlibrisgroup.com/primo-explore/search?tab=default_tab&amp;search_scope=EVERYTHING&amp;vid=01CRU&amp;lang=en_US&amp;offset=0&amp;query=any,contains,991000988669702656","Catalog Record")</f>
        <v>Catalog Record</v>
      </c>
      <c r="AV68" s="5" t="str">
        <f>HYPERLINK("http://www.worldcat.org/oclc/3447520","WorldCat Record")</f>
        <v>WorldCat Record</v>
      </c>
      <c r="AW68" s="2" t="s">
        <v>935</v>
      </c>
      <c r="AX68" s="2" t="s">
        <v>936</v>
      </c>
      <c r="AY68" s="2" t="s">
        <v>937</v>
      </c>
      <c r="AZ68" s="2" t="s">
        <v>937</v>
      </c>
      <c r="BA68" s="2" t="s">
        <v>938</v>
      </c>
      <c r="BB68" s="2" t="s">
        <v>21</v>
      </c>
      <c r="BD68" s="2" t="s">
        <v>939</v>
      </c>
      <c r="BE68" s="2" t="s">
        <v>940</v>
      </c>
      <c r="BF68" s="2" t="s">
        <v>941</v>
      </c>
    </row>
    <row r="69" spans="1:58" ht="42.75" customHeight="1" x14ac:dyDescent="0.25">
      <c r="A69" s="8" t="s">
        <v>8</v>
      </c>
      <c r="B69" s="1" t="s">
        <v>0</v>
      </c>
      <c r="C69" s="1" t="s">
        <v>1</v>
      </c>
      <c r="D69" s="1" t="s">
        <v>942</v>
      </c>
      <c r="E69" s="1" t="s">
        <v>943</v>
      </c>
      <c r="F69" s="1" t="s">
        <v>944</v>
      </c>
      <c r="H69" s="2" t="s">
        <v>8</v>
      </c>
      <c r="I69" s="2" t="s">
        <v>7</v>
      </c>
      <c r="J69" s="2" t="s">
        <v>8</v>
      </c>
      <c r="K69" s="2" t="s">
        <v>8</v>
      </c>
      <c r="L69" s="2" t="s">
        <v>9</v>
      </c>
      <c r="M69" s="1" t="s">
        <v>945</v>
      </c>
      <c r="N69" s="1" t="s">
        <v>946</v>
      </c>
      <c r="O69" s="2" t="s">
        <v>67</v>
      </c>
      <c r="P69" s="1" t="s">
        <v>732</v>
      </c>
      <c r="Q69" s="2" t="s">
        <v>12</v>
      </c>
      <c r="R69" s="2" t="s">
        <v>34</v>
      </c>
      <c r="T69" s="2" t="s">
        <v>14</v>
      </c>
      <c r="U69" s="3">
        <v>14</v>
      </c>
      <c r="V69" s="3">
        <v>14</v>
      </c>
      <c r="W69" s="4" t="s">
        <v>947</v>
      </c>
      <c r="X69" s="4" t="s">
        <v>947</v>
      </c>
      <c r="Y69" s="4" t="s">
        <v>148</v>
      </c>
      <c r="Z69" s="4" t="s">
        <v>148</v>
      </c>
      <c r="AA69" s="3">
        <v>139</v>
      </c>
      <c r="AB69" s="3">
        <v>106</v>
      </c>
      <c r="AC69" s="3">
        <v>686</v>
      </c>
      <c r="AD69" s="3">
        <v>2</v>
      </c>
      <c r="AE69" s="3">
        <v>5</v>
      </c>
      <c r="AF69" s="3">
        <v>2</v>
      </c>
      <c r="AG69" s="3">
        <v>11</v>
      </c>
      <c r="AH69" s="3">
        <v>2</v>
      </c>
      <c r="AI69" s="3">
        <v>3</v>
      </c>
      <c r="AJ69" s="3">
        <v>0</v>
      </c>
      <c r="AK69" s="3">
        <v>0</v>
      </c>
      <c r="AL69" s="3">
        <v>1</v>
      </c>
      <c r="AM69" s="3">
        <v>6</v>
      </c>
      <c r="AN69" s="3">
        <v>0</v>
      </c>
      <c r="AO69" s="3">
        <v>3</v>
      </c>
      <c r="AP69" s="3">
        <v>0</v>
      </c>
      <c r="AQ69" s="3">
        <v>0</v>
      </c>
      <c r="AR69" s="2" t="s">
        <v>8</v>
      </c>
      <c r="AS69" s="2" t="s">
        <v>8</v>
      </c>
      <c r="AU69" s="5" t="str">
        <f>HYPERLINK("https://creighton-primo.hosted.exlibrisgroup.com/primo-explore/search?tab=default_tab&amp;search_scope=EVERYTHING&amp;vid=01CRU&amp;lang=en_US&amp;offset=0&amp;query=any,contains,991000988719702656","Catalog Record")</f>
        <v>Catalog Record</v>
      </c>
      <c r="AV69" s="5" t="str">
        <f>HYPERLINK("http://www.worldcat.org/oclc/12081609","WorldCat Record")</f>
        <v>WorldCat Record</v>
      </c>
      <c r="AW69" s="2" t="s">
        <v>948</v>
      </c>
      <c r="AX69" s="2" t="s">
        <v>949</v>
      </c>
      <c r="AY69" s="2" t="s">
        <v>950</v>
      </c>
      <c r="AZ69" s="2" t="s">
        <v>950</v>
      </c>
      <c r="BA69" s="2" t="s">
        <v>951</v>
      </c>
      <c r="BB69" s="2" t="s">
        <v>21</v>
      </c>
      <c r="BD69" s="2" t="s">
        <v>952</v>
      </c>
      <c r="BE69" s="2" t="s">
        <v>953</v>
      </c>
      <c r="BF69" s="2" t="s">
        <v>954</v>
      </c>
    </row>
    <row r="70" spans="1:58" ht="42.75" customHeight="1" x14ac:dyDescent="0.25">
      <c r="A70" s="8" t="s">
        <v>8</v>
      </c>
      <c r="B70" s="1" t="s">
        <v>0</v>
      </c>
      <c r="C70" s="1" t="s">
        <v>1</v>
      </c>
      <c r="D70" s="1" t="s">
        <v>955</v>
      </c>
      <c r="E70" s="1" t="s">
        <v>956</v>
      </c>
      <c r="F70" s="1" t="s">
        <v>957</v>
      </c>
      <c r="H70" s="2" t="s">
        <v>8</v>
      </c>
      <c r="I70" s="2" t="s">
        <v>7</v>
      </c>
      <c r="J70" s="2" t="s">
        <v>8</v>
      </c>
      <c r="K70" s="2" t="s">
        <v>8</v>
      </c>
      <c r="L70" s="2" t="s">
        <v>9</v>
      </c>
      <c r="M70" s="1" t="s">
        <v>945</v>
      </c>
      <c r="N70" s="1" t="s">
        <v>958</v>
      </c>
      <c r="O70" s="2" t="s">
        <v>959</v>
      </c>
      <c r="P70" s="1" t="s">
        <v>761</v>
      </c>
      <c r="Q70" s="2" t="s">
        <v>12</v>
      </c>
      <c r="R70" s="2" t="s">
        <v>774</v>
      </c>
      <c r="T70" s="2" t="s">
        <v>14</v>
      </c>
      <c r="U70" s="3">
        <v>1</v>
      </c>
      <c r="V70" s="3">
        <v>1</v>
      </c>
      <c r="W70" s="4" t="s">
        <v>960</v>
      </c>
      <c r="X70" s="4" t="s">
        <v>960</v>
      </c>
      <c r="Y70" s="4" t="s">
        <v>961</v>
      </c>
      <c r="Z70" s="4" t="s">
        <v>961</v>
      </c>
      <c r="AA70" s="3">
        <v>99</v>
      </c>
      <c r="AB70" s="3">
        <v>86</v>
      </c>
      <c r="AC70" s="3">
        <v>801</v>
      </c>
      <c r="AD70" s="3">
        <v>1</v>
      </c>
      <c r="AE70" s="3">
        <v>4</v>
      </c>
      <c r="AF70" s="3">
        <v>0</v>
      </c>
      <c r="AG70" s="3">
        <v>10</v>
      </c>
      <c r="AH70" s="3">
        <v>0</v>
      </c>
      <c r="AI70" s="3">
        <v>2</v>
      </c>
      <c r="AJ70" s="3">
        <v>0</v>
      </c>
      <c r="AK70" s="3">
        <v>2</v>
      </c>
      <c r="AL70" s="3">
        <v>0</v>
      </c>
      <c r="AM70" s="3">
        <v>3</v>
      </c>
      <c r="AN70" s="3">
        <v>0</v>
      </c>
      <c r="AO70" s="3">
        <v>3</v>
      </c>
      <c r="AP70" s="3">
        <v>0</v>
      </c>
      <c r="AQ70" s="3">
        <v>0</v>
      </c>
      <c r="AR70" s="2" t="s">
        <v>8</v>
      </c>
      <c r="AS70" s="2" t="s">
        <v>6</v>
      </c>
      <c r="AT70" s="5" t="str">
        <f>HYPERLINK("http://catalog.hathitrust.org/Record/010597911","HathiTrust Record")</f>
        <v>HathiTrust Record</v>
      </c>
      <c r="AU70" s="5" t="str">
        <f>HYPERLINK("https://creighton-primo.hosted.exlibrisgroup.com/primo-explore/search?tab=default_tab&amp;search_scope=EVERYTHING&amp;vid=01CRU&amp;lang=en_US&amp;offset=0&amp;query=any,contains,991000546919702656","Catalog Record")</f>
        <v>Catalog Record</v>
      </c>
      <c r="AV70" s="5" t="str">
        <f>HYPERLINK("http://www.worldcat.org/oclc/59280338","WorldCat Record")</f>
        <v>WorldCat Record</v>
      </c>
      <c r="AW70" s="2" t="s">
        <v>962</v>
      </c>
      <c r="AX70" s="2" t="s">
        <v>963</v>
      </c>
      <c r="AY70" s="2" t="s">
        <v>964</v>
      </c>
      <c r="AZ70" s="2" t="s">
        <v>964</v>
      </c>
      <c r="BA70" s="2" t="s">
        <v>965</v>
      </c>
      <c r="BB70" s="2" t="s">
        <v>21</v>
      </c>
      <c r="BD70" s="2" t="s">
        <v>966</v>
      </c>
      <c r="BE70" s="2" t="s">
        <v>967</v>
      </c>
      <c r="BF70" s="2" t="s">
        <v>968</v>
      </c>
    </row>
    <row r="71" spans="1:58" ht="42.75" customHeight="1" x14ac:dyDescent="0.25">
      <c r="A71" s="8" t="s">
        <v>8</v>
      </c>
      <c r="B71" s="1" t="s">
        <v>0</v>
      </c>
      <c r="C71" s="1" t="s">
        <v>1</v>
      </c>
      <c r="D71" s="1" t="s">
        <v>969</v>
      </c>
      <c r="E71" s="1" t="s">
        <v>970</v>
      </c>
      <c r="F71" s="1" t="s">
        <v>971</v>
      </c>
      <c r="H71" s="2" t="s">
        <v>8</v>
      </c>
      <c r="I71" s="2" t="s">
        <v>7</v>
      </c>
      <c r="J71" s="2" t="s">
        <v>8</v>
      </c>
      <c r="K71" s="2" t="s">
        <v>8</v>
      </c>
      <c r="L71" s="2" t="s">
        <v>9</v>
      </c>
      <c r="M71" s="1" t="s">
        <v>972</v>
      </c>
      <c r="N71" s="1" t="s">
        <v>973</v>
      </c>
      <c r="O71" s="2" t="s">
        <v>974</v>
      </c>
      <c r="Q71" s="2" t="s">
        <v>12</v>
      </c>
      <c r="R71" s="2" t="s">
        <v>456</v>
      </c>
      <c r="T71" s="2" t="s">
        <v>14</v>
      </c>
      <c r="U71" s="3">
        <v>5</v>
      </c>
      <c r="V71" s="3">
        <v>5</v>
      </c>
      <c r="W71" s="4" t="s">
        <v>975</v>
      </c>
      <c r="X71" s="4" t="s">
        <v>975</v>
      </c>
      <c r="Y71" s="4" t="s">
        <v>976</v>
      </c>
      <c r="Z71" s="4" t="s">
        <v>976</v>
      </c>
      <c r="AA71" s="3">
        <v>74</v>
      </c>
      <c r="AB71" s="3">
        <v>67</v>
      </c>
      <c r="AC71" s="3">
        <v>76</v>
      </c>
      <c r="AD71" s="3">
        <v>1</v>
      </c>
      <c r="AE71" s="3">
        <v>1</v>
      </c>
      <c r="AF71" s="3">
        <v>2</v>
      </c>
      <c r="AG71" s="3">
        <v>2</v>
      </c>
      <c r="AH71" s="3">
        <v>1</v>
      </c>
      <c r="AI71" s="3">
        <v>1</v>
      </c>
      <c r="AJ71" s="3">
        <v>0</v>
      </c>
      <c r="AK71" s="3">
        <v>0</v>
      </c>
      <c r="AL71" s="3">
        <v>1</v>
      </c>
      <c r="AM71" s="3">
        <v>1</v>
      </c>
      <c r="AN71" s="3">
        <v>0</v>
      </c>
      <c r="AO71" s="3">
        <v>0</v>
      </c>
      <c r="AP71" s="3">
        <v>0</v>
      </c>
      <c r="AQ71" s="3">
        <v>0</v>
      </c>
      <c r="AR71" s="2" t="s">
        <v>6</v>
      </c>
      <c r="AS71" s="2" t="s">
        <v>8</v>
      </c>
      <c r="AT71" s="5" t="str">
        <f>HYPERLINK("http://catalog.hathitrust.org/Record/001556848","HathiTrust Record")</f>
        <v>HathiTrust Record</v>
      </c>
      <c r="AU71" s="5" t="str">
        <f>HYPERLINK("https://creighton-primo.hosted.exlibrisgroup.com/primo-explore/search?tab=default_tab&amp;search_scope=EVERYTHING&amp;vid=01CRU&amp;lang=en_US&amp;offset=0&amp;query=any,contains,991000988759702656","Catalog Record")</f>
        <v>Catalog Record</v>
      </c>
      <c r="AV71" s="5" t="str">
        <f>HYPERLINK("http://www.worldcat.org/oclc/2342728","WorldCat Record")</f>
        <v>WorldCat Record</v>
      </c>
      <c r="AW71" s="2" t="s">
        <v>977</v>
      </c>
      <c r="AX71" s="2" t="s">
        <v>978</v>
      </c>
      <c r="AY71" s="2" t="s">
        <v>979</v>
      </c>
      <c r="AZ71" s="2" t="s">
        <v>979</v>
      </c>
      <c r="BA71" s="2" t="s">
        <v>980</v>
      </c>
      <c r="BB71" s="2" t="s">
        <v>21</v>
      </c>
      <c r="BE71" s="2" t="s">
        <v>981</v>
      </c>
      <c r="BF71" s="2" t="s">
        <v>982</v>
      </c>
    </row>
    <row r="72" spans="1:58" ht="42.75" customHeight="1" x14ac:dyDescent="0.25">
      <c r="A72" s="8" t="s">
        <v>8</v>
      </c>
      <c r="B72" s="1" t="s">
        <v>0</v>
      </c>
      <c r="C72" s="1" t="s">
        <v>1</v>
      </c>
      <c r="D72" s="1" t="s">
        <v>983</v>
      </c>
      <c r="E72" s="1" t="s">
        <v>984</v>
      </c>
      <c r="F72" s="1" t="s">
        <v>985</v>
      </c>
      <c r="H72" s="2" t="s">
        <v>8</v>
      </c>
      <c r="I72" s="2" t="s">
        <v>7</v>
      </c>
      <c r="J72" s="2" t="s">
        <v>8</v>
      </c>
      <c r="K72" s="2" t="s">
        <v>8</v>
      </c>
      <c r="L72" s="2" t="s">
        <v>9</v>
      </c>
      <c r="N72" s="1" t="s">
        <v>986</v>
      </c>
      <c r="O72" s="2" t="s">
        <v>987</v>
      </c>
      <c r="P72" s="1" t="s">
        <v>988</v>
      </c>
      <c r="Q72" s="2" t="s">
        <v>12</v>
      </c>
      <c r="R72" s="2" t="s">
        <v>520</v>
      </c>
      <c r="T72" s="2" t="s">
        <v>14</v>
      </c>
      <c r="U72" s="3">
        <v>9</v>
      </c>
      <c r="V72" s="3">
        <v>9</v>
      </c>
      <c r="W72" s="4" t="s">
        <v>989</v>
      </c>
      <c r="X72" s="4" t="s">
        <v>989</v>
      </c>
      <c r="Y72" s="4" t="s">
        <v>990</v>
      </c>
      <c r="Z72" s="4" t="s">
        <v>990</v>
      </c>
      <c r="AA72" s="3">
        <v>7</v>
      </c>
      <c r="AB72" s="3">
        <v>7</v>
      </c>
      <c r="AC72" s="3">
        <v>86</v>
      </c>
      <c r="AD72" s="3">
        <v>1</v>
      </c>
      <c r="AE72" s="3">
        <v>1</v>
      </c>
      <c r="AF72" s="3">
        <v>0</v>
      </c>
      <c r="AG72" s="3">
        <v>0</v>
      </c>
      <c r="AH72" s="3">
        <v>0</v>
      </c>
      <c r="AI72" s="3">
        <v>0</v>
      </c>
      <c r="AJ72" s="3">
        <v>0</v>
      </c>
      <c r="AK72" s="3">
        <v>0</v>
      </c>
      <c r="AL72" s="3">
        <v>0</v>
      </c>
      <c r="AM72" s="3">
        <v>0</v>
      </c>
      <c r="AN72" s="3">
        <v>0</v>
      </c>
      <c r="AO72" s="3">
        <v>0</v>
      </c>
      <c r="AP72" s="3">
        <v>0</v>
      </c>
      <c r="AQ72" s="3">
        <v>0</v>
      </c>
      <c r="AR72" s="2" t="s">
        <v>8</v>
      </c>
      <c r="AS72" s="2" t="s">
        <v>8</v>
      </c>
      <c r="AU72" s="5" t="str">
        <f>HYPERLINK("https://creighton-primo.hosted.exlibrisgroup.com/primo-explore/search?tab=default_tab&amp;search_scope=EVERYTHING&amp;vid=01CRU&amp;lang=en_US&amp;offset=0&amp;query=any,contains,991000673869702656","Catalog Record")</f>
        <v>Catalog Record</v>
      </c>
      <c r="AV72" s="5" t="str">
        <f>HYPERLINK("http://www.worldcat.org/oclc/181336852","WorldCat Record")</f>
        <v>WorldCat Record</v>
      </c>
      <c r="AW72" s="2" t="s">
        <v>991</v>
      </c>
      <c r="AX72" s="2" t="s">
        <v>992</v>
      </c>
      <c r="AY72" s="2" t="s">
        <v>993</v>
      </c>
      <c r="AZ72" s="2" t="s">
        <v>993</v>
      </c>
      <c r="BA72" s="2" t="s">
        <v>994</v>
      </c>
      <c r="BB72" s="2" t="s">
        <v>21</v>
      </c>
      <c r="BD72" s="2" t="s">
        <v>995</v>
      </c>
      <c r="BE72" s="2" t="s">
        <v>996</v>
      </c>
      <c r="BF72" s="2" t="s">
        <v>997</v>
      </c>
    </row>
    <row r="73" spans="1:58" ht="42.75" customHeight="1" x14ac:dyDescent="0.25">
      <c r="A73" s="8" t="s">
        <v>8</v>
      </c>
      <c r="B73" s="1" t="s">
        <v>0</v>
      </c>
      <c r="C73" s="1" t="s">
        <v>1</v>
      </c>
      <c r="D73" s="1" t="s">
        <v>998</v>
      </c>
      <c r="E73" s="1" t="s">
        <v>999</v>
      </c>
      <c r="F73" s="1" t="s">
        <v>1000</v>
      </c>
      <c r="H73" s="2" t="s">
        <v>8</v>
      </c>
      <c r="I73" s="2" t="s">
        <v>7</v>
      </c>
      <c r="J73" s="2" t="s">
        <v>8</v>
      </c>
      <c r="K73" s="2" t="s">
        <v>8</v>
      </c>
      <c r="L73" s="2" t="s">
        <v>9</v>
      </c>
      <c r="M73" s="1" t="s">
        <v>1001</v>
      </c>
      <c r="O73" s="2" t="s">
        <v>642</v>
      </c>
      <c r="P73" s="1" t="s">
        <v>761</v>
      </c>
      <c r="Q73" s="2" t="s">
        <v>12</v>
      </c>
      <c r="R73" s="2" t="s">
        <v>1002</v>
      </c>
      <c r="T73" s="2" t="s">
        <v>14</v>
      </c>
      <c r="U73" s="3">
        <v>1</v>
      </c>
      <c r="V73" s="3">
        <v>1</v>
      </c>
      <c r="W73" s="4" t="s">
        <v>1003</v>
      </c>
      <c r="X73" s="4" t="s">
        <v>1003</v>
      </c>
      <c r="Y73" s="4" t="s">
        <v>1004</v>
      </c>
      <c r="Z73" s="4" t="s">
        <v>1004</v>
      </c>
      <c r="AA73" s="3">
        <v>7</v>
      </c>
      <c r="AB73" s="3">
        <v>1</v>
      </c>
      <c r="AC73" s="3">
        <v>1</v>
      </c>
      <c r="AD73" s="3">
        <v>1</v>
      </c>
      <c r="AE73" s="3">
        <v>1</v>
      </c>
      <c r="AF73" s="3">
        <v>0</v>
      </c>
      <c r="AG73" s="3">
        <v>0</v>
      </c>
      <c r="AH73" s="3">
        <v>0</v>
      </c>
      <c r="AI73" s="3">
        <v>0</v>
      </c>
      <c r="AJ73" s="3">
        <v>0</v>
      </c>
      <c r="AK73" s="3">
        <v>0</v>
      </c>
      <c r="AL73" s="3">
        <v>0</v>
      </c>
      <c r="AM73" s="3">
        <v>0</v>
      </c>
      <c r="AN73" s="3">
        <v>0</v>
      </c>
      <c r="AO73" s="3">
        <v>0</v>
      </c>
      <c r="AP73" s="3">
        <v>0</v>
      </c>
      <c r="AQ73" s="3">
        <v>0</v>
      </c>
      <c r="AR73" s="2" t="s">
        <v>8</v>
      </c>
      <c r="AS73" s="2" t="s">
        <v>8</v>
      </c>
      <c r="AU73" s="5" t="str">
        <f>HYPERLINK("https://creighton-primo.hosted.exlibrisgroup.com/primo-explore/search?tab=default_tab&amp;search_scope=EVERYTHING&amp;vid=01CRU&amp;lang=en_US&amp;offset=0&amp;query=any,contains,991000398879702656","Catalog Record")</f>
        <v>Catalog Record</v>
      </c>
      <c r="AV73" s="5" t="str">
        <f>HYPERLINK("http://www.worldcat.org/oclc/56578829","WorldCat Record")</f>
        <v>WorldCat Record</v>
      </c>
      <c r="AW73" s="2" t="s">
        <v>1005</v>
      </c>
      <c r="AX73" s="2" t="s">
        <v>1006</v>
      </c>
      <c r="AY73" s="2" t="s">
        <v>1007</v>
      </c>
      <c r="AZ73" s="2" t="s">
        <v>1007</v>
      </c>
      <c r="BA73" s="2" t="s">
        <v>1008</v>
      </c>
      <c r="BB73" s="2" t="s">
        <v>21</v>
      </c>
      <c r="BD73" s="2" t="s">
        <v>1009</v>
      </c>
      <c r="BE73" s="2" t="s">
        <v>1010</v>
      </c>
      <c r="BF73" s="2" t="s">
        <v>1011</v>
      </c>
    </row>
    <row r="74" spans="1:58" ht="42.75" customHeight="1" x14ac:dyDescent="0.25">
      <c r="A74" s="8" t="s">
        <v>8</v>
      </c>
      <c r="B74" s="1" t="s">
        <v>0</v>
      </c>
      <c r="C74" s="1" t="s">
        <v>1</v>
      </c>
      <c r="D74" s="1" t="s">
        <v>1012</v>
      </c>
      <c r="E74" s="1" t="s">
        <v>1013</v>
      </c>
      <c r="F74" s="1" t="s">
        <v>1014</v>
      </c>
      <c r="G74" s="2" t="s">
        <v>25</v>
      </c>
      <c r="H74" s="2" t="s">
        <v>8</v>
      </c>
      <c r="I74" s="2" t="s">
        <v>885</v>
      </c>
      <c r="J74" s="2" t="s">
        <v>6</v>
      </c>
      <c r="K74" s="2" t="s">
        <v>8</v>
      </c>
      <c r="L74" s="2" t="s">
        <v>9</v>
      </c>
      <c r="M74" s="1" t="s">
        <v>1015</v>
      </c>
      <c r="N74" s="1" t="s">
        <v>1016</v>
      </c>
      <c r="O74" s="2" t="s">
        <v>1017</v>
      </c>
      <c r="Q74" s="2" t="s">
        <v>12</v>
      </c>
      <c r="R74" s="2" t="s">
        <v>815</v>
      </c>
      <c r="T74" s="2" t="s">
        <v>14</v>
      </c>
      <c r="U74" s="3">
        <v>5</v>
      </c>
      <c r="V74" s="3">
        <v>12</v>
      </c>
      <c r="W74" s="4" t="s">
        <v>1018</v>
      </c>
      <c r="X74" s="4" t="s">
        <v>1018</v>
      </c>
      <c r="Y74" s="4" t="s">
        <v>1019</v>
      </c>
      <c r="Z74" s="4" t="s">
        <v>1019</v>
      </c>
      <c r="AA74" s="3">
        <v>220</v>
      </c>
      <c r="AB74" s="3">
        <v>181</v>
      </c>
      <c r="AC74" s="3">
        <v>513</v>
      </c>
      <c r="AD74" s="3">
        <v>4</v>
      </c>
      <c r="AE74" s="3">
        <v>5</v>
      </c>
      <c r="AF74" s="3">
        <v>8</v>
      </c>
      <c r="AG74" s="3">
        <v>17</v>
      </c>
      <c r="AH74" s="3">
        <v>1</v>
      </c>
      <c r="AI74" s="3">
        <v>6</v>
      </c>
      <c r="AJ74" s="3">
        <v>0</v>
      </c>
      <c r="AK74" s="3">
        <v>2</v>
      </c>
      <c r="AL74" s="3">
        <v>4</v>
      </c>
      <c r="AM74" s="3">
        <v>7</v>
      </c>
      <c r="AN74" s="3">
        <v>3</v>
      </c>
      <c r="AO74" s="3">
        <v>3</v>
      </c>
      <c r="AP74" s="3">
        <v>0</v>
      </c>
      <c r="AQ74" s="3">
        <v>0</v>
      </c>
      <c r="AR74" s="2" t="s">
        <v>6</v>
      </c>
      <c r="AS74" s="2" t="s">
        <v>8</v>
      </c>
      <c r="AT74" s="5" t="str">
        <f>HYPERLINK("http://catalog.hathitrust.org/Record/001556871","HathiTrust Record")</f>
        <v>HathiTrust Record</v>
      </c>
      <c r="AU74" s="5" t="str">
        <f>HYPERLINK("https://creighton-primo.hosted.exlibrisgroup.com/primo-explore/search?tab=default_tab&amp;search_scope=EVERYTHING&amp;vid=01CRU&amp;lang=en_US&amp;offset=0&amp;query=any,contains,991000988919702656","Catalog Record")</f>
        <v>Catalog Record</v>
      </c>
      <c r="AV74" s="5" t="str">
        <f>HYPERLINK("http://www.worldcat.org/oclc/1007686","WorldCat Record")</f>
        <v>WorldCat Record</v>
      </c>
      <c r="AW74" s="2" t="s">
        <v>1020</v>
      </c>
      <c r="AX74" s="2" t="s">
        <v>1021</v>
      </c>
      <c r="AY74" s="2" t="s">
        <v>1022</v>
      </c>
      <c r="AZ74" s="2" t="s">
        <v>1022</v>
      </c>
      <c r="BA74" s="2" t="s">
        <v>1023</v>
      </c>
      <c r="BB74" s="2" t="s">
        <v>21</v>
      </c>
      <c r="BE74" s="2" t="s">
        <v>1024</v>
      </c>
      <c r="BF74" s="2" t="s">
        <v>1025</v>
      </c>
    </row>
    <row r="75" spans="1:58" ht="42.75" customHeight="1" x14ac:dyDescent="0.25">
      <c r="A75" s="8" t="s">
        <v>8</v>
      </c>
      <c r="B75" s="1" t="s">
        <v>0</v>
      </c>
      <c r="C75" s="1" t="s">
        <v>1</v>
      </c>
      <c r="D75" s="1" t="s">
        <v>1012</v>
      </c>
      <c r="E75" s="1" t="s">
        <v>1013</v>
      </c>
      <c r="F75" s="1" t="s">
        <v>1014</v>
      </c>
      <c r="G75" s="2" t="s">
        <v>25</v>
      </c>
      <c r="H75" s="2" t="s">
        <v>8</v>
      </c>
      <c r="I75" s="2" t="s">
        <v>7</v>
      </c>
      <c r="J75" s="2" t="s">
        <v>6</v>
      </c>
      <c r="K75" s="2" t="s">
        <v>8</v>
      </c>
      <c r="L75" s="2" t="s">
        <v>9</v>
      </c>
      <c r="M75" s="1" t="s">
        <v>1015</v>
      </c>
      <c r="N75" s="1" t="s">
        <v>1016</v>
      </c>
      <c r="O75" s="2" t="s">
        <v>1017</v>
      </c>
      <c r="Q75" s="2" t="s">
        <v>12</v>
      </c>
      <c r="R75" s="2" t="s">
        <v>815</v>
      </c>
      <c r="T75" s="2" t="s">
        <v>14</v>
      </c>
      <c r="U75" s="3">
        <v>7</v>
      </c>
      <c r="V75" s="3">
        <v>12</v>
      </c>
      <c r="W75" s="4" t="s">
        <v>1026</v>
      </c>
      <c r="X75" s="4" t="s">
        <v>1018</v>
      </c>
      <c r="Y75" s="4" t="s">
        <v>1019</v>
      </c>
      <c r="Z75" s="4" t="s">
        <v>1019</v>
      </c>
      <c r="AA75" s="3">
        <v>220</v>
      </c>
      <c r="AB75" s="3">
        <v>181</v>
      </c>
      <c r="AC75" s="3">
        <v>513</v>
      </c>
      <c r="AD75" s="3">
        <v>4</v>
      </c>
      <c r="AE75" s="3">
        <v>5</v>
      </c>
      <c r="AF75" s="3">
        <v>8</v>
      </c>
      <c r="AG75" s="3">
        <v>17</v>
      </c>
      <c r="AH75" s="3">
        <v>1</v>
      </c>
      <c r="AI75" s="3">
        <v>6</v>
      </c>
      <c r="AJ75" s="3">
        <v>0</v>
      </c>
      <c r="AK75" s="3">
        <v>2</v>
      </c>
      <c r="AL75" s="3">
        <v>4</v>
      </c>
      <c r="AM75" s="3">
        <v>7</v>
      </c>
      <c r="AN75" s="3">
        <v>3</v>
      </c>
      <c r="AO75" s="3">
        <v>3</v>
      </c>
      <c r="AP75" s="3">
        <v>0</v>
      </c>
      <c r="AQ75" s="3">
        <v>0</v>
      </c>
      <c r="AR75" s="2" t="s">
        <v>6</v>
      </c>
      <c r="AS75" s="2" t="s">
        <v>8</v>
      </c>
      <c r="AT75" s="5" t="str">
        <f>HYPERLINK("http://catalog.hathitrust.org/Record/001556871","HathiTrust Record")</f>
        <v>HathiTrust Record</v>
      </c>
      <c r="AU75" s="5" t="str">
        <f>HYPERLINK("https://creighton-primo.hosted.exlibrisgroup.com/primo-explore/search?tab=default_tab&amp;search_scope=EVERYTHING&amp;vid=01CRU&amp;lang=en_US&amp;offset=0&amp;query=any,contains,991000988919702656","Catalog Record")</f>
        <v>Catalog Record</v>
      </c>
      <c r="AV75" s="5" t="str">
        <f>HYPERLINK("http://www.worldcat.org/oclc/1007686","WorldCat Record")</f>
        <v>WorldCat Record</v>
      </c>
      <c r="AW75" s="2" t="s">
        <v>1020</v>
      </c>
      <c r="AX75" s="2" t="s">
        <v>1021</v>
      </c>
      <c r="AY75" s="2" t="s">
        <v>1022</v>
      </c>
      <c r="AZ75" s="2" t="s">
        <v>1022</v>
      </c>
      <c r="BA75" s="2" t="s">
        <v>1023</v>
      </c>
      <c r="BB75" s="2" t="s">
        <v>21</v>
      </c>
      <c r="BE75" s="2" t="s">
        <v>1027</v>
      </c>
      <c r="BF75" s="2" t="s">
        <v>1028</v>
      </c>
    </row>
    <row r="76" spans="1:58" ht="42.75" customHeight="1" x14ac:dyDescent="0.25">
      <c r="A76" s="8" t="s">
        <v>8</v>
      </c>
      <c r="B76" s="1" t="s">
        <v>0</v>
      </c>
      <c r="C76" s="1" t="s">
        <v>1</v>
      </c>
      <c r="D76" s="1" t="s">
        <v>1029</v>
      </c>
      <c r="E76" s="1" t="s">
        <v>1030</v>
      </c>
      <c r="F76" s="1" t="s">
        <v>1031</v>
      </c>
      <c r="H76" s="2" t="s">
        <v>8</v>
      </c>
      <c r="I76" s="2" t="s">
        <v>7</v>
      </c>
      <c r="J76" s="2" t="s">
        <v>8</v>
      </c>
      <c r="K76" s="2" t="s">
        <v>8</v>
      </c>
      <c r="L76" s="2" t="s">
        <v>9</v>
      </c>
      <c r="M76" s="1" t="s">
        <v>1032</v>
      </c>
      <c r="N76" s="1" t="s">
        <v>1033</v>
      </c>
      <c r="O76" s="2" t="s">
        <v>1034</v>
      </c>
      <c r="Q76" s="2" t="s">
        <v>12</v>
      </c>
      <c r="R76" s="2" t="s">
        <v>520</v>
      </c>
      <c r="T76" s="2" t="s">
        <v>14</v>
      </c>
      <c r="U76" s="3">
        <v>7</v>
      </c>
      <c r="V76" s="3">
        <v>7</v>
      </c>
      <c r="W76" s="4" t="s">
        <v>1018</v>
      </c>
      <c r="X76" s="4" t="s">
        <v>1018</v>
      </c>
      <c r="Y76" s="4" t="s">
        <v>148</v>
      </c>
      <c r="Z76" s="4" t="s">
        <v>148</v>
      </c>
      <c r="AA76" s="3">
        <v>92</v>
      </c>
      <c r="AB76" s="3">
        <v>79</v>
      </c>
      <c r="AC76" s="3">
        <v>104</v>
      </c>
      <c r="AD76" s="3">
        <v>2</v>
      </c>
      <c r="AE76" s="3">
        <v>2</v>
      </c>
      <c r="AF76" s="3">
        <v>1</v>
      </c>
      <c r="AG76" s="3">
        <v>2</v>
      </c>
      <c r="AH76" s="3">
        <v>0</v>
      </c>
      <c r="AI76" s="3">
        <v>0</v>
      </c>
      <c r="AJ76" s="3">
        <v>0</v>
      </c>
      <c r="AK76" s="3">
        <v>1</v>
      </c>
      <c r="AL76" s="3">
        <v>0</v>
      </c>
      <c r="AM76" s="3">
        <v>1</v>
      </c>
      <c r="AN76" s="3">
        <v>1</v>
      </c>
      <c r="AO76" s="3">
        <v>1</v>
      </c>
      <c r="AP76" s="3">
        <v>0</v>
      </c>
      <c r="AQ76" s="3">
        <v>0</v>
      </c>
      <c r="AR76" s="2" t="s">
        <v>8</v>
      </c>
      <c r="AS76" s="2" t="s">
        <v>6</v>
      </c>
      <c r="AT76" s="5" t="str">
        <f>HYPERLINK("http://catalog.hathitrust.org/Record/006251012","HathiTrust Record")</f>
        <v>HathiTrust Record</v>
      </c>
      <c r="AU76" s="5" t="str">
        <f>HYPERLINK("https://creighton-primo.hosted.exlibrisgroup.com/primo-explore/search?tab=default_tab&amp;search_scope=EVERYTHING&amp;vid=01CRU&amp;lang=en_US&amp;offset=0&amp;query=any,contains,991000988969702656","Catalog Record")</f>
        <v>Catalog Record</v>
      </c>
      <c r="AV76" s="5" t="str">
        <f>HYPERLINK("http://www.worldcat.org/oclc/3843941","WorldCat Record")</f>
        <v>WorldCat Record</v>
      </c>
      <c r="AW76" s="2" t="s">
        <v>1035</v>
      </c>
      <c r="AX76" s="2" t="s">
        <v>1036</v>
      </c>
      <c r="AY76" s="2" t="s">
        <v>1037</v>
      </c>
      <c r="AZ76" s="2" t="s">
        <v>1037</v>
      </c>
      <c r="BA76" s="2" t="s">
        <v>1038</v>
      </c>
      <c r="BB76" s="2" t="s">
        <v>21</v>
      </c>
      <c r="BD76" s="2" t="s">
        <v>1039</v>
      </c>
      <c r="BE76" s="2" t="s">
        <v>1040</v>
      </c>
      <c r="BF76" s="2" t="s">
        <v>1041</v>
      </c>
    </row>
    <row r="77" spans="1:58" ht="42.75" customHeight="1" x14ac:dyDescent="0.25">
      <c r="A77" s="8" t="s">
        <v>8</v>
      </c>
      <c r="B77" s="1" t="s">
        <v>0</v>
      </c>
      <c r="C77" s="1" t="s">
        <v>1</v>
      </c>
      <c r="D77" s="1" t="s">
        <v>1042</v>
      </c>
      <c r="E77" s="1" t="s">
        <v>1043</v>
      </c>
      <c r="F77" s="1" t="s">
        <v>1044</v>
      </c>
      <c r="H77" s="2" t="s">
        <v>8</v>
      </c>
      <c r="I77" s="2" t="s">
        <v>7</v>
      </c>
      <c r="J77" s="2" t="s">
        <v>8</v>
      </c>
      <c r="K77" s="2" t="s">
        <v>8</v>
      </c>
      <c r="L77" s="2" t="s">
        <v>9</v>
      </c>
      <c r="M77" s="1" t="s">
        <v>1045</v>
      </c>
      <c r="N77" s="1" t="s">
        <v>1046</v>
      </c>
      <c r="O77" s="2" t="s">
        <v>208</v>
      </c>
      <c r="Q77" s="2" t="s">
        <v>12</v>
      </c>
      <c r="R77" s="2" t="s">
        <v>577</v>
      </c>
      <c r="T77" s="2" t="s">
        <v>14</v>
      </c>
      <c r="U77" s="3">
        <v>4</v>
      </c>
      <c r="V77" s="3">
        <v>4</v>
      </c>
      <c r="W77" s="4" t="s">
        <v>1047</v>
      </c>
      <c r="X77" s="4" t="s">
        <v>1047</v>
      </c>
      <c r="Y77" s="4" t="s">
        <v>148</v>
      </c>
      <c r="Z77" s="4" t="s">
        <v>148</v>
      </c>
      <c r="AA77" s="3">
        <v>105</v>
      </c>
      <c r="AB77" s="3">
        <v>88</v>
      </c>
      <c r="AC77" s="3">
        <v>90</v>
      </c>
      <c r="AD77" s="3">
        <v>1</v>
      </c>
      <c r="AE77" s="3">
        <v>1</v>
      </c>
      <c r="AF77" s="3">
        <v>2</v>
      </c>
      <c r="AG77" s="3">
        <v>2</v>
      </c>
      <c r="AH77" s="3">
        <v>1</v>
      </c>
      <c r="AI77" s="3">
        <v>1</v>
      </c>
      <c r="AJ77" s="3">
        <v>1</v>
      </c>
      <c r="AK77" s="3">
        <v>1</v>
      </c>
      <c r="AL77" s="3">
        <v>1</v>
      </c>
      <c r="AM77" s="3">
        <v>1</v>
      </c>
      <c r="AN77" s="3">
        <v>0</v>
      </c>
      <c r="AO77" s="3">
        <v>0</v>
      </c>
      <c r="AP77" s="3">
        <v>0</v>
      </c>
      <c r="AQ77" s="3">
        <v>0</v>
      </c>
      <c r="AR77" s="2" t="s">
        <v>8</v>
      </c>
      <c r="AS77" s="2" t="s">
        <v>6</v>
      </c>
      <c r="AT77" s="5" t="str">
        <f>HYPERLINK("http://catalog.hathitrust.org/Record/002715445","HathiTrust Record")</f>
        <v>HathiTrust Record</v>
      </c>
      <c r="AU77" s="5" t="str">
        <f>HYPERLINK("https://creighton-primo.hosted.exlibrisgroup.com/primo-explore/search?tab=default_tab&amp;search_scope=EVERYTHING&amp;vid=01CRU&amp;lang=en_US&amp;offset=0&amp;query=any,contains,991000988989702656","Catalog Record")</f>
        <v>Catalog Record</v>
      </c>
      <c r="AV77" s="5" t="str">
        <f>HYPERLINK("http://www.worldcat.org/oclc/3272552","WorldCat Record")</f>
        <v>WorldCat Record</v>
      </c>
      <c r="AW77" s="2" t="s">
        <v>1048</v>
      </c>
      <c r="AX77" s="2" t="s">
        <v>1049</v>
      </c>
      <c r="AY77" s="2" t="s">
        <v>1050</v>
      </c>
      <c r="AZ77" s="2" t="s">
        <v>1050</v>
      </c>
      <c r="BA77" s="2" t="s">
        <v>1051</v>
      </c>
      <c r="BB77" s="2" t="s">
        <v>21</v>
      </c>
      <c r="BD77" s="2" t="s">
        <v>1052</v>
      </c>
      <c r="BE77" s="2" t="s">
        <v>1053</v>
      </c>
      <c r="BF77" s="2" t="s">
        <v>1054</v>
      </c>
    </row>
    <row r="78" spans="1:58" ht="42.75" customHeight="1" x14ac:dyDescent="0.25">
      <c r="A78" s="8" t="s">
        <v>8</v>
      </c>
      <c r="B78" s="1" t="s">
        <v>0</v>
      </c>
      <c r="C78" s="1" t="s">
        <v>1</v>
      </c>
      <c r="D78" s="1" t="s">
        <v>1055</v>
      </c>
      <c r="E78" s="1" t="s">
        <v>1056</v>
      </c>
      <c r="F78" s="1" t="s">
        <v>1057</v>
      </c>
      <c r="H78" s="2" t="s">
        <v>8</v>
      </c>
      <c r="I78" s="2" t="s">
        <v>7</v>
      </c>
      <c r="J78" s="2" t="s">
        <v>8</v>
      </c>
      <c r="K78" s="2" t="s">
        <v>6</v>
      </c>
      <c r="L78" s="2" t="s">
        <v>9</v>
      </c>
      <c r="M78" s="1" t="s">
        <v>1058</v>
      </c>
      <c r="N78" s="1" t="s">
        <v>1059</v>
      </c>
      <c r="O78" s="2" t="s">
        <v>1060</v>
      </c>
      <c r="Q78" s="2" t="s">
        <v>12</v>
      </c>
      <c r="R78" s="2" t="s">
        <v>815</v>
      </c>
      <c r="T78" s="2" t="s">
        <v>14</v>
      </c>
      <c r="U78" s="3">
        <v>5</v>
      </c>
      <c r="V78" s="3">
        <v>5</v>
      </c>
      <c r="W78" s="4" t="s">
        <v>1061</v>
      </c>
      <c r="X78" s="4" t="s">
        <v>1061</v>
      </c>
      <c r="Y78" s="4" t="s">
        <v>1062</v>
      </c>
      <c r="Z78" s="4" t="s">
        <v>1062</v>
      </c>
      <c r="AA78" s="3">
        <v>159</v>
      </c>
      <c r="AB78" s="3">
        <v>134</v>
      </c>
      <c r="AC78" s="3">
        <v>282</v>
      </c>
      <c r="AD78" s="3">
        <v>3</v>
      </c>
      <c r="AE78" s="3">
        <v>4</v>
      </c>
      <c r="AF78" s="3">
        <v>2</v>
      </c>
      <c r="AG78" s="3">
        <v>7</v>
      </c>
      <c r="AH78" s="3">
        <v>0</v>
      </c>
      <c r="AI78" s="3">
        <v>4</v>
      </c>
      <c r="AJ78" s="3">
        <v>0</v>
      </c>
      <c r="AK78" s="3">
        <v>0</v>
      </c>
      <c r="AL78" s="3">
        <v>0</v>
      </c>
      <c r="AM78" s="3">
        <v>1</v>
      </c>
      <c r="AN78" s="3">
        <v>2</v>
      </c>
      <c r="AO78" s="3">
        <v>3</v>
      </c>
      <c r="AP78" s="3">
        <v>0</v>
      </c>
      <c r="AQ78" s="3">
        <v>0</v>
      </c>
      <c r="AR78" s="2" t="s">
        <v>8</v>
      </c>
      <c r="AS78" s="2" t="s">
        <v>6</v>
      </c>
      <c r="AT78" s="5" t="str">
        <f>HYPERLINK("http://catalog.hathitrust.org/Record/003101963","HathiTrust Record")</f>
        <v>HathiTrust Record</v>
      </c>
      <c r="AU78" s="5" t="str">
        <f>HYPERLINK("https://creighton-primo.hosted.exlibrisgroup.com/primo-explore/search?tab=default_tab&amp;search_scope=EVERYTHING&amp;vid=01CRU&amp;lang=en_US&amp;offset=0&amp;query=any,contains,991001564449702656","Catalog Record")</f>
        <v>Catalog Record</v>
      </c>
      <c r="AV78" s="5" t="str">
        <f>HYPERLINK("http://www.worldcat.org/oclc/33105343","WorldCat Record")</f>
        <v>WorldCat Record</v>
      </c>
      <c r="AW78" s="2" t="s">
        <v>1063</v>
      </c>
      <c r="AX78" s="2" t="s">
        <v>1064</v>
      </c>
      <c r="AY78" s="2" t="s">
        <v>1065</v>
      </c>
      <c r="AZ78" s="2" t="s">
        <v>1065</v>
      </c>
      <c r="BA78" s="2" t="s">
        <v>1066</v>
      </c>
      <c r="BB78" s="2" t="s">
        <v>21</v>
      </c>
      <c r="BD78" s="2" t="s">
        <v>1067</v>
      </c>
      <c r="BE78" s="2" t="s">
        <v>1068</v>
      </c>
      <c r="BF78" s="2" t="s">
        <v>1069</v>
      </c>
    </row>
    <row r="79" spans="1:58" ht="42.75" customHeight="1" x14ac:dyDescent="0.25">
      <c r="A79" s="8" t="s">
        <v>8</v>
      </c>
      <c r="B79" s="1" t="s">
        <v>0</v>
      </c>
      <c r="C79" s="1" t="s">
        <v>1</v>
      </c>
      <c r="D79" s="1" t="s">
        <v>1070</v>
      </c>
      <c r="E79" s="1" t="s">
        <v>1071</v>
      </c>
      <c r="F79" s="1" t="s">
        <v>1072</v>
      </c>
      <c r="H79" s="2" t="s">
        <v>8</v>
      </c>
      <c r="I79" s="2" t="s">
        <v>7</v>
      </c>
      <c r="J79" s="2" t="s">
        <v>8</v>
      </c>
      <c r="K79" s="2" t="s">
        <v>8</v>
      </c>
      <c r="L79" s="2" t="s">
        <v>9</v>
      </c>
      <c r="N79" s="1" t="s">
        <v>1073</v>
      </c>
      <c r="O79" s="2" t="s">
        <v>874</v>
      </c>
      <c r="Q79" s="2" t="s">
        <v>12</v>
      </c>
      <c r="R79" s="2" t="s">
        <v>933</v>
      </c>
      <c r="T79" s="2" t="s">
        <v>14</v>
      </c>
      <c r="U79" s="3">
        <v>3</v>
      </c>
      <c r="V79" s="3">
        <v>3</v>
      </c>
      <c r="W79" s="4" t="s">
        <v>1074</v>
      </c>
      <c r="X79" s="4" t="s">
        <v>1074</v>
      </c>
      <c r="Y79" s="4" t="s">
        <v>1075</v>
      </c>
      <c r="Z79" s="4" t="s">
        <v>1075</v>
      </c>
      <c r="AA79" s="3">
        <v>85</v>
      </c>
      <c r="AB79" s="3">
        <v>85</v>
      </c>
      <c r="AC79" s="3">
        <v>96</v>
      </c>
      <c r="AD79" s="3">
        <v>1</v>
      </c>
      <c r="AE79" s="3">
        <v>1</v>
      </c>
      <c r="AF79" s="3">
        <v>2</v>
      </c>
      <c r="AG79" s="3">
        <v>3</v>
      </c>
      <c r="AH79" s="3">
        <v>0</v>
      </c>
      <c r="AI79" s="3">
        <v>0</v>
      </c>
      <c r="AJ79" s="3">
        <v>0</v>
      </c>
      <c r="AK79" s="3">
        <v>1</v>
      </c>
      <c r="AL79" s="3">
        <v>2</v>
      </c>
      <c r="AM79" s="3">
        <v>3</v>
      </c>
      <c r="AN79" s="3">
        <v>0</v>
      </c>
      <c r="AO79" s="3">
        <v>0</v>
      </c>
      <c r="AP79" s="3">
        <v>0</v>
      </c>
      <c r="AQ79" s="3">
        <v>0</v>
      </c>
      <c r="AR79" s="2" t="s">
        <v>8</v>
      </c>
      <c r="AS79" s="2" t="s">
        <v>6</v>
      </c>
      <c r="AT79" s="5" t="str">
        <f>HYPERLINK("http://catalog.hathitrust.org/Record/003291880","HathiTrust Record")</f>
        <v>HathiTrust Record</v>
      </c>
      <c r="AU79" s="5" t="str">
        <f>HYPERLINK("https://creighton-primo.hosted.exlibrisgroup.com/primo-explore/search?tab=default_tab&amp;search_scope=EVERYTHING&amp;vid=01CRU&amp;lang=en_US&amp;offset=0&amp;query=any,contains,991000322809702656","Catalog Record")</f>
        <v>Catalog Record</v>
      </c>
      <c r="AV79" s="5" t="str">
        <f>HYPERLINK("http://www.worldcat.org/oclc/38869383","WorldCat Record")</f>
        <v>WorldCat Record</v>
      </c>
      <c r="AW79" s="2" t="s">
        <v>1076</v>
      </c>
      <c r="AX79" s="2" t="s">
        <v>1077</v>
      </c>
      <c r="AY79" s="2" t="s">
        <v>1078</v>
      </c>
      <c r="AZ79" s="2" t="s">
        <v>1078</v>
      </c>
      <c r="BA79" s="2" t="s">
        <v>1079</v>
      </c>
      <c r="BB79" s="2" t="s">
        <v>21</v>
      </c>
      <c r="BE79" s="2" t="s">
        <v>1080</v>
      </c>
      <c r="BF79" s="2" t="s">
        <v>1081</v>
      </c>
    </row>
    <row r="80" spans="1:58" ht="42.75" customHeight="1" x14ac:dyDescent="0.25">
      <c r="A80" s="8" t="s">
        <v>8</v>
      </c>
      <c r="B80" s="1" t="s">
        <v>0</v>
      </c>
      <c r="C80" s="1" t="s">
        <v>1</v>
      </c>
      <c r="D80" s="1" t="s">
        <v>1082</v>
      </c>
      <c r="E80" s="1" t="s">
        <v>1083</v>
      </c>
      <c r="F80" s="1" t="s">
        <v>1084</v>
      </c>
      <c r="H80" s="2" t="s">
        <v>8</v>
      </c>
      <c r="I80" s="2" t="s">
        <v>7</v>
      </c>
      <c r="J80" s="2" t="s">
        <v>8</v>
      </c>
      <c r="K80" s="2" t="s">
        <v>8</v>
      </c>
      <c r="L80" s="2" t="s">
        <v>9</v>
      </c>
      <c r="N80" s="1" t="s">
        <v>1085</v>
      </c>
      <c r="O80" s="2" t="s">
        <v>688</v>
      </c>
      <c r="Q80" s="2" t="s">
        <v>12</v>
      </c>
      <c r="R80" s="2" t="s">
        <v>520</v>
      </c>
      <c r="T80" s="2" t="s">
        <v>14</v>
      </c>
      <c r="U80" s="3">
        <v>4</v>
      </c>
      <c r="V80" s="3">
        <v>4</v>
      </c>
      <c r="W80" s="4" t="s">
        <v>1086</v>
      </c>
      <c r="X80" s="4" t="s">
        <v>1086</v>
      </c>
      <c r="Y80" s="4" t="s">
        <v>1087</v>
      </c>
      <c r="Z80" s="4" t="s">
        <v>1087</v>
      </c>
      <c r="AA80" s="3">
        <v>28</v>
      </c>
      <c r="AB80" s="3">
        <v>28</v>
      </c>
      <c r="AC80" s="3">
        <v>28</v>
      </c>
      <c r="AD80" s="3">
        <v>1</v>
      </c>
      <c r="AE80" s="3">
        <v>1</v>
      </c>
      <c r="AF80" s="3">
        <v>0</v>
      </c>
      <c r="AG80" s="3">
        <v>0</v>
      </c>
      <c r="AH80" s="3">
        <v>0</v>
      </c>
      <c r="AI80" s="3">
        <v>0</v>
      </c>
      <c r="AJ80" s="3">
        <v>0</v>
      </c>
      <c r="AK80" s="3">
        <v>0</v>
      </c>
      <c r="AL80" s="3">
        <v>0</v>
      </c>
      <c r="AM80" s="3">
        <v>0</v>
      </c>
      <c r="AN80" s="3">
        <v>0</v>
      </c>
      <c r="AO80" s="3">
        <v>0</v>
      </c>
      <c r="AP80" s="3">
        <v>0</v>
      </c>
      <c r="AQ80" s="3">
        <v>0</v>
      </c>
      <c r="AR80" s="2" t="s">
        <v>8</v>
      </c>
      <c r="AS80" s="2" t="s">
        <v>8</v>
      </c>
      <c r="AU80" s="5" t="str">
        <f>HYPERLINK("https://creighton-primo.hosted.exlibrisgroup.com/primo-explore/search?tab=default_tab&amp;search_scope=EVERYTHING&amp;vid=01CRU&amp;lang=en_US&amp;offset=0&amp;query=any,contains,991001233329702656","Catalog Record")</f>
        <v>Catalog Record</v>
      </c>
      <c r="AV80" s="5" t="str">
        <f>HYPERLINK("http://www.worldcat.org/oclc/30369144","WorldCat Record")</f>
        <v>WorldCat Record</v>
      </c>
      <c r="AW80" s="2" t="s">
        <v>1088</v>
      </c>
      <c r="AX80" s="2" t="s">
        <v>1089</v>
      </c>
      <c r="AY80" s="2" t="s">
        <v>1090</v>
      </c>
      <c r="AZ80" s="2" t="s">
        <v>1090</v>
      </c>
      <c r="BA80" s="2" t="s">
        <v>1091</v>
      </c>
      <c r="BB80" s="2" t="s">
        <v>21</v>
      </c>
      <c r="BD80" s="2" t="s">
        <v>1092</v>
      </c>
      <c r="BE80" s="2" t="s">
        <v>1093</v>
      </c>
      <c r="BF80" s="2" t="s">
        <v>1094</v>
      </c>
    </row>
    <row r="81" spans="1:58" ht="42.75" customHeight="1" x14ac:dyDescent="0.25">
      <c r="A81" s="8" t="s">
        <v>8</v>
      </c>
      <c r="B81" s="1" t="s">
        <v>0</v>
      </c>
      <c r="C81" s="1" t="s">
        <v>1</v>
      </c>
      <c r="D81" s="1" t="s">
        <v>1095</v>
      </c>
      <c r="E81" s="1" t="s">
        <v>1096</v>
      </c>
      <c r="F81" s="1" t="s">
        <v>1097</v>
      </c>
      <c r="H81" s="2" t="s">
        <v>8</v>
      </c>
      <c r="I81" s="2" t="s">
        <v>7</v>
      </c>
      <c r="J81" s="2" t="s">
        <v>8</v>
      </c>
      <c r="K81" s="2" t="s">
        <v>8</v>
      </c>
      <c r="L81" s="2" t="s">
        <v>9</v>
      </c>
      <c r="M81" s="1" t="s">
        <v>1098</v>
      </c>
      <c r="N81" s="1" t="s">
        <v>1099</v>
      </c>
      <c r="O81" s="2" t="s">
        <v>298</v>
      </c>
      <c r="Q81" s="2" t="s">
        <v>12</v>
      </c>
      <c r="R81" s="2" t="s">
        <v>34</v>
      </c>
      <c r="T81" s="2" t="s">
        <v>14</v>
      </c>
      <c r="U81" s="3">
        <v>26</v>
      </c>
      <c r="V81" s="3">
        <v>26</v>
      </c>
      <c r="W81" s="4" t="s">
        <v>1100</v>
      </c>
      <c r="X81" s="4" t="s">
        <v>1100</v>
      </c>
      <c r="Y81" s="4" t="s">
        <v>148</v>
      </c>
      <c r="Z81" s="4" t="s">
        <v>148</v>
      </c>
      <c r="AA81" s="3">
        <v>153</v>
      </c>
      <c r="AB81" s="3">
        <v>138</v>
      </c>
      <c r="AC81" s="3">
        <v>275</v>
      </c>
      <c r="AD81" s="3">
        <v>1</v>
      </c>
      <c r="AE81" s="3">
        <v>1</v>
      </c>
      <c r="AF81" s="3">
        <v>5</v>
      </c>
      <c r="AG81" s="3">
        <v>8</v>
      </c>
      <c r="AH81" s="3">
        <v>2</v>
      </c>
      <c r="AI81" s="3">
        <v>2</v>
      </c>
      <c r="AJ81" s="3">
        <v>3</v>
      </c>
      <c r="AK81" s="3">
        <v>5</v>
      </c>
      <c r="AL81" s="3">
        <v>3</v>
      </c>
      <c r="AM81" s="3">
        <v>4</v>
      </c>
      <c r="AN81" s="3">
        <v>0</v>
      </c>
      <c r="AO81" s="3">
        <v>0</v>
      </c>
      <c r="AP81" s="3">
        <v>0</v>
      </c>
      <c r="AQ81" s="3">
        <v>0</v>
      </c>
      <c r="AR81" s="2" t="s">
        <v>8</v>
      </c>
      <c r="AS81" s="2" t="s">
        <v>8</v>
      </c>
      <c r="AU81" s="5" t="str">
        <f>HYPERLINK("https://creighton-primo.hosted.exlibrisgroup.com/primo-explore/search?tab=default_tab&amp;search_scope=EVERYTHING&amp;vid=01CRU&amp;lang=en_US&amp;offset=0&amp;query=any,contains,991001167589702656","Catalog Record")</f>
        <v>Catalog Record</v>
      </c>
      <c r="AV81" s="5" t="str">
        <f>HYPERLINK("http://www.worldcat.org/oclc/13794028","WorldCat Record")</f>
        <v>WorldCat Record</v>
      </c>
      <c r="AW81" s="2" t="s">
        <v>1101</v>
      </c>
      <c r="AX81" s="2" t="s">
        <v>1102</v>
      </c>
      <c r="AY81" s="2" t="s">
        <v>1103</v>
      </c>
      <c r="AZ81" s="2" t="s">
        <v>1103</v>
      </c>
      <c r="BA81" s="2" t="s">
        <v>1104</v>
      </c>
      <c r="BB81" s="2" t="s">
        <v>21</v>
      </c>
      <c r="BD81" s="2" t="s">
        <v>1105</v>
      </c>
      <c r="BE81" s="2" t="s">
        <v>1106</v>
      </c>
      <c r="BF81" s="2" t="s">
        <v>1107</v>
      </c>
    </row>
    <row r="82" spans="1:58" ht="42.75" customHeight="1" x14ac:dyDescent="0.25">
      <c r="A82" s="8" t="s">
        <v>8</v>
      </c>
      <c r="B82" s="1" t="s">
        <v>0</v>
      </c>
      <c r="C82" s="1" t="s">
        <v>1</v>
      </c>
      <c r="D82" s="1" t="s">
        <v>1108</v>
      </c>
      <c r="E82" s="1" t="s">
        <v>1109</v>
      </c>
      <c r="F82" s="1" t="s">
        <v>1110</v>
      </c>
      <c r="H82" s="2" t="s">
        <v>8</v>
      </c>
      <c r="I82" s="2" t="s">
        <v>7</v>
      </c>
      <c r="J82" s="2" t="s">
        <v>8</v>
      </c>
      <c r="K82" s="2" t="s">
        <v>8</v>
      </c>
      <c r="L82" s="2" t="s">
        <v>9</v>
      </c>
      <c r="N82" s="1" t="s">
        <v>1111</v>
      </c>
      <c r="O82" s="2" t="s">
        <v>589</v>
      </c>
      <c r="P82" s="1" t="s">
        <v>83</v>
      </c>
      <c r="Q82" s="2" t="s">
        <v>12</v>
      </c>
      <c r="R82" s="2" t="s">
        <v>34</v>
      </c>
      <c r="T82" s="2" t="s">
        <v>14</v>
      </c>
      <c r="U82" s="3">
        <v>20</v>
      </c>
      <c r="V82" s="3">
        <v>20</v>
      </c>
      <c r="W82" s="4" t="s">
        <v>1112</v>
      </c>
      <c r="X82" s="4" t="s">
        <v>1112</v>
      </c>
      <c r="Y82" s="4" t="s">
        <v>1113</v>
      </c>
      <c r="Z82" s="4" t="s">
        <v>1113</v>
      </c>
      <c r="AA82" s="3">
        <v>54</v>
      </c>
      <c r="AB82" s="3">
        <v>48</v>
      </c>
      <c r="AC82" s="3">
        <v>50</v>
      </c>
      <c r="AD82" s="3">
        <v>1</v>
      </c>
      <c r="AE82" s="3">
        <v>1</v>
      </c>
      <c r="AF82" s="3">
        <v>1</v>
      </c>
      <c r="AG82" s="3">
        <v>1</v>
      </c>
      <c r="AH82" s="3">
        <v>0</v>
      </c>
      <c r="AI82" s="3">
        <v>0</v>
      </c>
      <c r="AJ82" s="3">
        <v>0</v>
      </c>
      <c r="AK82" s="3">
        <v>0</v>
      </c>
      <c r="AL82" s="3">
        <v>1</v>
      </c>
      <c r="AM82" s="3">
        <v>1</v>
      </c>
      <c r="AN82" s="3">
        <v>0</v>
      </c>
      <c r="AO82" s="3">
        <v>0</v>
      </c>
      <c r="AP82" s="3">
        <v>0</v>
      </c>
      <c r="AQ82" s="3">
        <v>0</v>
      </c>
      <c r="AR82" s="2" t="s">
        <v>8</v>
      </c>
      <c r="AS82" s="2" t="s">
        <v>6</v>
      </c>
      <c r="AT82" s="5" t="str">
        <f>HYPERLINK("http://catalog.hathitrust.org/Record/010376711","HathiTrust Record")</f>
        <v>HathiTrust Record</v>
      </c>
      <c r="AU82" s="5" t="str">
        <f>HYPERLINK("https://creighton-primo.hosted.exlibrisgroup.com/primo-explore/search?tab=default_tab&amp;search_scope=EVERYTHING&amp;vid=01CRU&amp;lang=en_US&amp;offset=0&amp;query=any,contains,991001386839702656","Catalog Record")</f>
        <v>Catalog Record</v>
      </c>
      <c r="AV82" s="5" t="str">
        <f>HYPERLINK("http://www.worldcat.org/oclc/19847921","WorldCat Record")</f>
        <v>WorldCat Record</v>
      </c>
      <c r="AW82" s="2" t="s">
        <v>1114</v>
      </c>
      <c r="AX82" s="2" t="s">
        <v>1115</v>
      </c>
      <c r="AY82" s="2" t="s">
        <v>1116</v>
      </c>
      <c r="AZ82" s="2" t="s">
        <v>1116</v>
      </c>
      <c r="BA82" s="2" t="s">
        <v>1117</v>
      </c>
      <c r="BB82" s="2" t="s">
        <v>21</v>
      </c>
      <c r="BD82" s="2" t="s">
        <v>1118</v>
      </c>
      <c r="BE82" s="2" t="s">
        <v>1119</v>
      </c>
      <c r="BF82" s="2" t="s">
        <v>1120</v>
      </c>
    </row>
    <row r="83" spans="1:58" ht="42.75" customHeight="1" x14ac:dyDescent="0.25">
      <c r="A83" s="8" t="s">
        <v>8</v>
      </c>
      <c r="B83" s="1" t="s">
        <v>0</v>
      </c>
      <c r="C83" s="1" t="s">
        <v>1</v>
      </c>
      <c r="D83" s="1" t="s">
        <v>1121</v>
      </c>
      <c r="E83" s="1" t="s">
        <v>1122</v>
      </c>
      <c r="F83" s="1" t="s">
        <v>1123</v>
      </c>
      <c r="H83" s="2" t="s">
        <v>8</v>
      </c>
      <c r="I83" s="2" t="s">
        <v>7</v>
      </c>
      <c r="J83" s="2" t="s">
        <v>8</v>
      </c>
      <c r="K83" s="2" t="s">
        <v>8</v>
      </c>
      <c r="L83" s="2" t="s">
        <v>9</v>
      </c>
      <c r="M83" s="1" t="s">
        <v>1124</v>
      </c>
      <c r="N83" s="1" t="s">
        <v>1125</v>
      </c>
      <c r="O83" s="2" t="s">
        <v>602</v>
      </c>
      <c r="P83" s="1" t="s">
        <v>1126</v>
      </c>
      <c r="Q83" s="2" t="s">
        <v>12</v>
      </c>
      <c r="R83" s="2" t="s">
        <v>13</v>
      </c>
      <c r="S83" s="1" t="s">
        <v>1127</v>
      </c>
      <c r="T83" s="2" t="s">
        <v>14</v>
      </c>
      <c r="U83" s="3">
        <v>32</v>
      </c>
      <c r="V83" s="3">
        <v>32</v>
      </c>
      <c r="W83" s="4" t="s">
        <v>1128</v>
      </c>
      <c r="X83" s="4" t="s">
        <v>1128</v>
      </c>
      <c r="Y83" s="4" t="s">
        <v>1129</v>
      </c>
      <c r="Z83" s="4" t="s">
        <v>1129</v>
      </c>
      <c r="AA83" s="3">
        <v>62</v>
      </c>
      <c r="AB83" s="3">
        <v>39</v>
      </c>
      <c r="AC83" s="3">
        <v>39</v>
      </c>
      <c r="AD83" s="3">
        <v>1</v>
      </c>
      <c r="AE83" s="3">
        <v>1</v>
      </c>
      <c r="AF83" s="3">
        <v>0</v>
      </c>
      <c r="AG83" s="3">
        <v>0</v>
      </c>
      <c r="AH83" s="3">
        <v>0</v>
      </c>
      <c r="AI83" s="3">
        <v>0</v>
      </c>
      <c r="AJ83" s="3">
        <v>0</v>
      </c>
      <c r="AK83" s="3">
        <v>0</v>
      </c>
      <c r="AL83" s="3">
        <v>0</v>
      </c>
      <c r="AM83" s="3">
        <v>0</v>
      </c>
      <c r="AN83" s="3">
        <v>0</v>
      </c>
      <c r="AO83" s="3">
        <v>0</v>
      </c>
      <c r="AP83" s="3">
        <v>0</v>
      </c>
      <c r="AQ83" s="3">
        <v>0</v>
      </c>
      <c r="AR83" s="2" t="s">
        <v>8</v>
      </c>
      <c r="AS83" s="2" t="s">
        <v>8</v>
      </c>
      <c r="AU83" s="5" t="str">
        <f>HYPERLINK("https://creighton-primo.hosted.exlibrisgroup.com/primo-explore/search?tab=default_tab&amp;search_scope=EVERYTHING&amp;vid=01CRU&amp;lang=en_US&amp;offset=0&amp;query=any,contains,991001023359702656","Catalog Record")</f>
        <v>Catalog Record</v>
      </c>
      <c r="AV83" s="5" t="str">
        <f>HYPERLINK("http://www.worldcat.org/oclc/24441995","WorldCat Record")</f>
        <v>WorldCat Record</v>
      </c>
      <c r="AW83" s="2" t="s">
        <v>1130</v>
      </c>
      <c r="AX83" s="2" t="s">
        <v>1131</v>
      </c>
      <c r="AY83" s="2" t="s">
        <v>1132</v>
      </c>
      <c r="AZ83" s="2" t="s">
        <v>1132</v>
      </c>
      <c r="BA83" s="2" t="s">
        <v>1133</v>
      </c>
      <c r="BB83" s="2" t="s">
        <v>21</v>
      </c>
      <c r="BD83" s="2" t="s">
        <v>1134</v>
      </c>
      <c r="BE83" s="2" t="s">
        <v>1135</v>
      </c>
      <c r="BF83" s="2" t="s">
        <v>1136</v>
      </c>
    </row>
    <row r="84" spans="1:58" ht="42.75" customHeight="1" x14ac:dyDescent="0.25">
      <c r="A84" s="8" t="s">
        <v>8</v>
      </c>
      <c r="B84" s="1" t="s">
        <v>0</v>
      </c>
      <c r="C84" s="1" t="s">
        <v>1</v>
      </c>
      <c r="D84" s="1" t="s">
        <v>1137</v>
      </c>
      <c r="E84" s="1" t="s">
        <v>1138</v>
      </c>
      <c r="F84" s="1" t="s">
        <v>1139</v>
      </c>
      <c r="H84" s="2" t="s">
        <v>8</v>
      </c>
      <c r="I84" s="2" t="s">
        <v>7</v>
      </c>
      <c r="J84" s="2" t="s">
        <v>8</v>
      </c>
      <c r="K84" s="2" t="s">
        <v>8</v>
      </c>
      <c r="L84" s="2" t="s">
        <v>7</v>
      </c>
      <c r="M84" s="1" t="s">
        <v>1140</v>
      </c>
      <c r="N84" s="1" t="s">
        <v>1141</v>
      </c>
      <c r="O84" s="2" t="s">
        <v>224</v>
      </c>
      <c r="Q84" s="2" t="s">
        <v>12</v>
      </c>
      <c r="R84" s="2" t="s">
        <v>13</v>
      </c>
      <c r="S84" s="1" t="s">
        <v>1142</v>
      </c>
      <c r="T84" s="2" t="s">
        <v>14</v>
      </c>
      <c r="U84" s="3">
        <v>20</v>
      </c>
      <c r="V84" s="3">
        <v>20</v>
      </c>
      <c r="W84" s="4" t="s">
        <v>1143</v>
      </c>
      <c r="X84" s="4" t="s">
        <v>1143</v>
      </c>
      <c r="Y84" s="4" t="s">
        <v>1144</v>
      </c>
      <c r="Z84" s="4" t="s">
        <v>1144</v>
      </c>
      <c r="AA84" s="3">
        <v>305</v>
      </c>
      <c r="AB84" s="3">
        <v>211</v>
      </c>
      <c r="AC84" s="3">
        <v>1150</v>
      </c>
      <c r="AD84" s="3">
        <v>1</v>
      </c>
      <c r="AE84" s="3">
        <v>14</v>
      </c>
      <c r="AF84" s="3">
        <v>8</v>
      </c>
      <c r="AG84" s="3">
        <v>46</v>
      </c>
      <c r="AH84" s="3">
        <v>2</v>
      </c>
      <c r="AI84" s="3">
        <v>13</v>
      </c>
      <c r="AJ84" s="3">
        <v>2</v>
      </c>
      <c r="AK84" s="3">
        <v>10</v>
      </c>
      <c r="AL84" s="3">
        <v>5</v>
      </c>
      <c r="AM84" s="3">
        <v>15</v>
      </c>
      <c r="AN84" s="3">
        <v>0</v>
      </c>
      <c r="AO84" s="3">
        <v>12</v>
      </c>
      <c r="AP84" s="3">
        <v>1</v>
      </c>
      <c r="AQ84" s="3">
        <v>3</v>
      </c>
      <c r="AR84" s="2" t="s">
        <v>8</v>
      </c>
      <c r="AS84" s="2" t="s">
        <v>8</v>
      </c>
      <c r="AU84" s="5" t="str">
        <f>HYPERLINK("https://creighton-primo.hosted.exlibrisgroup.com/primo-explore/search?tab=default_tab&amp;search_scope=EVERYTHING&amp;vid=01CRU&amp;lang=en_US&amp;offset=0&amp;query=any,contains,991001167509702656","Catalog Record")</f>
        <v>Catalog Record</v>
      </c>
      <c r="AV84" s="5" t="str">
        <f>HYPERLINK("http://www.worldcat.org/oclc/6195735","WorldCat Record")</f>
        <v>WorldCat Record</v>
      </c>
      <c r="AW84" s="2" t="s">
        <v>1145</v>
      </c>
      <c r="AX84" s="2" t="s">
        <v>1146</v>
      </c>
      <c r="AY84" s="2" t="s">
        <v>1147</v>
      </c>
      <c r="AZ84" s="2" t="s">
        <v>1147</v>
      </c>
      <c r="BA84" s="2" t="s">
        <v>1148</v>
      </c>
      <c r="BB84" s="2" t="s">
        <v>21</v>
      </c>
      <c r="BD84" s="2" t="s">
        <v>1149</v>
      </c>
      <c r="BE84" s="2" t="s">
        <v>1150</v>
      </c>
      <c r="BF84" s="2" t="s">
        <v>1151</v>
      </c>
    </row>
    <row r="85" spans="1:58" ht="42.75" customHeight="1" x14ac:dyDescent="0.25">
      <c r="A85" s="8" t="s">
        <v>8</v>
      </c>
      <c r="B85" s="1" t="s">
        <v>0</v>
      </c>
      <c r="C85" s="1" t="s">
        <v>1</v>
      </c>
      <c r="D85" s="1" t="s">
        <v>1152</v>
      </c>
      <c r="E85" s="1" t="s">
        <v>1153</v>
      </c>
      <c r="F85" s="1" t="s">
        <v>1154</v>
      </c>
      <c r="H85" s="2" t="s">
        <v>8</v>
      </c>
      <c r="I85" s="2" t="s">
        <v>7</v>
      </c>
      <c r="J85" s="2" t="s">
        <v>8</v>
      </c>
      <c r="K85" s="2" t="s">
        <v>6</v>
      </c>
      <c r="L85" s="2" t="s">
        <v>9</v>
      </c>
      <c r="M85" s="1" t="s">
        <v>1155</v>
      </c>
      <c r="N85" s="1" t="s">
        <v>1156</v>
      </c>
      <c r="O85" s="2" t="s">
        <v>1157</v>
      </c>
      <c r="Q85" s="2" t="s">
        <v>12</v>
      </c>
      <c r="R85" s="2" t="s">
        <v>520</v>
      </c>
      <c r="T85" s="2" t="s">
        <v>14</v>
      </c>
      <c r="U85" s="3">
        <v>5</v>
      </c>
      <c r="V85" s="3">
        <v>5</v>
      </c>
      <c r="W85" s="4" t="s">
        <v>1158</v>
      </c>
      <c r="X85" s="4" t="s">
        <v>1158</v>
      </c>
      <c r="Y85" s="4" t="s">
        <v>1159</v>
      </c>
      <c r="Z85" s="4" t="s">
        <v>1159</v>
      </c>
      <c r="AA85" s="3">
        <v>470</v>
      </c>
      <c r="AB85" s="3">
        <v>386</v>
      </c>
      <c r="AC85" s="3">
        <v>537</v>
      </c>
      <c r="AD85" s="3">
        <v>3</v>
      </c>
      <c r="AE85" s="3">
        <v>4</v>
      </c>
      <c r="AF85" s="3">
        <v>16</v>
      </c>
      <c r="AG85" s="3">
        <v>28</v>
      </c>
      <c r="AH85" s="3">
        <v>5</v>
      </c>
      <c r="AI85" s="3">
        <v>13</v>
      </c>
      <c r="AJ85" s="3">
        <v>2</v>
      </c>
      <c r="AK85" s="3">
        <v>6</v>
      </c>
      <c r="AL85" s="3">
        <v>10</v>
      </c>
      <c r="AM85" s="3">
        <v>15</v>
      </c>
      <c r="AN85" s="3">
        <v>2</v>
      </c>
      <c r="AO85" s="3">
        <v>2</v>
      </c>
      <c r="AP85" s="3">
        <v>0</v>
      </c>
      <c r="AQ85" s="3">
        <v>0</v>
      </c>
      <c r="AR85" s="2" t="s">
        <v>8</v>
      </c>
      <c r="AS85" s="2" t="s">
        <v>8</v>
      </c>
      <c r="AU85" s="5" t="str">
        <f>HYPERLINK("https://creighton-primo.hosted.exlibrisgroup.com/primo-explore/search?tab=default_tab&amp;search_scope=EVERYTHING&amp;vid=01CRU&amp;lang=en_US&amp;offset=0&amp;query=any,contains,991001167479702656","Catalog Record")</f>
        <v>Catalog Record</v>
      </c>
      <c r="AV85" s="5" t="str">
        <f>HYPERLINK("http://www.worldcat.org/oclc/639447","WorldCat Record")</f>
        <v>WorldCat Record</v>
      </c>
      <c r="AW85" s="2" t="s">
        <v>1160</v>
      </c>
      <c r="AX85" s="2" t="s">
        <v>1161</v>
      </c>
      <c r="AY85" s="2" t="s">
        <v>1162</v>
      </c>
      <c r="AZ85" s="2" t="s">
        <v>1162</v>
      </c>
      <c r="BA85" s="2" t="s">
        <v>1163</v>
      </c>
      <c r="BB85" s="2" t="s">
        <v>21</v>
      </c>
      <c r="BE85" s="2" t="s">
        <v>1164</v>
      </c>
      <c r="BF85" s="2" t="s">
        <v>1165</v>
      </c>
    </row>
    <row r="86" spans="1:58" ht="42.75" customHeight="1" x14ac:dyDescent="0.25">
      <c r="A86" s="8" t="s">
        <v>8</v>
      </c>
      <c r="B86" s="1" t="s">
        <v>0</v>
      </c>
      <c r="C86" s="1" t="s">
        <v>1</v>
      </c>
      <c r="D86" s="1" t="s">
        <v>1166</v>
      </c>
      <c r="E86" s="1" t="s">
        <v>1167</v>
      </c>
      <c r="F86" s="1" t="s">
        <v>1168</v>
      </c>
      <c r="H86" s="2" t="s">
        <v>8</v>
      </c>
      <c r="I86" s="2" t="s">
        <v>885</v>
      </c>
      <c r="J86" s="2" t="s">
        <v>8</v>
      </c>
      <c r="K86" s="2" t="s">
        <v>8</v>
      </c>
      <c r="L86" s="2" t="s">
        <v>9</v>
      </c>
      <c r="N86" s="1" t="s">
        <v>1169</v>
      </c>
      <c r="O86" s="2" t="s">
        <v>830</v>
      </c>
      <c r="Q86" s="2" t="s">
        <v>12</v>
      </c>
      <c r="R86" s="2" t="s">
        <v>1170</v>
      </c>
      <c r="T86" s="2" t="s">
        <v>14</v>
      </c>
      <c r="U86" s="3">
        <v>5</v>
      </c>
      <c r="V86" s="3">
        <v>5</v>
      </c>
      <c r="W86" s="4" t="s">
        <v>1171</v>
      </c>
      <c r="X86" s="4" t="s">
        <v>1171</v>
      </c>
      <c r="Y86" s="4" t="s">
        <v>1172</v>
      </c>
      <c r="Z86" s="4" t="s">
        <v>1172</v>
      </c>
      <c r="AA86" s="3">
        <v>1</v>
      </c>
      <c r="AB86" s="3">
        <v>1</v>
      </c>
      <c r="AC86" s="3">
        <v>2</v>
      </c>
      <c r="AD86" s="3">
        <v>1</v>
      </c>
      <c r="AE86" s="3">
        <v>1</v>
      </c>
      <c r="AF86" s="3">
        <v>0</v>
      </c>
      <c r="AG86" s="3">
        <v>0</v>
      </c>
      <c r="AH86" s="3">
        <v>0</v>
      </c>
      <c r="AI86" s="3">
        <v>0</v>
      </c>
      <c r="AJ86" s="3">
        <v>0</v>
      </c>
      <c r="AK86" s="3">
        <v>0</v>
      </c>
      <c r="AL86" s="3">
        <v>0</v>
      </c>
      <c r="AM86" s="3">
        <v>0</v>
      </c>
      <c r="AN86" s="3">
        <v>0</v>
      </c>
      <c r="AO86" s="3">
        <v>0</v>
      </c>
      <c r="AP86" s="3">
        <v>0</v>
      </c>
      <c r="AQ86" s="3">
        <v>0</v>
      </c>
      <c r="AR86" s="2" t="s">
        <v>8</v>
      </c>
      <c r="AS86" s="2" t="s">
        <v>8</v>
      </c>
      <c r="AU86" s="5" t="str">
        <f>HYPERLINK("https://creighton-primo.hosted.exlibrisgroup.com/primo-explore/search?tab=default_tab&amp;search_scope=EVERYTHING&amp;vid=01CRU&amp;lang=en_US&amp;offset=0&amp;query=any,contains,991000375039702656","Catalog Record")</f>
        <v>Catalog Record</v>
      </c>
      <c r="AV86" s="5" t="str">
        <f>HYPERLINK("http://www.worldcat.org/oclc/55666820","WorldCat Record")</f>
        <v>WorldCat Record</v>
      </c>
      <c r="AW86" s="2" t="s">
        <v>1173</v>
      </c>
      <c r="AX86" s="2" t="s">
        <v>1174</v>
      </c>
      <c r="AY86" s="2" t="s">
        <v>1175</v>
      </c>
      <c r="AZ86" s="2" t="s">
        <v>1175</v>
      </c>
      <c r="BA86" s="2" t="s">
        <v>1176</v>
      </c>
      <c r="BB86" s="2" t="s">
        <v>21</v>
      </c>
      <c r="BE86" s="2" t="s">
        <v>1177</v>
      </c>
      <c r="BF86" s="2" t="s">
        <v>1178</v>
      </c>
    </row>
    <row r="87" spans="1:58" ht="42.75" customHeight="1" x14ac:dyDescent="0.25">
      <c r="A87" s="8" t="s">
        <v>8</v>
      </c>
      <c r="B87" s="1" t="s">
        <v>0</v>
      </c>
      <c r="C87" s="1" t="s">
        <v>1</v>
      </c>
      <c r="D87" s="1" t="s">
        <v>1179</v>
      </c>
      <c r="E87" s="1" t="s">
        <v>1180</v>
      </c>
      <c r="F87" s="1" t="s">
        <v>1181</v>
      </c>
      <c r="H87" s="2" t="s">
        <v>8</v>
      </c>
      <c r="I87" s="2" t="s">
        <v>885</v>
      </c>
      <c r="J87" s="2" t="s">
        <v>8</v>
      </c>
      <c r="K87" s="2" t="s">
        <v>8</v>
      </c>
      <c r="L87" s="2" t="s">
        <v>9</v>
      </c>
      <c r="N87" s="1" t="s">
        <v>1169</v>
      </c>
      <c r="O87" s="2" t="s">
        <v>830</v>
      </c>
      <c r="Q87" s="2" t="s">
        <v>12</v>
      </c>
      <c r="R87" s="2" t="s">
        <v>1170</v>
      </c>
      <c r="T87" s="2" t="s">
        <v>14</v>
      </c>
      <c r="U87" s="3">
        <v>6</v>
      </c>
      <c r="V87" s="3">
        <v>6</v>
      </c>
      <c r="W87" s="4" t="s">
        <v>1182</v>
      </c>
      <c r="X87" s="4" t="s">
        <v>1182</v>
      </c>
      <c r="Y87" s="4" t="s">
        <v>1172</v>
      </c>
      <c r="Z87" s="4" t="s">
        <v>1172</v>
      </c>
      <c r="AA87" s="3">
        <v>2</v>
      </c>
      <c r="AB87" s="3">
        <v>1</v>
      </c>
      <c r="AC87" s="3">
        <v>1</v>
      </c>
      <c r="AD87" s="3">
        <v>1</v>
      </c>
      <c r="AE87" s="3">
        <v>1</v>
      </c>
      <c r="AF87" s="3">
        <v>0</v>
      </c>
      <c r="AG87" s="3">
        <v>0</v>
      </c>
      <c r="AH87" s="3">
        <v>0</v>
      </c>
      <c r="AI87" s="3">
        <v>0</v>
      </c>
      <c r="AJ87" s="3">
        <v>0</v>
      </c>
      <c r="AK87" s="3">
        <v>0</v>
      </c>
      <c r="AL87" s="3">
        <v>0</v>
      </c>
      <c r="AM87" s="3">
        <v>0</v>
      </c>
      <c r="AN87" s="3">
        <v>0</v>
      </c>
      <c r="AO87" s="3">
        <v>0</v>
      </c>
      <c r="AP87" s="3">
        <v>0</v>
      </c>
      <c r="AQ87" s="3">
        <v>0</v>
      </c>
      <c r="AR87" s="2" t="s">
        <v>8</v>
      </c>
      <c r="AS87" s="2" t="s">
        <v>8</v>
      </c>
      <c r="AU87" s="5" t="str">
        <f>HYPERLINK("https://creighton-primo.hosted.exlibrisgroup.com/primo-explore/search?tab=default_tab&amp;search_scope=EVERYTHING&amp;vid=01CRU&amp;lang=en_US&amp;offset=0&amp;query=any,contains,991000374999702656","Catalog Record")</f>
        <v>Catalog Record</v>
      </c>
      <c r="AV87" s="5" t="str">
        <f>HYPERLINK("http://www.worldcat.org/oclc/55663278","WorldCat Record")</f>
        <v>WorldCat Record</v>
      </c>
      <c r="AW87" s="2" t="s">
        <v>1183</v>
      </c>
      <c r="AX87" s="2" t="s">
        <v>1184</v>
      </c>
      <c r="AY87" s="2" t="s">
        <v>1185</v>
      </c>
      <c r="AZ87" s="2" t="s">
        <v>1185</v>
      </c>
      <c r="BA87" s="2" t="s">
        <v>1186</v>
      </c>
      <c r="BB87" s="2" t="s">
        <v>21</v>
      </c>
      <c r="BE87" s="2" t="s">
        <v>1187</v>
      </c>
      <c r="BF87" s="2" t="s">
        <v>1188</v>
      </c>
    </row>
    <row r="88" spans="1:58" ht="42.75" customHeight="1" x14ac:dyDescent="0.25">
      <c r="A88" s="8" t="s">
        <v>8</v>
      </c>
      <c r="B88" s="1" t="s">
        <v>0</v>
      </c>
      <c r="C88" s="1" t="s">
        <v>1</v>
      </c>
      <c r="D88" s="1" t="s">
        <v>1189</v>
      </c>
      <c r="E88" s="1" t="s">
        <v>1190</v>
      </c>
      <c r="F88" s="1" t="s">
        <v>1191</v>
      </c>
      <c r="H88" s="2" t="s">
        <v>8</v>
      </c>
      <c r="I88" s="2" t="s">
        <v>885</v>
      </c>
      <c r="J88" s="2" t="s">
        <v>8</v>
      </c>
      <c r="K88" s="2" t="s">
        <v>8</v>
      </c>
      <c r="L88" s="2" t="s">
        <v>9</v>
      </c>
      <c r="N88" s="1" t="s">
        <v>1169</v>
      </c>
      <c r="O88" s="2" t="s">
        <v>830</v>
      </c>
      <c r="Q88" s="2" t="s">
        <v>12</v>
      </c>
      <c r="R88" s="2" t="s">
        <v>1170</v>
      </c>
      <c r="T88" s="2" t="s">
        <v>14</v>
      </c>
      <c r="U88" s="3">
        <v>5</v>
      </c>
      <c r="V88" s="3">
        <v>5</v>
      </c>
      <c r="W88" s="4" t="s">
        <v>1182</v>
      </c>
      <c r="X88" s="4" t="s">
        <v>1182</v>
      </c>
      <c r="Y88" s="4" t="s">
        <v>1172</v>
      </c>
      <c r="Z88" s="4" t="s">
        <v>1172</v>
      </c>
      <c r="AA88" s="3">
        <v>1</v>
      </c>
      <c r="AB88" s="3">
        <v>1</v>
      </c>
      <c r="AC88" s="3">
        <v>1</v>
      </c>
      <c r="AD88" s="3">
        <v>1</v>
      </c>
      <c r="AE88" s="3">
        <v>1</v>
      </c>
      <c r="AF88" s="3">
        <v>0</v>
      </c>
      <c r="AG88" s="3">
        <v>0</v>
      </c>
      <c r="AH88" s="3">
        <v>0</v>
      </c>
      <c r="AI88" s="3">
        <v>0</v>
      </c>
      <c r="AJ88" s="3">
        <v>0</v>
      </c>
      <c r="AK88" s="3">
        <v>0</v>
      </c>
      <c r="AL88" s="3">
        <v>0</v>
      </c>
      <c r="AM88" s="3">
        <v>0</v>
      </c>
      <c r="AN88" s="3">
        <v>0</v>
      </c>
      <c r="AO88" s="3">
        <v>0</v>
      </c>
      <c r="AP88" s="3">
        <v>0</v>
      </c>
      <c r="AQ88" s="3">
        <v>0</v>
      </c>
      <c r="AR88" s="2" t="s">
        <v>8</v>
      </c>
      <c r="AS88" s="2" t="s">
        <v>8</v>
      </c>
      <c r="AU88" s="5" t="str">
        <f>HYPERLINK("https://creighton-primo.hosted.exlibrisgroup.com/primo-explore/search?tab=default_tab&amp;search_scope=EVERYTHING&amp;vid=01CRU&amp;lang=en_US&amp;offset=0&amp;query=any,contains,991000375079702656","Catalog Record")</f>
        <v>Catalog Record</v>
      </c>
      <c r="AV88" s="5" t="str">
        <f>HYPERLINK("http://www.worldcat.org/oclc/55666839","WorldCat Record")</f>
        <v>WorldCat Record</v>
      </c>
      <c r="AW88" s="2" t="s">
        <v>1192</v>
      </c>
      <c r="AX88" s="2" t="s">
        <v>1193</v>
      </c>
      <c r="AY88" s="2" t="s">
        <v>1194</v>
      </c>
      <c r="AZ88" s="2" t="s">
        <v>1194</v>
      </c>
      <c r="BA88" s="2" t="s">
        <v>1195</v>
      </c>
      <c r="BB88" s="2" t="s">
        <v>21</v>
      </c>
      <c r="BE88" s="2" t="s">
        <v>1196</v>
      </c>
      <c r="BF88" s="2" t="s">
        <v>1197</v>
      </c>
    </row>
    <row r="89" spans="1:58" ht="42.75" customHeight="1" x14ac:dyDescent="0.25">
      <c r="A89" s="8" t="s">
        <v>8</v>
      </c>
      <c r="B89" s="1" t="s">
        <v>0</v>
      </c>
      <c r="C89" s="1" t="s">
        <v>1</v>
      </c>
      <c r="D89" s="1" t="s">
        <v>1198</v>
      </c>
      <c r="E89" s="1" t="s">
        <v>1199</v>
      </c>
      <c r="F89" s="1" t="s">
        <v>1200</v>
      </c>
      <c r="H89" s="2" t="s">
        <v>8</v>
      </c>
      <c r="I89" s="2" t="s">
        <v>885</v>
      </c>
      <c r="J89" s="2" t="s">
        <v>8</v>
      </c>
      <c r="K89" s="2" t="s">
        <v>8</v>
      </c>
      <c r="L89" s="2" t="s">
        <v>9</v>
      </c>
      <c r="N89" s="1" t="s">
        <v>1169</v>
      </c>
      <c r="O89" s="2" t="s">
        <v>830</v>
      </c>
      <c r="Q89" s="2" t="s">
        <v>12</v>
      </c>
      <c r="R89" s="2" t="s">
        <v>1170</v>
      </c>
      <c r="T89" s="2" t="s">
        <v>14</v>
      </c>
      <c r="U89" s="3">
        <v>3</v>
      </c>
      <c r="V89" s="3">
        <v>3</v>
      </c>
      <c r="W89" s="4" t="s">
        <v>1171</v>
      </c>
      <c r="X89" s="4" t="s">
        <v>1171</v>
      </c>
      <c r="Y89" s="4" t="s">
        <v>1172</v>
      </c>
      <c r="Z89" s="4" t="s">
        <v>1172</v>
      </c>
      <c r="AA89" s="3">
        <v>1</v>
      </c>
      <c r="AB89" s="3">
        <v>1</v>
      </c>
      <c r="AC89" s="3">
        <v>1</v>
      </c>
      <c r="AD89" s="3">
        <v>1</v>
      </c>
      <c r="AE89" s="3">
        <v>1</v>
      </c>
      <c r="AF89" s="3">
        <v>0</v>
      </c>
      <c r="AG89" s="3">
        <v>0</v>
      </c>
      <c r="AH89" s="3">
        <v>0</v>
      </c>
      <c r="AI89" s="3">
        <v>0</v>
      </c>
      <c r="AJ89" s="3">
        <v>0</v>
      </c>
      <c r="AK89" s="3">
        <v>0</v>
      </c>
      <c r="AL89" s="3">
        <v>0</v>
      </c>
      <c r="AM89" s="3">
        <v>0</v>
      </c>
      <c r="AN89" s="3">
        <v>0</v>
      </c>
      <c r="AO89" s="3">
        <v>0</v>
      </c>
      <c r="AP89" s="3">
        <v>0</v>
      </c>
      <c r="AQ89" s="3">
        <v>0</v>
      </c>
      <c r="AR89" s="2" t="s">
        <v>8</v>
      </c>
      <c r="AS89" s="2" t="s">
        <v>8</v>
      </c>
      <c r="AU89" s="5" t="str">
        <f>HYPERLINK("https://creighton-primo.hosted.exlibrisgroup.com/primo-explore/search?tab=default_tab&amp;search_scope=EVERYTHING&amp;vid=01CRU&amp;lang=en_US&amp;offset=0&amp;query=any,contains,991000375119702656","Catalog Record")</f>
        <v>Catalog Record</v>
      </c>
      <c r="AV89" s="5" t="str">
        <f>HYPERLINK("http://www.worldcat.org/oclc/55668751","WorldCat Record")</f>
        <v>WorldCat Record</v>
      </c>
      <c r="AW89" s="2" t="s">
        <v>1201</v>
      </c>
      <c r="AX89" s="2" t="s">
        <v>1202</v>
      </c>
      <c r="AY89" s="2" t="s">
        <v>1203</v>
      </c>
      <c r="AZ89" s="2" t="s">
        <v>1203</v>
      </c>
      <c r="BA89" s="2" t="s">
        <v>1204</v>
      </c>
      <c r="BB89" s="2" t="s">
        <v>21</v>
      </c>
      <c r="BE89" s="2" t="s">
        <v>1205</v>
      </c>
      <c r="BF89" s="2" t="s">
        <v>1206</v>
      </c>
    </row>
    <row r="90" spans="1:58" ht="42.75" customHeight="1" x14ac:dyDescent="0.25">
      <c r="A90" s="8" t="s">
        <v>8</v>
      </c>
      <c r="B90" s="1" t="s">
        <v>0</v>
      </c>
      <c r="C90" s="1" t="s">
        <v>1</v>
      </c>
      <c r="D90" s="1" t="s">
        <v>1207</v>
      </c>
      <c r="E90" s="1" t="s">
        <v>1208</v>
      </c>
      <c r="F90" s="1" t="s">
        <v>1209</v>
      </c>
      <c r="H90" s="2" t="s">
        <v>8</v>
      </c>
      <c r="I90" s="2" t="s">
        <v>7</v>
      </c>
      <c r="J90" s="2" t="s">
        <v>8</v>
      </c>
      <c r="K90" s="2" t="s">
        <v>8</v>
      </c>
      <c r="L90" s="2" t="s">
        <v>9</v>
      </c>
      <c r="N90" s="1" t="s">
        <v>1210</v>
      </c>
      <c r="O90" s="2" t="s">
        <v>814</v>
      </c>
      <c r="Q90" s="2" t="s">
        <v>12</v>
      </c>
      <c r="R90" s="2" t="s">
        <v>1211</v>
      </c>
      <c r="T90" s="2" t="s">
        <v>14</v>
      </c>
      <c r="U90" s="3">
        <v>0</v>
      </c>
      <c r="V90" s="3">
        <v>0</v>
      </c>
      <c r="W90" s="4" t="s">
        <v>1212</v>
      </c>
      <c r="X90" s="4" t="s">
        <v>1212</v>
      </c>
      <c r="Y90" s="4" t="s">
        <v>1213</v>
      </c>
      <c r="Z90" s="4" t="s">
        <v>1213</v>
      </c>
      <c r="AA90" s="3">
        <v>38</v>
      </c>
      <c r="AB90" s="3">
        <v>35</v>
      </c>
      <c r="AC90" s="3">
        <v>37</v>
      </c>
      <c r="AD90" s="3">
        <v>1</v>
      </c>
      <c r="AE90" s="3">
        <v>1</v>
      </c>
      <c r="AF90" s="3">
        <v>1</v>
      </c>
      <c r="AG90" s="3">
        <v>1</v>
      </c>
      <c r="AH90" s="3">
        <v>0</v>
      </c>
      <c r="AI90" s="3">
        <v>0</v>
      </c>
      <c r="AJ90" s="3">
        <v>0</v>
      </c>
      <c r="AK90" s="3">
        <v>0</v>
      </c>
      <c r="AL90" s="3">
        <v>1</v>
      </c>
      <c r="AM90" s="3">
        <v>1</v>
      </c>
      <c r="AN90" s="3">
        <v>0</v>
      </c>
      <c r="AO90" s="3">
        <v>0</v>
      </c>
      <c r="AP90" s="3">
        <v>0</v>
      </c>
      <c r="AQ90" s="3">
        <v>0</v>
      </c>
      <c r="AR90" s="2" t="s">
        <v>8</v>
      </c>
      <c r="AS90" s="2" t="s">
        <v>6</v>
      </c>
      <c r="AT90" s="5" t="str">
        <f>HYPERLINK("http://catalog.hathitrust.org/Record/004734070","HathiTrust Record")</f>
        <v>HathiTrust Record</v>
      </c>
      <c r="AU90" s="5" t="str">
        <f>HYPERLINK("https://creighton-primo.hosted.exlibrisgroup.com/primo-explore/search?tab=default_tab&amp;search_scope=EVERYTHING&amp;vid=01CRU&amp;lang=en_US&amp;offset=0&amp;query=any,contains,991000580789702656","Catalog Record")</f>
        <v>Catalog Record</v>
      </c>
      <c r="AV90" s="5" t="str">
        <f>HYPERLINK("http://www.worldcat.org/oclc/42296367","WorldCat Record")</f>
        <v>WorldCat Record</v>
      </c>
      <c r="AW90" s="2" t="s">
        <v>1214</v>
      </c>
      <c r="AX90" s="2" t="s">
        <v>1215</v>
      </c>
      <c r="AY90" s="2" t="s">
        <v>1216</v>
      </c>
      <c r="AZ90" s="2" t="s">
        <v>1216</v>
      </c>
      <c r="BA90" s="2" t="s">
        <v>1217</v>
      </c>
      <c r="BB90" s="2" t="s">
        <v>21</v>
      </c>
      <c r="BD90" s="2" t="s">
        <v>1218</v>
      </c>
      <c r="BE90" s="2" t="s">
        <v>1219</v>
      </c>
      <c r="BF90" s="2" t="s">
        <v>1220</v>
      </c>
    </row>
    <row r="91" spans="1:58" ht="42.75" customHeight="1" x14ac:dyDescent="0.25">
      <c r="A91" s="8" t="s">
        <v>8</v>
      </c>
      <c r="B91" s="1" t="s">
        <v>0</v>
      </c>
      <c r="C91" s="1" t="s">
        <v>1</v>
      </c>
      <c r="D91" s="1" t="s">
        <v>1221</v>
      </c>
      <c r="E91" s="1" t="s">
        <v>1222</v>
      </c>
      <c r="F91" s="1" t="s">
        <v>1223</v>
      </c>
      <c r="H91" s="2" t="s">
        <v>8</v>
      </c>
      <c r="I91" s="2" t="s">
        <v>7</v>
      </c>
      <c r="J91" s="2" t="s">
        <v>8</v>
      </c>
      <c r="K91" s="2" t="s">
        <v>8</v>
      </c>
      <c r="L91" s="2" t="s">
        <v>9</v>
      </c>
      <c r="N91" s="1" t="s">
        <v>1224</v>
      </c>
      <c r="O91" s="2" t="s">
        <v>589</v>
      </c>
      <c r="P91" s="1" t="s">
        <v>1225</v>
      </c>
      <c r="Q91" s="2" t="s">
        <v>12</v>
      </c>
      <c r="R91" s="2" t="s">
        <v>520</v>
      </c>
      <c r="T91" s="2" t="s">
        <v>14</v>
      </c>
      <c r="U91" s="3">
        <v>2</v>
      </c>
      <c r="V91" s="3">
        <v>2</v>
      </c>
      <c r="W91" s="4" t="s">
        <v>1226</v>
      </c>
      <c r="X91" s="4" t="s">
        <v>1226</v>
      </c>
      <c r="Y91" s="4" t="s">
        <v>1226</v>
      </c>
      <c r="Z91" s="4" t="s">
        <v>1226</v>
      </c>
      <c r="AA91" s="3">
        <v>52</v>
      </c>
      <c r="AB91" s="3">
        <v>52</v>
      </c>
      <c r="AC91" s="3">
        <v>52</v>
      </c>
      <c r="AD91" s="3">
        <v>1</v>
      </c>
      <c r="AE91" s="3">
        <v>1</v>
      </c>
      <c r="AF91" s="3">
        <v>1</v>
      </c>
      <c r="AG91" s="3">
        <v>1</v>
      </c>
      <c r="AH91" s="3">
        <v>0</v>
      </c>
      <c r="AI91" s="3">
        <v>0</v>
      </c>
      <c r="AJ91" s="3">
        <v>0</v>
      </c>
      <c r="AK91" s="3">
        <v>0</v>
      </c>
      <c r="AL91" s="3">
        <v>1</v>
      </c>
      <c r="AM91" s="3">
        <v>1</v>
      </c>
      <c r="AN91" s="3">
        <v>0</v>
      </c>
      <c r="AO91" s="3">
        <v>0</v>
      </c>
      <c r="AP91" s="3">
        <v>0</v>
      </c>
      <c r="AQ91" s="3">
        <v>0</v>
      </c>
      <c r="AR91" s="2" t="s">
        <v>8</v>
      </c>
      <c r="AS91" s="2" t="s">
        <v>8</v>
      </c>
      <c r="AU91" s="5" t="str">
        <f>HYPERLINK("https://creighton-primo.hosted.exlibrisgroup.com/primo-explore/search?tab=default_tab&amp;search_scope=EVERYTHING&amp;vid=01CRU&amp;lang=en_US&amp;offset=0&amp;query=any,contains,991000764959702656","Catalog Record")</f>
        <v>Catalog Record</v>
      </c>
      <c r="AV91" s="5" t="str">
        <f>HYPERLINK("http://www.worldcat.org/oclc/22461382","WorldCat Record")</f>
        <v>WorldCat Record</v>
      </c>
      <c r="AW91" s="2" t="s">
        <v>1227</v>
      </c>
      <c r="AX91" s="2" t="s">
        <v>1228</v>
      </c>
      <c r="AY91" s="2" t="s">
        <v>1229</v>
      </c>
      <c r="AZ91" s="2" t="s">
        <v>1229</v>
      </c>
      <c r="BA91" s="2" t="s">
        <v>1230</v>
      </c>
      <c r="BB91" s="2" t="s">
        <v>21</v>
      </c>
      <c r="BD91" s="2" t="s">
        <v>1231</v>
      </c>
      <c r="BE91" s="2" t="s">
        <v>1232</v>
      </c>
      <c r="BF91" s="2" t="s">
        <v>1233</v>
      </c>
    </row>
    <row r="92" spans="1:58" ht="42.75" customHeight="1" x14ac:dyDescent="0.25">
      <c r="A92" s="8" t="s">
        <v>8</v>
      </c>
      <c r="B92" s="1" t="s">
        <v>0</v>
      </c>
      <c r="C92" s="1" t="s">
        <v>1</v>
      </c>
      <c r="D92" s="1" t="s">
        <v>1234</v>
      </c>
      <c r="E92" s="1" t="s">
        <v>1235</v>
      </c>
      <c r="F92" s="1" t="s">
        <v>1236</v>
      </c>
      <c r="H92" s="2" t="s">
        <v>8</v>
      </c>
      <c r="I92" s="2" t="s">
        <v>7</v>
      </c>
      <c r="J92" s="2" t="s">
        <v>8</v>
      </c>
      <c r="K92" s="2" t="s">
        <v>8</v>
      </c>
      <c r="L92" s="2" t="s">
        <v>9</v>
      </c>
      <c r="M92" s="1" t="s">
        <v>1237</v>
      </c>
      <c r="N92" s="1" t="s">
        <v>1238</v>
      </c>
      <c r="O92" s="2" t="s">
        <v>128</v>
      </c>
      <c r="Q92" s="2" t="s">
        <v>12</v>
      </c>
      <c r="R92" s="2" t="s">
        <v>13</v>
      </c>
      <c r="T92" s="2" t="s">
        <v>14</v>
      </c>
      <c r="U92" s="3">
        <v>7</v>
      </c>
      <c r="V92" s="3">
        <v>7</v>
      </c>
      <c r="W92" s="4" t="s">
        <v>1239</v>
      </c>
      <c r="X92" s="4" t="s">
        <v>1239</v>
      </c>
      <c r="Y92" s="4" t="s">
        <v>749</v>
      </c>
      <c r="Z92" s="4" t="s">
        <v>749</v>
      </c>
      <c r="AA92" s="3">
        <v>299</v>
      </c>
      <c r="AB92" s="3">
        <v>244</v>
      </c>
      <c r="AC92" s="3">
        <v>246</v>
      </c>
      <c r="AD92" s="3">
        <v>3</v>
      </c>
      <c r="AE92" s="3">
        <v>3</v>
      </c>
      <c r="AF92" s="3">
        <v>9</v>
      </c>
      <c r="AG92" s="3">
        <v>9</v>
      </c>
      <c r="AH92" s="3">
        <v>1</v>
      </c>
      <c r="AI92" s="3">
        <v>1</v>
      </c>
      <c r="AJ92" s="3">
        <v>2</v>
      </c>
      <c r="AK92" s="3">
        <v>2</v>
      </c>
      <c r="AL92" s="3">
        <v>6</v>
      </c>
      <c r="AM92" s="3">
        <v>6</v>
      </c>
      <c r="AN92" s="3">
        <v>2</v>
      </c>
      <c r="AO92" s="3">
        <v>2</v>
      </c>
      <c r="AP92" s="3">
        <v>0</v>
      </c>
      <c r="AQ92" s="3">
        <v>0</v>
      </c>
      <c r="AR92" s="2" t="s">
        <v>8</v>
      </c>
      <c r="AS92" s="2" t="s">
        <v>8</v>
      </c>
      <c r="AU92" s="5" t="str">
        <f>HYPERLINK("https://creighton-primo.hosted.exlibrisgroup.com/primo-explore/search?tab=default_tab&amp;search_scope=EVERYTHING&amp;vid=01CRU&amp;lang=en_US&amp;offset=0&amp;query=any,contains,991001167649702656","Catalog Record")</f>
        <v>Catalog Record</v>
      </c>
      <c r="AV92" s="5" t="str">
        <f>HYPERLINK("http://www.worldcat.org/oclc/3650825","WorldCat Record")</f>
        <v>WorldCat Record</v>
      </c>
      <c r="AW92" s="2" t="s">
        <v>1240</v>
      </c>
      <c r="AX92" s="2" t="s">
        <v>1241</v>
      </c>
      <c r="AY92" s="2" t="s">
        <v>1242</v>
      </c>
      <c r="AZ92" s="2" t="s">
        <v>1242</v>
      </c>
      <c r="BA92" s="2" t="s">
        <v>1243</v>
      </c>
      <c r="BB92" s="2" t="s">
        <v>21</v>
      </c>
      <c r="BD92" s="2" t="s">
        <v>1244</v>
      </c>
      <c r="BE92" s="2" t="s">
        <v>1245</v>
      </c>
      <c r="BF92" s="2" t="s">
        <v>1246</v>
      </c>
    </row>
    <row r="93" spans="1:58" ht="42.75" customHeight="1" x14ac:dyDescent="0.25">
      <c r="A93" s="8" t="s">
        <v>8</v>
      </c>
      <c r="B93" s="1" t="s">
        <v>0</v>
      </c>
      <c r="C93" s="1" t="s">
        <v>1</v>
      </c>
      <c r="D93" s="1" t="s">
        <v>1247</v>
      </c>
      <c r="E93" s="1" t="s">
        <v>1248</v>
      </c>
      <c r="F93" s="1" t="s">
        <v>1249</v>
      </c>
      <c r="H93" s="2" t="s">
        <v>8</v>
      </c>
      <c r="I93" s="2" t="s">
        <v>7</v>
      </c>
      <c r="J93" s="2" t="s">
        <v>8</v>
      </c>
      <c r="K93" s="2" t="s">
        <v>8</v>
      </c>
      <c r="L93" s="2" t="s">
        <v>9</v>
      </c>
      <c r="M93" s="1" t="s">
        <v>1250</v>
      </c>
      <c r="N93" s="1" t="s">
        <v>1251</v>
      </c>
      <c r="O93" s="2" t="s">
        <v>161</v>
      </c>
      <c r="Q93" s="2" t="s">
        <v>12</v>
      </c>
      <c r="R93" s="2" t="s">
        <v>1252</v>
      </c>
      <c r="T93" s="2" t="s">
        <v>14</v>
      </c>
      <c r="U93" s="3">
        <v>3</v>
      </c>
      <c r="V93" s="3">
        <v>3</v>
      </c>
      <c r="W93" s="4" t="s">
        <v>1253</v>
      </c>
      <c r="X93" s="4" t="s">
        <v>1253</v>
      </c>
      <c r="Y93" s="4" t="s">
        <v>1254</v>
      </c>
      <c r="Z93" s="4" t="s">
        <v>1254</v>
      </c>
      <c r="AA93" s="3">
        <v>530</v>
      </c>
      <c r="AB93" s="3">
        <v>499</v>
      </c>
      <c r="AC93" s="3">
        <v>504</v>
      </c>
      <c r="AD93" s="3">
        <v>3</v>
      </c>
      <c r="AE93" s="3">
        <v>3</v>
      </c>
      <c r="AF93" s="3">
        <v>13</v>
      </c>
      <c r="AG93" s="3">
        <v>13</v>
      </c>
      <c r="AH93" s="3">
        <v>2</v>
      </c>
      <c r="AI93" s="3">
        <v>2</v>
      </c>
      <c r="AJ93" s="3">
        <v>2</v>
      </c>
      <c r="AK93" s="3">
        <v>2</v>
      </c>
      <c r="AL93" s="3">
        <v>7</v>
      </c>
      <c r="AM93" s="3">
        <v>7</v>
      </c>
      <c r="AN93" s="3">
        <v>2</v>
      </c>
      <c r="AO93" s="3">
        <v>2</v>
      </c>
      <c r="AP93" s="3">
        <v>0</v>
      </c>
      <c r="AQ93" s="3">
        <v>0</v>
      </c>
      <c r="AR93" s="2" t="s">
        <v>8</v>
      </c>
      <c r="AS93" s="2" t="s">
        <v>6</v>
      </c>
      <c r="AT93" s="5" t="str">
        <f>HYPERLINK("http://catalog.hathitrust.org/Record/001577181","HathiTrust Record")</f>
        <v>HathiTrust Record</v>
      </c>
      <c r="AU93" s="5" t="str">
        <f>HYPERLINK("https://creighton-primo.hosted.exlibrisgroup.com/primo-explore/search?tab=default_tab&amp;search_scope=EVERYTHING&amp;vid=01CRU&amp;lang=en_US&amp;offset=0&amp;query=any,contains,991001167719702656","Catalog Record")</f>
        <v>Catalog Record</v>
      </c>
      <c r="AV93" s="5" t="str">
        <f>HYPERLINK("http://www.worldcat.org/oclc/150483","WorldCat Record")</f>
        <v>WorldCat Record</v>
      </c>
      <c r="AW93" s="2" t="s">
        <v>1255</v>
      </c>
      <c r="AX93" s="2" t="s">
        <v>1256</v>
      </c>
      <c r="AY93" s="2" t="s">
        <v>1257</v>
      </c>
      <c r="AZ93" s="2" t="s">
        <v>1257</v>
      </c>
      <c r="BA93" s="2" t="s">
        <v>1258</v>
      </c>
      <c r="BB93" s="2" t="s">
        <v>21</v>
      </c>
      <c r="BD93" s="2" t="s">
        <v>1259</v>
      </c>
      <c r="BE93" s="2" t="s">
        <v>1260</v>
      </c>
      <c r="BF93" s="2" t="s">
        <v>1261</v>
      </c>
    </row>
    <row r="94" spans="1:58" ht="42.75" customHeight="1" x14ac:dyDescent="0.25">
      <c r="A94" s="8" t="s">
        <v>8</v>
      </c>
      <c r="B94" s="1" t="s">
        <v>0</v>
      </c>
      <c r="C94" s="1" t="s">
        <v>1</v>
      </c>
      <c r="D94" s="1" t="s">
        <v>1262</v>
      </c>
      <c r="E94" s="1" t="s">
        <v>1263</v>
      </c>
      <c r="F94" s="1" t="s">
        <v>1264</v>
      </c>
      <c r="H94" s="2" t="s">
        <v>8</v>
      </c>
      <c r="I94" s="2" t="s">
        <v>7</v>
      </c>
      <c r="J94" s="2" t="s">
        <v>8</v>
      </c>
      <c r="K94" s="2" t="s">
        <v>8</v>
      </c>
      <c r="L94" s="2" t="s">
        <v>9</v>
      </c>
      <c r="N94" s="1" t="s">
        <v>1265</v>
      </c>
      <c r="O94" s="2" t="s">
        <v>907</v>
      </c>
      <c r="Q94" s="2" t="s">
        <v>12</v>
      </c>
      <c r="R94" s="2" t="s">
        <v>1211</v>
      </c>
      <c r="T94" s="2" t="s">
        <v>14</v>
      </c>
      <c r="U94" s="3">
        <v>0</v>
      </c>
      <c r="V94" s="3">
        <v>0</v>
      </c>
      <c r="W94" s="4" t="s">
        <v>1212</v>
      </c>
      <c r="X94" s="4" t="s">
        <v>1212</v>
      </c>
      <c r="Y94" s="4" t="s">
        <v>1213</v>
      </c>
      <c r="Z94" s="4" t="s">
        <v>1213</v>
      </c>
      <c r="AA94" s="3">
        <v>59</v>
      </c>
      <c r="AB94" s="3">
        <v>53</v>
      </c>
      <c r="AC94" s="3">
        <v>57</v>
      </c>
      <c r="AD94" s="3">
        <v>1</v>
      </c>
      <c r="AE94" s="3">
        <v>1</v>
      </c>
      <c r="AF94" s="3">
        <v>2</v>
      </c>
      <c r="AG94" s="3">
        <v>3</v>
      </c>
      <c r="AH94" s="3">
        <v>1</v>
      </c>
      <c r="AI94" s="3">
        <v>1</v>
      </c>
      <c r="AJ94" s="3">
        <v>1</v>
      </c>
      <c r="AK94" s="3">
        <v>1</v>
      </c>
      <c r="AL94" s="3">
        <v>0</v>
      </c>
      <c r="AM94" s="3">
        <v>1</v>
      </c>
      <c r="AN94" s="3">
        <v>0</v>
      </c>
      <c r="AO94" s="3">
        <v>0</v>
      </c>
      <c r="AP94" s="3">
        <v>0</v>
      </c>
      <c r="AQ94" s="3">
        <v>0</v>
      </c>
      <c r="AR94" s="2" t="s">
        <v>8</v>
      </c>
      <c r="AS94" s="2" t="s">
        <v>6</v>
      </c>
      <c r="AT94" s="5" t="str">
        <f>HYPERLINK("http://catalog.hathitrust.org/Record/007991944","HathiTrust Record")</f>
        <v>HathiTrust Record</v>
      </c>
      <c r="AU94" s="5" t="str">
        <f>HYPERLINK("https://creighton-primo.hosted.exlibrisgroup.com/primo-explore/search?tab=default_tab&amp;search_scope=EVERYTHING&amp;vid=01CRU&amp;lang=en_US&amp;offset=0&amp;query=any,contains,991000581479702656","Catalog Record")</f>
        <v>Catalog Record</v>
      </c>
      <c r="AV94" s="5" t="str">
        <f>HYPERLINK("http://www.worldcat.org/oclc/46314432","WorldCat Record")</f>
        <v>WorldCat Record</v>
      </c>
      <c r="AW94" s="2" t="s">
        <v>1266</v>
      </c>
      <c r="AX94" s="2" t="s">
        <v>1267</v>
      </c>
      <c r="AY94" s="2" t="s">
        <v>1268</v>
      </c>
      <c r="AZ94" s="2" t="s">
        <v>1268</v>
      </c>
      <c r="BA94" s="2" t="s">
        <v>1269</v>
      </c>
      <c r="BB94" s="2" t="s">
        <v>21</v>
      </c>
      <c r="BD94" s="2" t="s">
        <v>1270</v>
      </c>
      <c r="BE94" s="2" t="s">
        <v>1271</v>
      </c>
      <c r="BF94" s="2" t="s">
        <v>1272</v>
      </c>
    </row>
    <row r="95" spans="1:58" ht="42.75" customHeight="1" x14ac:dyDescent="0.25">
      <c r="A95" s="8" t="s">
        <v>8</v>
      </c>
      <c r="B95" s="1" t="s">
        <v>0</v>
      </c>
      <c r="C95" s="1" t="s">
        <v>1</v>
      </c>
      <c r="D95" s="1" t="s">
        <v>1273</v>
      </c>
      <c r="E95" s="1" t="s">
        <v>1274</v>
      </c>
      <c r="F95" s="1" t="s">
        <v>1275</v>
      </c>
      <c r="H95" s="2" t="s">
        <v>8</v>
      </c>
      <c r="I95" s="2" t="s">
        <v>7</v>
      </c>
      <c r="J95" s="2" t="s">
        <v>8</v>
      </c>
      <c r="K95" s="2" t="s">
        <v>8</v>
      </c>
      <c r="L95" s="2" t="s">
        <v>9</v>
      </c>
      <c r="M95" s="1" t="s">
        <v>1276</v>
      </c>
      <c r="N95" s="1" t="s">
        <v>1277</v>
      </c>
      <c r="O95" s="2" t="s">
        <v>874</v>
      </c>
      <c r="Q95" s="2" t="s">
        <v>12</v>
      </c>
      <c r="R95" s="2" t="s">
        <v>643</v>
      </c>
      <c r="T95" s="2" t="s">
        <v>14</v>
      </c>
      <c r="U95" s="3">
        <v>5</v>
      </c>
      <c r="V95" s="3">
        <v>5</v>
      </c>
      <c r="W95" s="4" t="s">
        <v>1278</v>
      </c>
      <c r="X95" s="4" t="s">
        <v>1278</v>
      </c>
      <c r="Y95" s="4" t="s">
        <v>1279</v>
      </c>
      <c r="Z95" s="4" t="s">
        <v>1279</v>
      </c>
      <c r="AA95" s="3">
        <v>123</v>
      </c>
      <c r="AB95" s="3">
        <v>43</v>
      </c>
      <c r="AC95" s="3">
        <v>45</v>
      </c>
      <c r="AD95" s="3">
        <v>1</v>
      </c>
      <c r="AE95" s="3">
        <v>1</v>
      </c>
      <c r="AF95" s="3">
        <v>1</v>
      </c>
      <c r="AG95" s="3">
        <v>1</v>
      </c>
      <c r="AH95" s="3">
        <v>0</v>
      </c>
      <c r="AI95" s="3">
        <v>0</v>
      </c>
      <c r="AJ95" s="3">
        <v>0</v>
      </c>
      <c r="AK95" s="3">
        <v>0</v>
      </c>
      <c r="AL95" s="3">
        <v>1</v>
      </c>
      <c r="AM95" s="3">
        <v>1</v>
      </c>
      <c r="AN95" s="3">
        <v>0</v>
      </c>
      <c r="AO95" s="3">
        <v>0</v>
      </c>
      <c r="AP95" s="3">
        <v>0</v>
      </c>
      <c r="AQ95" s="3">
        <v>0</v>
      </c>
      <c r="AR95" s="2" t="s">
        <v>8</v>
      </c>
      <c r="AS95" s="2" t="s">
        <v>8</v>
      </c>
      <c r="AU95" s="5" t="str">
        <f>HYPERLINK("https://creighton-primo.hosted.exlibrisgroup.com/primo-explore/search?tab=default_tab&amp;search_scope=EVERYTHING&amp;vid=01CRU&amp;lang=en_US&amp;offset=0&amp;query=any,contains,991001134909702656","Catalog Record")</f>
        <v>Catalog Record</v>
      </c>
      <c r="AV95" s="5" t="str">
        <f>HYPERLINK("http://www.worldcat.org/oclc/35145712","WorldCat Record")</f>
        <v>WorldCat Record</v>
      </c>
      <c r="AW95" s="2" t="s">
        <v>1280</v>
      </c>
      <c r="AX95" s="2" t="s">
        <v>1281</v>
      </c>
      <c r="AY95" s="2" t="s">
        <v>1282</v>
      </c>
      <c r="AZ95" s="2" t="s">
        <v>1282</v>
      </c>
      <c r="BA95" s="2" t="s">
        <v>1283</v>
      </c>
      <c r="BB95" s="2" t="s">
        <v>21</v>
      </c>
      <c r="BD95" s="2" t="s">
        <v>1284</v>
      </c>
      <c r="BE95" s="2" t="s">
        <v>1285</v>
      </c>
      <c r="BF95" s="2" t="s">
        <v>1286</v>
      </c>
    </row>
    <row r="96" spans="1:58" ht="42.75" customHeight="1" x14ac:dyDescent="0.25">
      <c r="A96" s="8" t="s">
        <v>8</v>
      </c>
      <c r="B96" s="1" t="s">
        <v>0</v>
      </c>
      <c r="C96" s="1" t="s">
        <v>1</v>
      </c>
      <c r="D96" s="1" t="s">
        <v>1287</v>
      </c>
      <c r="E96" s="1" t="s">
        <v>1288</v>
      </c>
      <c r="F96" s="1" t="s">
        <v>1289</v>
      </c>
      <c r="H96" s="2" t="s">
        <v>8</v>
      </c>
      <c r="I96" s="2" t="s">
        <v>7</v>
      </c>
      <c r="J96" s="2" t="s">
        <v>8</v>
      </c>
      <c r="K96" s="2" t="s">
        <v>8</v>
      </c>
      <c r="L96" s="2" t="s">
        <v>9</v>
      </c>
      <c r="M96" s="1" t="s">
        <v>1290</v>
      </c>
      <c r="N96" s="1" t="s">
        <v>1291</v>
      </c>
      <c r="O96" s="2" t="s">
        <v>1292</v>
      </c>
      <c r="Q96" s="2" t="s">
        <v>12</v>
      </c>
      <c r="R96" s="2" t="s">
        <v>13</v>
      </c>
      <c r="T96" s="2" t="s">
        <v>14</v>
      </c>
      <c r="U96" s="3">
        <v>5</v>
      </c>
      <c r="V96" s="3">
        <v>5</v>
      </c>
      <c r="W96" s="4" t="s">
        <v>1293</v>
      </c>
      <c r="X96" s="4" t="s">
        <v>1293</v>
      </c>
      <c r="Y96" s="4" t="s">
        <v>1144</v>
      </c>
      <c r="Z96" s="4" t="s">
        <v>1144</v>
      </c>
      <c r="AA96" s="3">
        <v>340</v>
      </c>
      <c r="AB96" s="3">
        <v>239</v>
      </c>
      <c r="AC96" s="3">
        <v>251</v>
      </c>
      <c r="AD96" s="3">
        <v>3</v>
      </c>
      <c r="AE96" s="3">
        <v>4</v>
      </c>
      <c r="AF96" s="3">
        <v>8</v>
      </c>
      <c r="AG96" s="3">
        <v>9</v>
      </c>
      <c r="AH96" s="3">
        <v>1</v>
      </c>
      <c r="AI96" s="3">
        <v>1</v>
      </c>
      <c r="AJ96" s="3">
        <v>1</v>
      </c>
      <c r="AK96" s="3">
        <v>1</v>
      </c>
      <c r="AL96" s="3">
        <v>4</v>
      </c>
      <c r="AM96" s="3">
        <v>4</v>
      </c>
      <c r="AN96" s="3">
        <v>2</v>
      </c>
      <c r="AO96" s="3">
        <v>3</v>
      </c>
      <c r="AP96" s="3">
        <v>0</v>
      </c>
      <c r="AQ96" s="3">
        <v>0</v>
      </c>
      <c r="AR96" s="2" t="s">
        <v>6</v>
      </c>
      <c r="AS96" s="2" t="s">
        <v>8</v>
      </c>
      <c r="AT96" s="5" t="str">
        <f>HYPERLINK("http://catalog.hathitrust.org/Record/001557972","HathiTrust Record")</f>
        <v>HathiTrust Record</v>
      </c>
      <c r="AU96" s="5" t="str">
        <f>HYPERLINK("https://creighton-primo.hosted.exlibrisgroup.com/primo-explore/search?tab=default_tab&amp;search_scope=EVERYTHING&amp;vid=01CRU&amp;lang=en_US&amp;offset=0&amp;query=any,contains,991001167929702656","Catalog Record")</f>
        <v>Catalog Record</v>
      </c>
      <c r="AV96" s="5" t="str">
        <f>HYPERLINK("http://www.worldcat.org/oclc/1558425","WorldCat Record")</f>
        <v>WorldCat Record</v>
      </c>
      <c r="AW96" s="2" t="s">
        <v>1294</v>
      </c>
      <c r="AX96" s="2" t="s">
        <v>1295</v>
      </c>
      <c r="AY96" s="2" t="s">
        <v>1296</v>
      </c>
      <c r="AZ96" s="2" t="s">
        <v>1296</v>
      </c>
      <c r="BA96" s="2" t="s">
        <v>1297</v>
      </c>
      <c r="BB96" s="2" t="s">
        <v>21</v>
      </c>
      <c r="BE96" s="2" t="s">
        <v>1298</v>
      </c>
      <c r="BF96" s="2" t="s">
        <v>1299</v>
      </c>
    </row>
    <row r="97" spans="1:58" ht="42.75" customHeight="1" x14ac:dyDescent="0.25">
      <c r="A97" s="8" t="s">
        <v>8</v>
      </c>
      <c r="B97" s="1" t="s">
        <v>0</v>
      </c>
      <c r="C97" s="1" t="s">
        <v>1</v>
      </c>
      <c r="D97" s="1" t="s">
        <v>1300</v>
      </c>
      <c r="E97" s="1" t="s">
        <v>1301</v>
      </c>
      <c r="F97" s="1" t="s">
        <v>1302</v>
      </c>
      <c r="H97" s="2" t="s">
        <v>8</v>
      </c>
      <c r="I97" s="2" t="s">
        <v>7</v>
      </c>
      <c r="J97" s="2" t="s">
        <v>8</v>
      </c>
      <c r="K97" s="2" t="s">
        <v>8</v>
      </c>
      <c r="L97" s="2" t="s">
        <v>9</v>
      </c>
      <c r="M97" s="1" t="s">
        <v>1290</v>
      </c>
      <c r="O97" s="2" t="s">
        <v>1303</v>
      </c>
      <c r="Q97" s="2" t="s">
        <v>12</v>
      </c>
      <c r="R97" s="2" t="s">
        <v>13</v>
      </c>
      <c r="S97" s="1" t="s">
        <v>1304</v>
      </c>
      <c r="T97" s="2" t="s">
        <v>14</v>
      </c>
      <c r="U97" s="3">
        <v>4</v>
      </c>
      <c r="V97" s="3">
        <v>4</v>
      </c>
      <c r="W97" s="4" t="s">
        <v>1293</v>
      </c>
      <c r="X97" s="4" t="s">
        <v>1293</v>
      </c>
      <c r="Y97" s="4" t="s">
        <v>1144</v>
      </c>
      <c r="Z97" s="4" t="s">
        <v>1144</v>
      </c>
      <c r="AA97" s="3">
        <v>224</v>
      </c>
      <c r="AB97" s="3">
        <v>199</v>
      </c>
      <c r="AC97" s="3">
        <v>235</v>
      </c>
      <c r="AD97" s="3">
        <v>3</v>
      </c>
      <c r="AE97" s="3">
        <v>4</v>
      </c>
      <c r="AF97" s="3">
        <v>8</v>
      </c>
      <c r="AG97" s="3">
        <v>12</v>
      </c>
      <c r="AH97" s="3">
        <v>2</v>
      </c>
      <c r="AI97" s="3">
        <v>3</v>
      </c>
      <c r="AJ97" s="3">
        <v>1</v>
      </c>
      <c r="AK97" s="3">
        <v>2</v>
      </c>
      <c r="AL97" s="3">
        <v>4</v>
      </c>
      <c r="AM97" s="3">
        <v>5</v>
      </c>
      <c r="AN97" s="3">
        <v>2</v>
      </c>
      <c r="AO97" s="3">
        <v>3</v>
      </c>
      <c r="AP97" s="3">
        <v>0</v>
      </c>
      <c r="AQ97" s="3">
        <v>0</v>
      </c>
      <c r="AR97" s="2" t="s">
        <v>6</v>
      </c>
      <c r="AS97" s="2" t="s">
        <v>8</v>
      </c>
      <c r="AT97" s="5" t="str">
        <f>HYPERLINK("http://catalog.hathitrust.org/Record/001575454","HathiTrust Record")</f>
        <v>HathiTrust Record</v>
      </c>
      <c r="AU97" s="5" t="str">
        <f>HYPERLINK("https://creighton-primo.hosted.exlibrisgroup.com/primo-explore/search?tab=default_tab&amp;search_scope=EVERYTHING&amp;vid=01CRU&amp;lang=en_US&amp;offset=0&amp;query=any,contains,991001167859702656","Catalog Record")</f>
        <v>Catalog Record</v>
      </c>
      <c r="AV97" s="5" t="str">
        <f>HYPERLINK("http://www.worldcat.org/oclc/1837296","WorldCat Record")</f>
        <v>WorldCat Record</v>
      </c>
      <c r="AW97" s="2" t="s">
        <v>1305</v>
      </c>
      <c r="AX97" s="2" t="s">
        <v>1306</v>
      </c>
      <c r="AY97" s="2" t="s">
        <v>1307</v>
      </c>
      <c r="AZ97" s="2" t="s">
        <v>1307</v>
      </c>
      <c r="BA97" s="2" t="s">
        <v>1308</v>
      </c>
      <c r="BB97" s="2" t="s">
        <v>21</v>
      </c>
      <c r="BE97" s="2" t="s">
        <v>1309</v>
      </c>
      <c r="BF97" s="2" t="s">
        <v>1310</v>
      </c>
    </row>
    <row r="98" spans="1:58" ht="42.75" customHeight="1" x14ac:dyDescent="0.25">
      <c r="A98" s="8" t="s">
        <v>8</v>
      </c>
      <c r="B98" s="1" t="s">
        <v>0</v>
      </c>
      <c r="C98" s="1" t="s">
        <v>1</v>
      </c>
      <c r="D98" s="1" t="s">
        <v>1311</v>
      </c>
      <c r="E98" s="1" t="s">
        <v>1312</v>
      </c>
      <c r="F98" s="1" t="s">
        <v>1313</v>
      </c>
      <c r="H98" s="2" t="s">
        <v>8</v>
      </c>
      <c r="I98" s="2" t="s">
        <v>7</v>
      </c>
      <c r="J98" s="2" t="s">
        <v>8</v>
      </c>
      <c r="K98" s="2" t="s">
        <v>8</v>
      </c>
      <c r="L98" s="2" t="s">
        <v>9</v>
      </c>
      <c r="N98" s="1" t="s">
        <v>1314</v>
      </c>
      <c r="O98" s="2" t="s">
        <v>298</v>
      </c>
      <c r="P98" s="1" t="s">
        <v>732</v>
      </c>
      <c r="Q98" s="2" t="s">
        <v>12</v>
      </c>
      <c r="R98" s="2" t="s">
        <v>13</v>
      </c>
      <c r="T98" s="2" t="s">
        <v>14</v>
      </c>
      <c r="U98" s="3">
        <v>22</v>
      </c>
      <c r="V98" s="3">
        <v>22</v>
      </c>
      <c r="W98" s="4" t="s">
        <v>1315</v>
      </c>
      <c r="X98" s="4" t="s">
        <v>1315</v>
      </c>
      <c r="Y98" s="4" t="s">
        <v>763</v>
      </c>
      <c r="Z98" s="4" t="s">
        <v>763</v>
      </c>
      <c r="AA98" s="3">
        <v>59</v>
      </c>
      <c r="AB98" s="3">
        <v>50</v>
      </c>
      <c r="AC98" s="3">
        <v>68</v>
      </c>
      <c r="AD98" s="3">
        <v>1</v>
      </c>
      <c r="AE98" s="3">
        <v>1</v>
      </c>
      <c r="AF98" s="3">
        <v>0</v>
      </c>
      <c r="AG98" s="3">
        <v>2</v>
      </c>
      <c r="AH98" s="3">
        <v>0</v>
      </c>
      <c r="AI98" s="3">
        <v>1</v>
      </c>
      <c r="AJ98" s="3">
        <v>0</v>
      </c>
      <c r="AK98" s="3">
        <v>1</v>
      </c>
      <c r="AL98" s="3">
        <v>0</v>
      </c>
      <c r="AM98" s="3">
        <v>0</v>
      </c>
      <c r="AN98" s="3">
        <v>0</v>
      </c>
      <c r="AO98" s="3">
        <v>0</v>
      </c>
      <c r="AP98" s="3">
        <v>0</v>
      </c>
      <c r="AQ98" s="3">
        <v>0</v>
      </c>
      <c r="AR98" s="2" t="s">
        <v>8</v>
      </c>
      <c r="AS98" s="2" t="s">
        <v>6</v>
      </c>
      <c r="AT98" s="5" t="str">
        <f>HYPERLINK("http://catalog.hathitrust.org/Record/000950247","HathiTrust Record")</f>
        <v>HathiTrust Record</v>
      </c>
      <c r="AU98" s="5" t="str">
        <f>HYPERLINK("https://creighton-primo.hosted.exlibrisgroup.com/primo-explore/search?tab=default_tab&amp;search_scope=EVERYTHING&amp;vid=01CRU&amp;lang=en_US&amp;offset=0&amp;query=any,contains,991001265239702656","Catalog Record")</f>
        <v>Catalog Record</v>
      </c>
      <c r="AV98" s="5" t="str">
        <f>HYPERLINK("http://www.worldcat.org/oclc/16524043","WorldCat Record")</f>
        <v>WorldCat Record</v>
      </c>
      <c r="AW98" s="2" t="s">
        <v>1316</v>
      </c>
      <c r="AX98" s="2" t="s">
        <v>1317</v>
      </c>
      <c r="AY98" s="2" t="s">
        <v>1318</v>
      </c>
      <c r="AZ98" s="2" t="s">
        <v>1318</v>
      </c>
      <c r="BA98" s="2" t="s">
        <v>1319</v>
      </c>
      <c r="BB98" s="2" t="s">
        <v>21</v>
      </c>
      <c r="BD98" s="2" t="s">
        <v>1320</v>
      </c>
      <c r="BE98" s="2" t="s">
        <v>1321</v>
      </c>
      <c r="BF98" s="2" t="s">
        <v>1322</v>
      </c>
    </row>
    <row r="99" spans="1:58" ht="42.75" customHeight="1" x14ac:dyDescent="0.25">
      <c r="A99" s="8" t="s">
        <v>8</v>
      </c>
      <c r="B99" s="1" t="s">
        <v>0</v>
      </c>
      <c r="C99" s="1" t="s">
        <v>1</v>
      </c>
      <c r="D99" s="1" t="s">
        <v>1323</v>
      </c>
      <c r="E99" s="1" t="s">
        <v>1324</v>
      </c>
      <c r="F99" s="1" t="s">
        <v>1325</v>
      </c>
      <c r="G99" s="2" t="s">
        <v>25</v>
      </c>
      <c r="H99" s="2" t="s">
        <v>8</v>
      </c>
      <c r="I99" s="2" t="s">
        <v>7</v>
      </c>
      <c r="J99" s="2" t="s">
        <v>8</v>
      </c>
      <c r="K99" s="2" t="s">
        <v>8</v>
      </c>
      <c r="L99" s="2" t="s">
        <v>9</v>
      </c>
      <c r="N99" s="1" t="s">
        <v>1326</v>
      </c>
      <c r="O99" s="2" t="s">
        <v>1327</v>
      </c>
      <c r="P99" s="1" t="s">
        <v>732</v>
      </c>
      <c r="Q99" s="2" t="s">
        <v>12</v>
      </c>
      <c r="R99" s="2" t="s">
        <v>34</v>
      </c>
      <c r="T99" s="2" t="s">
        <v>14</v>
      </c>
      <c r="U99" s="3">
        <v>3</v>
      </c>
      <c r="V99" s="3">
        <v>3</v>
      </c>
      <c r="W99" s="4" t="s">
        <v>1315</v>
      </c>
      <c r="X99" s="4" t="s">
        <v>1315</v>
      </c>
      <c r="Y99" s="4" t="s">
        <v>763</v>
      </c>
      <c r="Z99" s="4" t="s">
        <v>763</v>
      </c>
      <c r="AA99" s="3">
        <v>42</v>
      </c>
      <c r="AB99" s="3">
        <v>28</v>
      </c>
      <c r="AC99" s="3">
        <v>28</v>
      </c>
      <c r="AD99" s="3">
        <v>1</v>
      </c>
      <c r="AE99" s="3">
        <v>1</v>
      </c>
      <c r="AF99" s="3">
        <v>0</v>
      </c>
      <c r="AG99" s="3">
        <v>0</v>
      </c>
      <c r="AH99" s="3">
        <v>0</v>
      </c>
      <c r="AI99" s="3">
        <v>0</v>
      </c>
      <c r="AJ99" s="3">
        <v>0</v>
      </c>
      <c r="AK99" s="3">
        <v>0</v>
      </c>
      <c r="AL99" s="3">
        <v>0</v>
      </c>
      <c r="AM99" s="3">
        <v>0</v>
      </c>
      <c r="AN99" s="3">
        <v>0</v>
      </c>
      <c r="AO99" s="3">
        <v>0</v>
      </c>
      <c r="AP99" s="3">
        <v>0</v>
      </c>
      <c r="AQ99" s="3">
        <v>0</v>
      </c>
      <c r="AR99" s="2" t="s">
        <v>8</v>
      </c>
      <c r="AS99" s="2" t="s">
        <v>8</v>
      </c>
      <c r="AU99" s="5" t="str">
        <f>HYPERLINK("https://creighton-primo.hosted.exlibrisgroup.com/primo-explore/search?tab=default_tab&amp;search_scope=EVERYTHING&amp;vid=01CRU&amp;lang=en_US&amp;offset=0&amp;query=any,contains,991000757399702656","Catalog Record")</f>
        <v>Catalog Record</v>
      </c>
      <c r="AV99" s="5" t="str">
        <f>HYPERLINK("http://www.worldcat.org/oclc/13063989","WorldCat Record")</f>
        <v>WorldCat Record</v>
      </c>
      <c r="AW99" s="2" t="s">
        <v>1328</v>
      </c>
      <c r="AX99" s="2" t="s">
        <v>1329</v>
      </c>
      <c r="AY99" s="2" t="s">
        <v>1330</v>
      </c>
      <c r="AZ99" s="2" t="s">
        <v>1330</v>
      </c>
      <c r="BA99" s="2" t="s">
        <v>1331</v>
      </c>
      <c r="BB99" s="2" t="s">
        <v>21</v>
      </c>
      <c r="BD99" s="2" t="s">
        <v>1332</v>
      </c>
      <c r="BE99" s="2" t="s">
        <v>1333</v>
      </c>
      <c r="BF99" s="2" t="s">
        <v>1334</v>
      </c>
    </row>
    <row r="100" spans="1:58" ht="42.75" customHeight="1" x14ac:dyDescent="0.25">
      <c r="A100" s="8" t="s">
        <v>8</v>
      </c>
      <c r="B100" s="1" t="s">
        <v>0</v>
      </c>
      <c r="C100" s="1" t="s">
        <v>1</v>
      </c>
      <c r="D100" s="1" t="s">
        <v>1335</v>
      </c>
      <c r="E100" s="1" t="s">
        <v>1336</v>
      </c>
      <c r="F100" s="1" t="s">
        <v>1337</v>
      </c>
      <c r="H100" s="2" t="s">
        <v>8</v>
      </c>
      <c r="I100" s="2" t="s">
        <v>7</v>
      </c>
      <c r="J100" s="2" t="s">
        <v>8</v>
      </c>
      <c r="K100" s="2" t="s">
        <v>8</v>
      </c>
      <c r="L100" s="2" t="s">
        <v>9</v>
      </c>
      <c r="M100" s="1" t="s">
        <v>1338</v>
      </c>
      <c r="N100" s="1" t="s">
        <v>1339</v>
      </c>
      <c r="O100" s="2" t="s">
        <v>549</v>
      </c>
      <c r="Q100" s="2" t="s">
        <v>12</v>
      </c>
      <c r="R100" s="2" t="s">
        <v>1340</v>
      </c>
      <c r="T100" s="2" t="s">
        <v>14</v>
      </c>
      <c r="U100" s="3">
        <v>2</v>
      </c>
      <c r="V100" s="3">
        <v>2</v>
      </c>
      <c r="W100" s="4" t="s">
        <v>1341</v>
      </c>
      <c r="X100" s="4" t="s">
        <v>1341</v>
      </c>
      <c r="Y100" s="4" t="s">
        <v>1254</v>
      </c>
      <c r="Z100" s="4" t="s">
        <v>1254</v>
      </c>
      <c r="AA100" s="3">
        <v>184</v>
      </c>
      <c r="AB100" s="3">
        <v>140</v>
      </c>
      <c r="AC100" s="3">
        <v>147</v>
      </c>
      <c r="AD100" s="3">
        <v>1</v>
      </c>
      <c r="AE100" s="3">
        <v>1</v>
      </c>
      <c r="AF100" s="3">
        <v>1</v>
      </c>
      <c r="AG100" s="3">
        <v>1</v>
      </c>
      <c r="AH100" s="3">
        <v>0</v>
      </c>
      <c r="AI100" s="3">
        <v>0</v>
      </c>
      <c r="AJ100" s="3">
        <v>1</v>
      </c>
      <c r="AK100" s="3">
        <v>1</v>
      </c>
      <c r="AL100" s="3">
        <v>0</v>
      </c>
      <c r="AM100" s="3">
        <v>0</v>
      </c>
      <c r="AN100" s="3">
        <v>0</v>
      </c>
      <c r="AO100" s="3">
        <v>0</v>
      </c>
      <c r="AP100" s="3">
        <v>0</v>
      </c>
      <c r="AQ100" s="3">
        <v>0</v>
      </c>
      <c r="AR100" s="2" t="s">
        <v>8</v>
      </c>
      <c r="AS100" s="2" t="s">
        <v>8</v>
      </c>
      <c r="AT100" s="5" t="str">
        <f>HYPERLINK("http://catalog.hathitrust.org/Record/001558108","HathiTrust Record")</f>
        <v>HathiTrust Record</v>
      </c>
      <c r="AU100" s="5" t="str">
        <f>HYPERLINK("https://creighton-primo.hosted.exlibrisgroup.com/primo-explore/search?tab=default_tab&amp;search_scope=EVERYTHING&amp;vid=01CRU&amp;lang=en_US&amp;offset=0&amp;query=any,contains,991001167979702656","Catalog Record")</f>
        <v>Catalog Record</v>
      </c>
      <c r="AV100" s="5" t="str">
        <f>HYPERLINK("http://www.worldcat.org/oclc/919493","WorldCat Record")</f>
        <v>WorldCat Record</v>
      </c>
      <c r="AW100" s="2" t="s">
        <v>1342</v>
      </c>
      <c r="AX100" s="2" t="s">
        <v>1343</v>
      </c>
      <c r="AY100" s="2" t="s">
        <v>1344</v>
      </c>
      <c r="AZ100" s="2" t="s">
        <v>1344</v>
      </c>
      <c r="BA100" s="2" t="s">
        <v>1345</v>
      </c>
      <c r="BB100" s="2" t="s">
        <v>21</v>
      </c>
      <c r="BE100" s="2" t="s">
        <v>1346</v>
      </c>
      <c r="BF100" s="2" t="s">
        <v>1347</v>
      </c>
    </row>
    <row r="101" spans="1:58" ht="42.75" customHeight="1" x14ac:dyDescent="0.25">
      <c r="A101" s="8" t="s">
        <v>8</v>
      </c>
      <c r="B101" s="1" t="s">
        <v>0</v>
      </c>
      <c r="C101" s="1" t="s">
        <v>1</v>
      </c>
      <c r="D101" s="1" t="s">
        <v>1348</v>
      </c>
      <c r="E101" s="1" t="s">
        <v>1349</v>
      </c>
      <c r="F101" s="1" t="s">
        <v>1350</v>
      </c>
      <c r="H101" s="2" t="s">
        <v>8</v>
      </c>
      <c r="I101" s="2" t="s">
        <v>7</v>
      </c>
      <c r="J101" s="2" t="s">
        <v>8</v>
      </c>
      <c r="K101" s="2" t="s">
        <v>8</v>
      </c>
      <c r="L101" s="2" t="s">
        <v>9</v>
      </c>
      <c r="M101" s="1" t="s">
        <v>1351</v>
      </c>
      <c r="N101" s="1" t="s">
        <v>1352</v>
      </c>
      <c r="O101" s="2" t="s">
        <v>51</v>
      </c>
      <c r="P101" s="1" t="s">
        <v>732</v>
      </c>
      <c r="Q101" s="2" t="s">
        <v>12</v>
      </c>
      <c r="R101" s="2" t="s">
        <v>34</v>
      </c>
      <c r="T101" s="2" t="s">
        <v>14</v>
      </c>
      <c r="U101" s="3">
        <v>5</v>
      </c>
      <c r="V101" s="3">
        <v>5</v>
      </c>
      <c r="W101" s="4" t="s">
        <v>1353</v>
      </c>
      <c r="X101" s="4" t="s">
        <v>1353</v>
      </c>
      <c r="Y101" s="4" t="s">
        <v>1354</v>
      </c>
      <c r="Z101" s="4" t="s">
        <v>1354</v>
      </c>
      <c r="AA101" s="3">
        <v>59</v>
      </c>
      <c r="AB101" s="3">
        <v>53</v>
      </c>
      <c r="AC101" s="3">
        <v>81</v>
      </c>
      <c r="AD101" s="3">
        <v>1</v>
      </c>
      <c r="AE101" s="3">
        <v>1</v>
      </c>
      <c r="AF101" s="3">
        <v>0</v>
      </c>
      <c r="AG101" s="3">
        <v>0</v>
      </c>
      <c r="AH101" s="3">
        <v>0</v>
      </c>
      <c r="AI101" s="3">
        <v>0</v>
      </c>
      <c r="AJ101" s="3">
        <v>0</v>
      </c>
      <c r="AK101" s="3">
        <v>0</v>
      </c>
      <c r="AL101" s="3">
        <v>0</v>
      </c>
      <c r="AM101" s="3">
        <v>0</v>
      </c>
      <c r="AN101" s="3">
        <v>0</v>
      </c>
      <c r="AO101" s="3">
        <v>0</v>
      </c>
      <c r="AP101" s="3">
        <v>0</v>
      </c>
      <c r="AQ101" s="3">
        <v>0</v>
      </c>
      <c r="AR101" s="2" t="s">
        <v>8</v>
      </c>
      <c r="AS101" s="2" t="s">
        <v>8</v>
      </c>
      <c r="AU101" s="5" t="str">
        <f>HYPERLINK("https://creighton-primo.hosted.exlibrisgroup.com/primo-explore/search?tab=default_tab&amp;search_scope=EVERYTHING&amp;vid=01CRU&amp;lang=en_US&amp;offset=0&amp;query=any,contains,991000492739702656","Catalog Record")</f>
        <v>Catalog Record</v>
      </c>
      <c r="AV101" s="5" t="str">
        <f>HYPERLINK("http://www.worldcat.org/oclc/17805504","WorldCat Record")</f>
        <v>WorldCat Record</v>
      </c>
      <c r="AW101" s="2" t="s">
        <v>1355</v>
      </c>
      <c r="AX101" s="2" t="s">
        <v>1356</v>
      </c>
      <c r="AY101" s="2" t="s">
        <v>1357</v>
      </c>
      <c r="AZ101" s="2" t="s">
        <v>1357</v>
      </c>
      <c r="BA101" s="2" t="s">
        <v>1358</v>
      </c>
      <c r="BB101" s="2" t="s">
        <v>21</v>
      </c>
      <c r="BD101" s="2" t="s">
        <v>1359</v>
      </c>
      <c r="BE101" s="2" t="s">
        <v>1360</v>
      </c>
      <c r="BF101" s="2" t="s">
        <v>1361</v>
      </c>
    </row>
    <row r="102" spans="1:58" ht="42.75" customHeight="1" x14ac:dyDescent="0.25">
      <c r="A102" s="8" t="s">
        <v>8</v>
      </c>
      <c r="B102" s="1" t="s">
        <v>0</v>
      </c>
      <c r="C102" s="1" t="s">
        <v>1</v>
      </c>
      <c r="D102" s="1" t="s">
        <v>1362</v>
      </c>
      <c r="E102" s="1" t="s">
        <v>1363</v>
      </c>
      <c r="F102" s="1" t="s">
        <v>1364</v>
      </c>
      <c r="H102" s="2" t="s">
        <v>8</v>
      </c>
      <c r="I102" s="2" t="s">
        <v>7</v>
      </c>
      <c r="J102" s="2" t="s">
        <v>8</v>
      </c>
      <c r="K102" s="2" t="s">
        <v>8</v>
      </c>
      <c r="L102" s="2" t="s">
        <v>9</v>
      </c>
      <c r="M102" s="1" t="s">
        <v>1365</v>
      </c>
      <c r="N102" s="1" t="s">
        <v>1366</v>
      </c>
      <c r="O102" s="2" t="s">
        <v>602</v>
      </c>
      <c r="Q102" s="2" t="s">
        <v>12</v>
      </c>
      <c r="R102" s="2" t="s">
        <v>1252</v>
      </c>
      <c r="T102" s="2" t="s">
        <v>14</v>
      </c>
      <c r="U102" s="3">
        <v>4</v>
      </c>
      <c r="V102" s="3">
        <v>4</v>
      </c>
      <c r="W102" s="4" t="s">
        <v>1367</v>
      </c>
      <c r="X102" s="4" t="s">
        <v>1367</v>
      </c>
      <c r="Y102" s="4" t="s">
        <v>1368</v>
      </c>
      <c r="Z102" s="4" t="s">
        <v>1368</v>
      </c>
      <c r="AA102" s="3">
        <v>107</v>
      </c>
      <c r="AB102" s="3">
        <v>94</v>
      </c>
      <c r="AC102" s="3">
        <v>97</v>
      </c>
      <c r="AD102" s="3">
        <v>1</v>
      </c>
      <c r="AE102" s="3">
        <v>1</v>
      </c>
      <c r="AF102" s="3">
        <v>5</v>
      </c>
      <c r="AG102" s="3">
        <v>5</v>
      </c>
      <c r="AH102" s="3">
        <v>2</v>
      </c>
      <c r="AI102" s="3">
        <v>2</v>
      </c>
      <c r="AJ102" s="3">
        <v>2</v>
      </c>
      <c r="AK102" s="3">
        <v>2</v>
      </c>
      <c r="AL102" s="3">
        <v>2</v>
      </c>
      <c r="AM102" s="3">
        <v>2</v>
      </c>
      <c r="AN102" s="3">
        <v>0</v>
      </c>
      <c r="AO102" s="3">
        <v>0</v>
      </c>
      <c r="AP102" s="3">
        <v>0</v>
      </c>
      <c r="AQ102" s="3">
        <v>0</v>
      </c>
      <c r="AR102" s="2" t="s">
        <v>8</v>
      </c>
      <c r="AS102" s="2" t="s">
        <v>6</v>
      </c>
      <c r="AT102" s="5" t="str">
        <f>HYPERLINK("http://catalog.hathitrust.org/Record/002471473","HathiTrust Record")</f>
        <v>HathiTrust Record</v>
      </c>
      <c r="AU102" s="5" t="str">
        <f>HYPERLINK("https://creighton-primo.hosted.exlibrisgroup.com/primo-explore/search?tab=default_tab&amp;search_scope=EVERYTHING&amp;vid=01CRU&amp;lang=en_US&amp;offset=0&amp;query=any,contains,991001025019702656","Catalog Record")</f>
        <v>Catalog Record</v>
      </c>
      <c r="AV102" s="5" t="str">
        <f>HYPERLINK("http://www.worldcat.org/oclc/22810164","WorldCat Record")</f>
        <v>WorldCat Record</v>
      </c>
      <c r="AW102" s="2" t="s">
        <v>1369</v>
      </c>
      <c r="AX102" s="2" t="s">
        <v>1370</v>
      </c>
      <c r="AY102" s="2" t="s">
        <v>1371</v>
      </c>
      <c r="AZ102" s="2" t="s">
        <v>1371</v>
      </c>
      <c r="BA102" s="2" t="s">
        <v>1372</v>
      </c>
      <c r="BB102" s="2" t="s">
        <v>21</v>
      </c>
      <c r="BD102" s="2" t="s">
        <v>1373</v>
      </c>
      <c r="BE102" s="2" t="s">
        <v>1374</v>
      </c>
      <c r="BF102" s="2" t="s">
        <v>1375</v>
      </c>
    </row>
    <row r="103" spans="1:58" ht="42.75" customHeight="1" x14ac:dyDescent="0.25">
      <c r="A103" s="8" t="s">
        <v>8</v>
      </c>
      <c r="B103" s="1" t="s">
        <v>0</v>
      </c>
      <c r="C103" s="1" t="s">
        <v>1</v>
      </c>
      <c r="D103" s="1" t="s">
        <v>1376</v>
      </c>
      <c r="E103" s="1" t="s">
        <v>1377</v>
      </c>
      <c r="F103" s="1" t="s">
        <v>1378</v>
      </c>
      <c r="H103" s="2" t="s">
        <v>8</v>
      </c>
      <c r="I103" s="2" t="s">
        <v>7</v>
      </c>
      <c r="J103" s="2" t="s">
        <v>8</v>
      </c>
      <c r="K103" s="2" t="s">
        <v>8</v>
      </c>
      <c r="L103" s="2" t="s">
        <v>9</v>
      </c>
      <c r="N103" s="1" t="s">
        <v>1379</v>
      </c>
      <c r="O103" s="2" t="s">
        <v>144</v>
      </c>
      <c r="Q103" s="2" t="s">
        <v>12</v>
      </c>
      <c r="R103" s="2" t="s">
        <v>13</v>
      </c>
      <c r="T103" s="2" t="s">
        <v>14</v>
      </c>
      <c r="U103" s="3">
        <v>2</v>
      </c>
      <c r="V103" s="3">
        <v>2</v>
      </c>
      <c r="W103" s="4" t="s">
        <v>1253</v>
      </c>
      <c r="X103" s="4" t="s">
        <v>1253</v>
      </c>
      <c r="Y103" s="4" t="s">
        <v>1254</v>
      </c>
      <c r="Z103" s="4" t="s">
        <v>1254</v>
      </c>
      <c r="AA103" s="3">
        <v>11</v>
      </c>
      <c r="AB103" s="3">
        <v>10</v>
      </c>
      <c r="AC103" s="3">
        <v>19</v>
      </c>
      <c r="AD103" s="3">
        <v>1</v>
      </c>
      <c r="AE103" s="3">
        <v>1</v>
      </c>
      <c r="AF103" s="3">
        <v>0</v>
      </c>
      <c r="AG103" s="3">
        <v>0</v>
      </c>
      <c r="AH103" s="3">
        <v>0</v>
      </c>
      <c r="AI103" s="3">
        <v>0</v>
      </c>
      <c r="AJ103" s="3">
        <v>0</v>
      </c>
      <c r="AK103" s="3">
        <v>0</v>
      </c>
      <c r="AL103" s="3">
        <v>0</v>
      </c>
      <c r="AM103" s="3">
        <v>0</v>
      </c>
      <c r="AN103" s="3">
        <v>0</v>
      </c>
      <c r="AO103" s="3">
        <v>0</v>
      </c>
      <c r="AP103" s="3">
        <v>0</v>
      </c>
      <c r="AQ103" s="3">
        <v>0</v>
      </c>
      <c r="AR103" s="2" t="s">
        <v>8</v>
      </c>
      <c r="AS103" s="2" t="s">
        <v>6</v>
      </c>
      <c r="AT103" s="5" t="str">
        <f>HYPERLINK("http://catalog.hathitrust.org/Record/010596534","HathiTrust Record")</f>
        <v>HathiTrust Record</v>
      </c>
      <c r="AU103" s="5" t="str">
        <f>HYPERLINK("https://creighton-primo.hosted.exlibrisgroup.com/primo-explore/search?tab=default_tab&amp;search_scope=EVERYTHING&amp;vid=01CRU&amp;lang=en_US&amp;offset=0&amp;query=any,contains,991001168169702656","Catalog Record")</f>
        <v>Catalog Record</v>
      </c>
      <c r="AV103" s="5" t="str">
        <f>HYPERLINK("http://www.worldcat.org/oclc/14483919","WorldCat Record")</f>
        <v>WorldCat Record</v>
      </c>
      <c r="AW103" s="2" t="s">
        <v>1380</v>
      </c>
      <c r="AX103" s="2" t="s">
        <v>1381</v>
      </c>
      <c r="AY103" s="2" t="s">
        <v>1382</v>
      </c>
      <c r="AZ103" s="2" t="s">
        <v>1382</v>
      </c>
      <c r="BA103" s="2" t="s">
        <v>1383</v>
      </c>
      <c r="BB103" s="2" t="s">
        <v>21</v>
      </c>
      <c r="BE103" s="2" t="s">
        <v>1384</v>
      </c>
      <c r="BF103" s="2" t="s">
        <v>1385</v>
      </c>
    </row>
    <row r="104" spans="1:58" ht="42.75" customHeight="1" x14ac:dyDescent="0.25">
      <c r="A104" s="8" t="s">
        <v>8</v>
      </c>
      <c r="B104" s="1" t="s">
        <v>0</v>
      </c>
      <c r="C104" s="1" t="s">
        <v>1</v>
      </c>
      <c r="D104" s="1" t="s">
        <v>1386</v>
      </c>
      <c r="E104" s="1" t="s">
        <v>1387</v>
      </c>
      <c r="F104" s="1" t="s">
        <v>1388</v>
      </c>
      <c r="H104" s="2" t="s">
        <v>8</v>
      </c>
      <c r="I104" s="2" t="s">
        <v>7</v>
      </c>
      <c r="J104" s="2" t="s">
        <v>8</v>
      </c>
      <c r="K104" s="2" t="s">
        <v>8</v>
      </c>
      <c r="L104" s="2" t="s">
        <v>9</v>
      </c>
      <c r="N104" s="1" t="s">
        <v>1389</v>
      </c>
      <c r="O104" s="2" t="s">
        <v>844</v>
      </c>
      <c r="Q104" s="2" t="s">
        <v>12</v>
      </c>
      <c r="R104" s="2" t="s">
        <v>628</v>
      </c>
      <c r="S104" s="1" t="s">
        <v>1390</v>
      </c>
      <c r="T104" s="2" t="s">
        <v>14</v>
      </c>
      <c r="U104" s="3">
        <v>39</v>
      </c>
      <c r="V104" s="3">
        <v>39</v>
      </c>
      <c r="W104" s="4" t="s">
        <v>1391</v>
      </c>
      <c r="X104" s="4" t="s">
        <v>1391</v>
      </c>
      <c r="Y104" s="4" t="s">
        <v>1392</v>
      </c>
      <c r="Z104" s="4" t="s">
        <v>1392</v>
      </c>
      <c r="AA104" s="3">
        <v>46</v>
      </c>
      <c r="AB104" s="3">
        <v>36</v>
      </c>
      <c r="AC104" s="3">
        <v>57</v>
      </c>
      <c r="AD104" s="3">
        <v>1</v>
      </c>
      <c r="AE104" s="3">
        <v>1</v>
      </c>
      <c r="AF104" s="3">
        <v>1</v>
      </c>
      <c r="AG104" s="3">
        <v>1</v>
      </c>
      <c r="AH104" s="3">
        <v>0</v>
      </c>
      <c r="AI104" s="3">
        <v>0</v>
      </c>
      <c r="AJ104" s="3">
        <v>1</v>
      </c>
      <c r="AK104" s="3">
        <v>1</v>
      </c>
      <c r="AL104" s="3">
        <v>0</v>
      </c>
      <c r="AM104" s="3">
        <v>0</v>
      </c>
      <c r="AN104" s="3">
        <v>0</v>
      </c>
      <c r="AO104" s="3">
        <v>0</v>
      </c>
      <c r="AP104" s="3">
        <v>0</v>
      </c>
      <c r="AQ104" s="3">
        <v>0</v>
      </c>
      <c r="AR104" s="2" t="s">
        <v>8</v>
      </c>
      <c r="AS104" s="2" t="s">
        <v>8</v>
      </c>
      <c r="AU104" s="5" t="str">
        <f>HYPERLINK("https://creighton-primo.hosted.exlibrisgroup.com/primo-explore/search?tab=default_tab&amp;search_scope=EVERYTHING&amp;vid=01CRU&amp;lang=en_US&amp;offset=0&amp;query=any,contains,991001397479702656","Catalog Record")</f>
        <v>Catalog Record</v>
      </c>
      <c r="AV104" s="5" t="str">
        <f>HYPERLINK("http://www.worldcat.org/oclc/30919284","WorldCat Record")</f>
        <v>WorldCat Record</v>
      </c>
      <c r="AW104" s="2" t="s">
        <v>1393</v>
      </c>
      <c r="AX104" s="2" t="s">
        <v>1394</v>
      </c>
      <c r="AY104" s="2" t="s">
        <v>1395</v>
      </c>
      <c r="AZ104" s="2" t="s">
        <v>1395</v>
      </c>
      <c r="BA104" s="2" t="s">
        <v>1396</v>
      </c>
      <c r="BB104" s="2" t="s">
        <v>21</v>
      </c>
      <c r="BD104" s="2" t="s">
        <v>1397</v>
      </c>
      <c r="BE104" s="2" t="s">
        <v>1398</v>
      </c>
      <c r="BF104" s="2" t="s">
        <v>1399</v>
      </c>
    </row>
    <row r="105" spans="1:58" ht="42.75" customHeight="1" x14ac:dyDescent="0.25">
      <c r="A105" s="8" t="s">
        <v>8</v>
      </c>
      <c r="B105" s="1" t="s">
        <v>0</v>
      </c>
      <c r="C105" s="1" t="s">
        <v>1</v>
      </c>
      <c r="D105" s="1" t="s">
        <v>1400</v>
      </c>
      <c r="E105" s="1" t="s">
        <v>1401</v>
      </c>
      <c r="F105" s="1" t="s">
        <v>1402</v>
      </c>
      <c r="H105" s="2" t="s">
        <v>8</v>
      </c>
      <c r="I105" s="2" t="s">
        <v>7</v>
      </c>
      <c r="J105" s="2" t="s">
        <v>8</v>
      </c>
      <c r="K105" s="2" t="s">
        <v>8</v>
      </c>
      <c r="L105" s="2" t="s">
        <v>9</v>
      </c>
      <c r="M105" s="1" t="s">
        <v>1403</v>
      </c>
      <c r="N105" s="1" t="s">
        <v>1404</v>
      </c>
      <c r="O105" s="2" t="s">
        <v>11</v>
      </c>
      <c r="Q105" s="2" t="s">
        <v>12</v>
      </c>
      <c r="R105" s="2" t="s">
        <v>628</v>
      </c>
      <c r="T105" s="2" t="s">
        <v>14</v>
      </c>
      <c r="U105" s="3">
        <v>6</v>
      </c>
      <c r="V105" s="3">
        <v>6</v>
      </c>
      <c r="W105" s="4" t="s">
        <v>1405</v>
      </c>
      <c r="X105" s="4" t="s">
        <v>1405</v>
      </c>
      <c r="Y105" s="4" t="s">
        <v>1144</v>
      </c>
      <c r="Z105" s="4" t="s">
        <v>1144</v>
      </c>
      <c r="AA105" s="3">
        <v>497</v>
      </c>
      <c r="AB105" s="3">
        <v>448</v>
      </c>
      <c r="AC105" s="3">
        <v>455</v>
      </c>
      <c r="AD105" s="3">
        <v>3</v>
      </c>
      <c r="AE105" s="3">
        <v>3</v>
      </c>
      <c r="AF105" s="3">
        <v>14</v>
      </c>
      <c r="AG105" s="3">
        <v>14</v>
      </c>
      <c r="AH105" s="3">
        <v>2</v>
      </c>
      <c r="AI105" s="3">
        <v>2</v>
      </c>
      <c r="AJ105" s="3">
        <v>3</v>
      </c>
      <c r="AK105" s="3">
        <v>3</v>
      </c>
      <c r="AL105" s="3">
        <v>8</v>
      </c>
      <c r="AM105" s="3">
        <v>8</v>
      </c>
      <c r="AN105" s="3">
        <v>2</v>
      </c>
      <c r="AO105" s="3">
        <v>2</v>
      </c>
      <c r="AP105" s="3">
        <v>0</v>
      </c>
      <c r="AQ105" s="3">
        <v>0</v>
      </c>
      <c r="AR105" s="2" t="s">
        <v>8</v>
      </c>
      <c r="AS105" s="2" t="s">
        <v>6</v>
      </c>
      <c r="AT105" s="5" t="str">
        <f>HYPERLINK("http://catalog.hathitrust.org/Record/000690859","HathiTrust Record")</f>
        <v>HathiTrust Record</v>
      </c>
      <c r="AU105" s="5" t="str">
        <f>HYPERLINK("https://creighton-primo.hosted.exlibrisgroup.com/primo-explore/search?tab=default_tab&amp;search_scope=EVERYTHING&amp;vid=01CRU&amp;lang=en_US&amp;offset=0&amp;query=any,contains,991001168639702656","Catalog Record")</f>
        <v>Catalog Record</v>
      </c>
      <c r="AV105" s="5" t="str">
        <f>HYPERLINK("http://www.worldcat.org/oclc/2047928","WorldCat Record")</f>
        <v>WorldCat Record</v>
      </c>
      <c r="AW105" s="2" t="s">
        <v>1406</v>
      </c>
      <c r="AX105" s="2" t="s">
        <v>1407</v>
      </c>
      <c r="AY105" s="2" t="s">
        <v>1408</v>
      </c>
      <c r="AZ105" s="2" t="s">
        <v>1408</v>
      </c>
      <c r="BA105" s="2" t="s">
        <v>1409</v>
      </c>
      <c r="BB105" s="2" t="s">
        <v>21</v>
      </c>
      <c r="BD105" s="2" t="s">
        <v>1410</v>
      </c>
      <c r="BE105" s="2" t="s">
        <v>1411</v>
      </c>
      <c r="BF105" s="2" t="s">
        <v>1412</v>
      </c>
    </row>
    <row r="106" spans="1:58" ht="42.75" customHeight="1" x14ac:dyDescent="0.25">
      <c r="A106" s="8" t="s">
        <v>8</v>
      </c>
      <c r="B106" s="1" t="s">
        <v>0</v>
      </c>
      <c r="C106" s="1" t="s">
        <v>1</v>
      </c>
      <c r="D106" s="1" t="s">
        <v>1413</v>
      </c>
      <c r="E106" s="1" t="s">
        <v>1414</v>
      </c>
      <c r="F106" s="1" t="s">
        <v>1415</v>
      </c>
      <c r="H106" s="2" t="s">
        <v>8</v>
      </c>
      <c r="I106" s="2" t="s">
        <v>7</v>
      </c>
      <c r="J106" s="2" t="s">
        <v>8</v>
      </c>
      <c r="K106" s="2" t="s">
        <v>8</v>
      </c>
      <c r="L106" s="2" t="s">
        <v>9</v>
      </c>
      <c r="M106" s="1" t="s">
        <v>1416</v>
      </c>
      <c r="N106" s="1" t="s">
        <v>1417</v>
      </c>
      <c r="O106" s="2" t="s">
        <v>252</v>
      </c>
      <c r="Q106" s="2" t="s">
        <v>12</v>
      </c>
      <c r="R106" s="2" t="s">
        <v>13</v>
      </c>
      <c r="T106" s="2" t="s">
        <v>14</v>
      </c>
      <c r="U106" s="3">
        <v>7</v>
      </c>
      <c r="V106" s="3">
        <v>7</v>
      </c>
      <c r="W106" s="4" t="s">
        <v>1418</v>
      </c>
      <c r="X106" s="4" t="s">
        <v>1418</v>
      </c>
      <c r="Y106" s="4" t="s">
        <v>1419</v>
      </c>
      <c r="Z106" s="4" t="s">
        <v>1419</v>
      </c>
      <c r="AA106" s="3">
        <v>133</v>
      </c>
      <c r="AB106" s="3">
        <v>112</v>
      </c>
      <c r="AC106" s="3">
        <v>112</v>
      </c>
      <c r="AD106" s="3">
        <v>1</v>
      </c>
      <c r="AE106" s="3">
        <v>1</v>
      </c>
      <c r="AF106" s="3">
        <v>0</v>
      </c>
      <c r="AG106" s="3">
        <v>0</v>
      </c>
      <c r="AH106" s="3">
        <v>0</v>
      </c>
      <c r="AI106" s="3">
        <v>0</v>
      </c>
      <c r="AJ106" s="3">
        <v>0</v>
      </c>
      <c r="AK106" s="3">
        <v>0</v>
      </c>
      <c r="AL106" s="3">
        <v>0</v>
      </c>
      <c r="AM106" s="3">
        <v>0</v>
      </c>
      <c r="AN106" s="3">
        <v>0</v>
      </c>
      <c r="AO106" s="3">
        <v>0</v>
      </c>
      <c r="AP106" s="3">
        <v>0</v>
      </c>
      <c r="AQ106" s="3">
        <v>0</v>
      </c>
      <c r="AR106" s="2" t="s">
        <v>8</v>
      </c>
      <c r="AS106" s="2" t="s">
        <v>8</v>
      </c>
      <c r="AU106" s="5" t="str">
        <f>HYPERLINK("https://creighton-primo.hosted.exlibrisgroup.com/primo-explore/search?tab=default_tab&amp;search_scope=EVERYTHING&amp;vid=01CRU&amp;lang=en_US&amp;offset=0&amp;query=any,contains,991001168599702656","Catalog Record")</f>
        <v>Catalog Record</v>
      </c>
      <c r="AV106" s="5" t="str">
        <f>HYPERLINK("http://www.worldcat.org/oclc/7781362","WorldCat Record")</f>
        <v>WorldCat Record</v>
      </c>
      <c r="AW106" s="2" t="s">
        <v>1420</v>
      </c>
      <c r="AX106" s="2" t="s">
        <v>1421</v>
      </c>
      <c r="AY106" s="2" t="s">
        <v>1422</v>
      </c>
      <c r="AZ106" s="2" t="s">
        <v>1422</v>
      </c>
      <c r="BA106" s="2" t="s">
        <v>1423</v>
      </c>
      <c r="BB106" s="2" t="s">
        <v>21</v>
      </c>
      <c r="BD106" s="2" t="s">
        <v>1424</v>
      </c>
      <c r="BE106" s="2" t="s">
        <v>1425</v>
      </c>
      <c r="BF106" s="2" t="s">
        <v>1426</v>
      </c>
    </row>
    <row r="107" spans="1:58" ht="42.75" customHeight="1" x14ac:dyDescent="0.25">
      <c r="A107" s="8" t="s">
        <v>8</v>
      </c>
      <c r="B107" s="1" t="s">
        <v>0</v>
      </c>
      <c r="C107" s="1" t="s">
        <v>1</v>
      </c>
      <c r="D107" s="1" t="s">
        <v>1427</v>
      </c>
      <c r="E107" s="1" t="s">
        <v>1428</v>
      </c>
      <c r="F107" s="1" t="s">
        <v>1429</v>
      </c>
      <c r="H107" s="2" t="s">
        <v>8</v>
      </c>
      <c r="I107" s="2" t="s">
        <v>7</v>
      </c>
      <c r="J107" s="2" t="s">
        <v>8</v>
      </c>
      <c r="K107" s="2" t="s">
        <v>6</v>
      </c>
      <c r="L107" s="2" t="s">
        <v>9</v>
      </c>
      <c r="M107" s="1" t="s">
        <v>1430</v>
      </c>
      <c r="N107" s="1" t="s">
        <v>1431</v>
      </c>
      <c r="O107" s="2" t="s">
        <v>688</v>
      </c>
      <c r="P107" s="1" t="s">
        <v>732</v>
      </c>
      <c r="Q107" s="2" t="s">
        <v>12</v>
      </c>
      <c r="R107" s="2" t="s">
        <v>774</v>
      </c>
      <c r="T107" s="2" t="s">
        <v>14</v>
      </c>
      <c r="U107" s="3">
        <v>9</v>
      </c>
      <c r="V107" s="3">
        <v>9</v>
      </c>
      <c r="W107" s="4" t="s">
        <v>1432</v>
      </c>
      <c r="X107" s="4" t="s">
        <v>1432</v>
      </c>
      <c r="Y107" s="4" t="s">
        <v>1433</v>
      </c>
      <c r="Z107" s="4" t="s">
        <v>1433</v>
      </c>
      <c r="AA107" s="3">
        <v>139</v>
      </c>
      <c r="AB107" s="3">
        <v>118</v>
      </c>
      <c r="AC107" s="3">
        <v>663</v>
      </c>
      <c r="AD107" s="3">
        <v>1</v>
      </c>
      <c r="AE107" s="3">
        <v>4</v>
      </c>
      <c r="AF107" s="3">
        <v>2</v>
      </c>
      <c r="AG107" s="3">
        <v>11</v>
      </c>
      <c r="AH107" s="3">
        <v>0</v>
      </c>
      <c r="AI107" s="3">
        <v>2</v>
      </c>
      <c r="AJ107" s="3">
        <v>2</v>
      </c>
      <c r="AK107" s="3">
        <v>3</v>
      </c>
      <c r="AL107" s="3">
        <v>2</v>
      </c>
      <c r="AM107" s="3">
        <v>6</v>
      </c>
      <c r="AN107" s="3">
        <v>0</v>
      </c>
      <c r="AO107" s="3">
        <v>3</v>
      </c>
      <c r="AP107" s="3">
        <v>0</v>
      </c>
      <c r="AQ107" s="3">
        <v>0</v>
      </c>
      <c r="AR107" s="2" t="s">
        <v>8</v>
      </c>
      <c r="AS107" s="2" t="s">
        <v>6</v>
      </c>
      <c r="AT107" s="5" t="str">
        <f>HYPERLINK("http://catalog.hathitrust.org/Record/004538893","HathiTrust Record")</f>
        <v>HathiTrust Record</v>
      </c>
      <c r="AU107" s="5" t="str">
        <f>HYPERLINK("https://creighton-primo.hosted.exlibrisgroup.com/primo-explore/search?tab=default_tab&amp;search_scope=EVERYTHING&amp;vid=01CRU&amp;lang=en_US&amp;offset=0&amp;query=any,contains,991001194739702656","Catalog Record")</f>
        <v>Catalog Record</v>
      </c>
      <c r="AV107" s="5" t="str">
        <f>HYPERLINK("http://www.worldcat.org/oclc/30914966","WorldCat Record")</f>
        <v>WorldCat Record</v>
      </c>
      <c r="AW107" s="2" t="s">
        <v>1434</v>
      </c>
      <c r="AX107" s="2" t="s">
        <v>1435</v>
      </c>
      <c r="AY107" s="2" t="s">
        <v>1436</v>
      </c>
      <c r="AZ107" s="2" t="s">
        <v>1436</v>
      </c>
      <c r="BA107" s="2" t="s">
        <v>1437</v>
      </c>
      <c r="BB107" s="2" t="s">
        <v>21</v>
      </c>
      <c r="BD107" s="2" t="s">
        <v>1438</v>
      </c>
      <c r="BE107" s="2" t="s">
        <v>1439</v>
      </c>
      <c r="BF107" s="2" t="s">
        <v>1440</v>
      </c>
    </row>
    <row r="108" spans="1:58" ht="42.75" customHeight="1" x14ac:dyDescent="0.25">
      <c r="A108" s="8" t="s">
        <v>8</v>
      </c>
      <c r="B108" s="1" t="s">
        <v>0</v>
      </c>
      <c r="C108" s="1" t="s">
        <v>1</v>
      </c>
      <c r="D108" s="1" t="s">
        <v>1441</v>
      </c>
      <c r="E108" s="1" t="s">
        <v>1442</v>
      </c>
      <c r="F108" s="1" t="s">
        <v>1443</v>
      </c>
      <c r="H108" s="2" t="s">
        <v>8</v>
      </c>
      <c r="I108" s="2" t="s">
        <v>7</v>
      </c>
      <c r="J108" s="2" t="s">
        <v>8</v>
      </c>
      <c r="K108" s="2" t="s">
        <v>8</v>
      </c>
      <c r="L108" s="2" t="s">
        <v>9</v>
      </c>
      <c r="M108" s="1" t="s">
        <v>1444</v>
      </c>
      <c r="N108" s="1" t="s">
        <v>1445</v>
      </c>
      <c r="O108" s="2" t="s">
        <v>1446</v>
      </c>
      <c r="Q108" s="2" t="s">
        <v>12</v>
      </c>
      <c r="R108" s="2" t="s">
        <v>267</v>
      </c>
      <c r="T108" s="2" t="s">
        <v>14</v>
      </c>
      <c r="U108" s="3">
        <v>1</v>
      </c>
      <c r="V108" s="3">
        <v>1</v>
      </c>
      <c r="W108" s="4" t="s">
        <v>1447</v>
      </c>
      <c r="X108" s="4" t="s">
        <v>1447</v>
      </c>
      <c r="Y108" s="4" t="s">
        <v>1144</v>
      </c>
      <c r="Z108" s="4" t="s">
        <v>1144</v>
      </c>
      <c r="AA108" s="3">
        <v>174</v>
      </c>
      <c r="AB108" s="3">
        <v>146</v>
      </c>
      <c r="AC108" s="3">
        <v>148</v>
      </c>
      <c r="AD108" s="3">
        <v>1</v>
      </c>
      <c r="AE108" s="3">
        <v>1</v>
      </c>
      <c r="AF108" s="3">
        <v>3</v>
      </c>
      <c r="AG108" s="3">
        <v>3</v>
      </c>
      <c r="AH108" s="3">
        <v>0</v>
      </c>
      <c r="AI108" s="3">
        <v>0</v>
      </c>
      <c r="AJ108" s="3">
        <v>1</v>
      </c>
      <c r="AK108" s="3">
        <v>1</v>
      </c>
      <c r="AL108" s="3">
        <v>3</v>
      </c>
      <c r="AM108" s="3">
        <v>3</v>
      </c>
      <c r="AN108" s="3">
        <v>0</v>
      </c>
      <c r="AO108" s="3">
        <v>0</v>
      </c>
      <c r="AP108" s="3">
        <v>0</v>
      </c>
      <c r="AQ108" s="3">
        <v>0</v>
      </c>
      <c r="AR108" s="2" t="s">
        <v>8</v>
      </c>
      <c r="AS108" s="2" t="s">
        <v>6</v>
      </c>
      <c r="AT108" s="5" t="str">
        <f>HYPERLINK("http://catalog.hathitrust.org/Record/001558032","HathiTrust Record")</f>
        <v>HathiTrust Record</v>
      </c>
      <c r="AU108" s="5" t="str">
        <f>HYPERLINK("https://creighton-primo.hosted.exlibrisgroup.com/primo-explore/search?tab=default_tab&amp;search_scope=EVERYTHING&amp;vid=01CRU&amp;lang=en_US&amp;offset=0&amp;query=any,contains,991001168569702656","Catalog Record")</f>
        <v>Catalog Record</v>
      </c>
      <c r="AV108" s="5" t="str">
        <f>HYPERLINK("http://www.worldcat.org/oclc/1229509","WorldCat Record")</f>
        <v>WorldCat Record</v>
      </c>
      <c r="AW108" s="2" t="s">
        <v>1448</v>
      </c>
      <c r="AX108" s="2" t="s">
        <v>1449</v>
      </c>
      <c r="AY108" s="2" t="s">
        <v>1450</v>
      </c>
      <c r="AZ108" s="2" t="s">
        <v>1450</v>
      </c>
      <c r="BA108" s="2" t="s">
        <v>1451</v>
      </c>
      <c r="BB108" s="2" t="s">
        <v>21</v>
      </c>
      <c r="BE108" s="2" t="s">
        <v>1452</v>
      </c>
      <c r="BF108" s="2" t="s">
        <v>1453</v>
      </c>
    </row>
    <row r="109" spans="1:58" ht="42.75" customHeight="1" x14ac:dyDescent="0.25">
      <c r="A109" s="8" t="s">
        <v>8</v>
      </c>
      <c r="B109" s="1" t="s">
        <v>0</v>
      </c>
      <c r="C109" s="1" t="s">
        <v>1</v>
      </c>
      <c r="D109" s="1" t="s">
        <v>1454</v>
      </c>
      <c r="E109" s="1" t="s">
        <v>1455</v>
      </c>
      <c r="F109" s="1" t="s">
        <v>1456</v>
      </c>
      <c r="H109" s="2" t="s">
        <v>8</v>
      </c>
      <c r="I109" s="2" t="s">
        <v>7</v>
      </c>
      <c r="J109" s="2" t="s">
        <v>8</v>
      </c>
      <c r="K109" s="2" t="s">
        <v>8</v>
      </c>
      <c r="L109" s="2" t="s">
        <v>9</v>
      </c>
      <c r="M109" s="1" t="s">
        <v>1457</v>
      </c>
      <c r="N109" s="1" t="s">
        <v>1458</v>
      </c>
      <c r="O109" s="2" t="s">
        <v>1459</v>
      </c>
      <c r="Q109" s="2" t="s">
        <v>12</v>
      </c>
      <c r="R109" s="2" t="s">
        <v>13</v>
      </c>
      <c r="T109" s="2" t="s">
        <v>14</v>
      </c>
      <c r="U109" s="3">
        <v>2</v>
      </c>
      <c r="V109" s="3">
        <v>2</v>
      </c>
      <c r="W109" s="4" t="s">
        <v>1460</v>
      </c>
      <c r="X109" s="4" t="s">
        <v>1460</v>
      </c>
      <c r="Y109" s="4" t="s">
        <v>1144</v>
      </c>
      <c r="Z109" s="4" t="s">
        <v>1144</v>
      </c>
      <c r="AA109" s="3">
        <v>110</v>
      </c>
      <c r="AB109" s="3">
        <v>90</v>
      </c>
      <c r="AC109" s="3">
        <v>92</v>
      </c>
      <c r="AD109" s="3">
        <v>1</v>
      </c>
      <c r="AE109" s="3">
        <v>1</v>
      </c>
      <c r="AF109" s="3">
        <v>2</v>
      </c>
      <c r="AG109" s="3">
        <v>2</v>
      </c>
      <c r="AH109" s="3">
        <v>0</v>
      </c>
      <c r="AI109" s="3">
        <v>0</v>
      </c>
      <c r="AJ109" s="3">
        <v>0</v>
      </c>
      <c r="AK109" s="3">
        <v>0</v>
      </c>
      <c r="AL109" s="3">
        <v>2</v>
      </c>
      <c r="AM109" s="3">
        <v>2</v>
      </c>
      <c r="AN109" s="3">
        <v>0</v>
      </c>
      <c r="AO109" s="3">
        <v>0</v>
      </c>
      <c r="AP109" s="3">
        <v>0</v>
      </c>
      <c r="AQ109" s="3">
        <v>0</v>
      </c>
      <c r="AR109" s="2" t="s">
        <v>8</v>
      </c>
      <c r="AS109" s="2" t="s">
        <v>6</v>
      </c>
      <c r="AT109" s="5" t="str">
        <f>HYPERLINK("http://catalog.hathitrust.org/Record/001558034","HathiTrust Record")</f>
        <v>HathiTrust Record</v>
      </c>
      <c r="AU109" s="5" t="str">
        <f>HYPERLINK("https://creighton-primo.hosted.exlibrisgroup.com/primo-explore/search?tab=default_tab&amp;search_scope=EVERYTHING&amp;vid=01CRU&amp;lang=en_US&amp;offset=0&amp;query=any,contains,991001168539702656","Catalog Record")</f>
        <v>Catalog Record</v>
      </c>
      <c r="AV109" s="5" t="str">
        <f>HYPERLINK("http://www.worldcat.org/oclc/315256","WorldCat Record")</f>
        <v>WorldCat Record</v>
      </c>
      <c r="AW109" s="2" t="s">
        <v>1461</v>
      </c>
      <c r="AX109" s="2" t="s">
        <v>1462</v>
      </c>
      <c r="AY109" s="2" t="s">
        <v>1463</v>
      </c>
      <c r="AZ109" s="2" t="s">
        <v>1463</v>
      </c>
      <c r="BA109" s="2" t="s">
        <v>1464</v>
      </c>
      <c r="BB109" s="2" t="s">
        <v>21</v>
      </c>
      <c r="BE109" s="2" t="s">
        <v>1465</v>
      </c>
      <c r="BF109" s="2" t="s">
        <v>1466</v>
      </c>
    </row>
    <row r="110" spans="1:58" ht="42.75" customHeight="1" x14ac:dyDescent="0.25">
      <c r="A110" s="8" t="s">
        <v>8</v>
      </c>
      <c r="B110" s="1" t="s">
        <v>0</v>
      </c>
      <c r="C110" s="1" t="s">
        <v>1</v>
      </c>
      <c r="D110" s="1" t="s">
        <v>1467</v>
      </c>
      <c r="E110" s="1" t="s">
        <v>1468</v>
      </c>
      <c r="F110" s="1" t="s">
        <v>1469</v>
      </c>
      <c r="H110" s="2" t="s">
        <v>8</v>
      </c>
      <c r="I110" s="2" t="s">
        <v>7</v>
      </c>
      <c r="J110" s="2" t="s">
        <v>8</v>
      </c>
      <c r="K110" s="2" t="s">
        <v>8</v>
      </c>
      <c r="L110" s="2" t="s">
        <v>9</v>
      </c>
      <c r="N110" s="1" t="s">
        <v>1470</v>
      </c>
      <c r="O110" s="2" t="s">
        <v>614</v>
      </c>
      <c r="Q110" s="2" t="s">
        <v>12</v>
      </c>
      <c r="R110" s="2" t="s">
        <v>577</v>
      </c>
      <c r="T110" s="2" t="s">
        <v>14</v>
      </c>
      <c r="U110" s="3">
        <v>3</v>
      </c>
      <c r="V110" s="3">
        <v>3</v>
      </c>
      <c r="W110" s="4" t="s">
        <v>1471</v>
      </c>
      <c r="X110" s="4" t="s">
        <v>1471</v>
      </c>
      <c r="Y110" s="4" t="s">
        <v>1472</v>
      </c>
      <c r="Z110" s="4" t="s">
        <v>1472</v>
      </c>
      <c r="AA110" s="3">
        <v>97</v>
      </c>
      <c r="AB110" s="3">
        <v>88</v>
      </c>
      <c r="AC110" s="3">
        <v>90</v>
      </c>
      <c r="AD110" s="3">
        <v>1</v>
      </c>
      <c r="AE110" s="3">
        <v>1</v>
      </c>
      <c r="AF110" s="3">
        <v>2</v>
      </c>
      <c r="AG110" s="3">
        <v>2</v>
      </c>
      <c r="AH110" s="3">
        <v>0</v>
      </c>
      <c r="AI110" s="3">
        <v>0</v>
      </c>
      <c r="AJ110" s="3">
        <v>0</v>
      </c>
      <c r="AK110" s="3">
        <v>0</v>
      </c>
      <c r="AL110" s="3">
        <v>2</v>
      </c>
      <c r="AM110" s="3">
        <v>2</v>
      </c>
      <c r="AN110" s="3">
        <v>0</v>
      </c>
      <c r="AO110" s="3">
        <v>0</v>
      </c>
      <c r="AP110" s="3">
        <v>0</v>
      </c>
      <c r="AQ110" s="3">
        <v>0</v>
      </c>
      <c r="AR110" s="2" t="s">
        <v>8</v>
      </c>
      <c r="AS110" s="2" t="s">
        <v>6</v>
      </c>
      <c r="AT110" s="5" t="str">
        <f>HYPERLINK("http://catalog.hathitrust.org/Record/002654823","HathiTrust Record")</f>
        <v>HathiTrust Record</v>
      </c>
      <c r="AU110" s="5" t="str">
        <f>HYPERLINK("https://creighton-primo.hosted.exlibrisgroup.com/primo-explore/search?tab=default_tab&amp;search_scope=EVERYTHING&amp;vid=01CRU&amp;lang=en_US&amp;offset=0&amp;query=any,contains,991001344419702656","Catalog Record")</f>
        <v>Catalog Record</v>
      </c>
      <c r="AV110" s="5" t="str">
        <f>HYPERLINK("http://www.worldcat.org/oclc/26521984","WorldCat Record")</f>
        <v>WorldCat Record</v>
      </c>
      <c r="AW110" s="2" t="s">
        <v>1473</v>
      </c>
      <c r="AX110" s="2" t="s">
        <v>1474</v>
      </c>
      <c r="AY110" s="2" t="s">
        <v>1475</v>
      </c>
      <c r="AZ110" s="2" t="s">
        <v>1475</v>
      </c>
      <c r="BA110" s="2" t="s">
        <v>1476</v>
      </c>
      <c r="BB110" s="2" t="s">
        <v>21</v>
      </c>
      <c r="BD110" s="2" t="s">
        <v>1477</v>
      </c>
      <c r="BE110" s="2" t="s">
        <v>1478</v>
      </c>
      <c r="BF110" s="2" t="s">
        <v>1479</v>
      </c>
    </row>
    <row r="111" spans="1:58" ht="42.75" customHeight="1" x14ac:dyDescent="0.25">
      <c r="A111" s="8" t="s">
        <v>8</v>
      </c>
      <c r="B111" s="1" t="s">
        <v>0</v>
      </c>
      <c r="C111" s="1" t="s">
        <v>1</v>
      </c>
      <c r="D111" s="1" t="s">
        <v>1480</v>
      </c>
      <c r="E111" s="1" t="s">
        <v>1481</v>
      </c>
      <c r="F111" s="1" t="s">
        <v>1482</v>
      </c>
      <c r="H111" s="2" t="s">
        <v>8</v>
      </c>
      <c r="I111" s="2" t="s">
        <v>7</v>
      </c>
      <c r="J111" s="2" t="s">
        <v>8</v>
      </c>
      <c r="K111" s="2" t="s">
        <v>8</v>
      </c>
      <c r="L111" s="2" t="s">
        <v>9</v>
      </c>
      <c r="N111" s="1" t="s">
        <v>1483</v>
      </c>
      <c r="O111" s="2" t="s">
        <v>33</v>
      </c>
      <c r="Q111" s="2" t="s">
        <v>12</v>
      </c>
      <c r="R111" s="2" t="s">
        <v>34</v>
      </c>
      <c r="T111" s="2" t="s">
        <v>14</v>
      </c>
      <c r="U111" s="3">
        <v>8</v>
      </c>
      <c r="V111" s="3">
        <v>8</v>
      </c>
      <c r="W111" s="4" t="s">
        <v>1484</v>
      </c>
      <c r="X111" s="4" t="s">
        <v>1484</v>
      </c>
      <c r="Y111" s="4" t="s">
        <v>1485</v>
      </c>
      <c r="Z111" s="4" t="s">
        <v>1485</v>
      </c>
      <c r="AA111" s="3">
        <v>49</v>
      </c>
      <c r="AB111" s="3">
        <v>32</v>
      </c>
      <c r="AC111" s="3">
        <v>32</v>
      </c>
      <c r="AD111" s="3">
        <v>1</v>
      </c>
      <c r="AE111" s="3">
        <v>1</v>
      </c>
      <c r="AF111" s="3">
        <v>0</v>
      </c>
      <c r="AG111" s="3">
        <v>0</v>
      </c>
      <c r="AH111" s="3">
        <v>0</v>
      </c>
      <c r="AI111" s="3">
        <v>0</v>
      </c>
      <c r="AJ111" s="3">
        <v>0</v>
      </c>
      <c r="AK111" s="3">
        <v>0</v>
      </c>
      <c r="AL111" s="3">
        <v>0</v>
      </c>
      <c r="AM111" s="3">
        <v>0</v>
      </c>
      <c r="AN111" s="3">
        <v>0</v>
      </c>
      <c r="AO111" s="3">
        <v>0</v>
      </c>
      <c r="AP111" s="3">
        <v>0</v>
      </c>
      <c r="AQ111" s="3">
        <v>0</v>
      </c>
      <c r="AR111" s="2" t="s">
        <v>8</v>
      </c>
      <c r="AS111" s="2" t="s">
        <v>8</v>
      </c>
      <c r="AU111" s="5" t="str">
        <f>HYPERLINK("https://creighton-primo.hosted.exlibrisgroup.com/primo-explore/search?tab=default_tab&amp;search_scope=EVERYTHING&amp;vid=01CRU&amp;lang=en_US&amp;offset=0&amp;query=any,contains,991001169579702656","Catalog Record")</f>
        <v>Catalog Record</v>
      </c>
      <c r="AV111" s="5" t="str">
        <f>HYPERLINK("http://www.worldcat.org/oclc/8051683","WorldCat Record")</f>
        <v>WorldCat Record</v>
      </c>
      <c r="AW111" s="2" t="s">
        <v>1486</v>
      </c>
      <c r="AX111" s="2" t="s">
        <v>1487</v>
      </c>
      <c r="AY111" s="2" t="s">
        <v>1488</v>
      </c>
      <c r="AZ111" s="2" t="s">
        <v>1488</v>
      </c>
      <c r="BA111" s="2" t="s">
        <v>1489</v>
      </c>
      <c r="BB111" s="2" t="s">
        <v>21</v>
      </c>
      <c r="BD111" s="2" t="s">
        <v>1490</v>
      </c>
      <c r="BE111" s="2" t="s">
        <v>1491</v>
      </c>
      <c r="BF111" s="2" t="s">
        <v>1492</v>
      </c>
    </row>
    <row r="112" spans="1:58" ht="42.75" customHeight="1" x14ac:dyDescent="0.25">
      <c r="A112" s="8" t="s">
        <v>8</v>
      </c>
      <c r="B112" s="1" t="s">
        <v>0</v>
      </c>
      <c r="C112" s="1" t="s">
        <v>1</v>
      </c>
      <c r="D112" s="1" t="s">
        <v>1493</v>
      </c>
      <c r="E112" s="1" t="s">
        <v>1494</v>
      </c>
      <c r="F112" s="1" t="s">
        <v>1495</v>
      </c>
      <c r="G112" s="2" t="s">
        <v>5</v>
      </c>
      <c r="H112" s="2" t="s">
        <v>8</v>
      </c>
      <c r="I112" s="2" t="s">
        <v>7</v>
      </c>
      <c r="J112" s="2" t="s">
        <v>8</v>
      </c>
      <c r="K112" s="2" t="s">
        <v>8</v>
      </c>
      <c r="L112" s="2" t="s">
        <v>9</v>
      </c>
      <c r="N112" s="1" t="s">
        <v>1496</v>
      </c>
      <c r="O112" s="2" t="s">
        <v>298</v>
      </c>
      <c r="P112" s="1" t="s">
        <v>1497</v>
      </c>
      <c r="Q112" s="2" t="s">
        <v>12</v>
      </c>
      <c r="R112" s="2" t="s">
        <v>13</v>
      </c>
      <c r="S112" s="1" t="s">
        <v>1498</v>
      </c>
      <c r="T112" s="2" t="s">
        <v>14</v>
      </c>
      <c r="U112" s="3">
        <v>30</v>
      </c>
      <c r="V112" s="3">
        <v>30</v>
      </c>
      <c r="W112" s="4" t="s">
        <v>1499</v>
      </c>
      <c r="X112" s="4" t="s">
        <v>1499</v>
      </c>
      <c r="Y112" s="4" t="s">
        <v>763</v>
      </c>
      <c r="Z112" s="4" t="s">
        <v>763</v>
      </c>
      <c r="AA112" s="3">
        <v>38</v>
      </c>
      <c r="AB112" s="3">
        <v>33</v>
      </c>
      <c r="AC112" s="3">
        <v>33</v>
      </c>
      <c r="AD112" s="3">
        <v>1</v>
      </c>
      <c r="AE112" s="3">
        <v>1</v>
      </c>
      <c r="AF112" s="3">
        <v>0</v>
      </c>
      <c r="AG112" s="3">
        <v>0</v>
      </c>
      <c r="AH112" s="3">
        <v>0</v>
      </c>
      <c r="AI112" s="3">
        <v>0</v>
      </c>
      <c r="AJ112" s="3">
        <v>0</v>
      </c>
      <c r="AK112" s="3">
        <v>0</v>
      </c>
      <c r="AL112" s="3">
        <v>0</v>
      </c>
      <c r="AM112" s="3">
        <v>0</v>
      </c>
      <c r="AN112" s="3">
        <v>0</v>
      </c>
      <c r="AO112" s="3">
        <v>0</v>
      </c>
      <c r="AP112" s="3">
        <v>0</v>
      </c>
      <c r="AQ112" s="3">
        <v>0</v>
      </c>
      <c r="AR112" s="2" t="s">
        <v>8</v>
      </c>
      <c r="AS112" s="2" t="s">
        <v>8</v>
      </c>
      <c r="AU112" s="5" t="str">
        <f>HYPERLINK("https://creighton-primo.hosted.exlibrisgroup.com/primo-explore/search?tab=default_tab&amp;search_scope=EVERYTHING&amp;vid=01CRU&amp;lang=en_US&amp;offset=0&amp;query=any,contains,991001265279702656","Catalog Record")</f>
        <v>Catalog Record</v>
      </c>
      <c r="AV112" s="5" t="str">
        <f>HYPERLINK("http://www.worldcat.org/oclc/18561201","WorldCat Record")</f>
        <v>WorldCat Record</v>
      </c>
      <c r="AW112" s="2" t="s">
        <v>1500</v>
      </c>
      <c r="AX112" s="2" t="s">
        <v>1501</v>
      </c>
      <c r="AY112" s="2" t="s">
        <v>1502</v>
      </c>
      <c r="AZ112" s="2" t="s">
        <v>1502</v>
      </c>
      <c r="BA112" s="2" t="s">
        <v>1503</v>
      </c>
      <c r="BB112" s="2" t="s">
        <v>21</v>
      </c>
      <c r="BD112" s="2" t="s">
        <v>1504</v>
      </c>
      <c r="BE112" s="2" t="s">
        <v>1505</v>
      </c>
      <c r="BF112" s="2" t="s">
        <v>1506</v>
      </c>
    </row>
    <row r="113" spans="1:58" ht="42.75" customHeight="1" x14ac:dyDescent="0.25">
      <c r="A113" s="8" t="s">
        <v>8</v>
      </c>
      <c r="B113" s="1" t="s">
        <v>0</v>
      </c>
      <c r="C113" s="1" t="s">
        <v>1</v>
      </c>
      <c r="D113" s="1" t="s">
        <v>1507</v>
      </c>
      <c r="E113" s="1" t="s">
        <v>1508</v>
      </c>
      <c r="F113" s="1" t="s">
        <v>1509</v>
      </c>
      <c r="H113" s="2" t="s">
        <v>8</v>
      </c>
      <c r="I113" s="2" t="s">
        <v>7</v>
      </c>
      <c r="J113" s="2" t="s">
        <v>6</v>
      </c>
      <c r="K113" s="2" t="s">
        <v>8</v>
      </c>
      <c r="L113" s="2" t="s">
        <v>9</v>
      </c>
      <c r="M113" s="1" t="s">
        <v>1510</v>
      </c>
      <c r="N113" s="1" t="s">
        <v>1511</v>
      </c>
      <c r="O113" s="2" t="s">
        <v>224</v>
      </c>
      <c r="Q113" s="2" t="s">
        <v>12</v>
      </c>
      <c r="R113" s="2" t="s">
        <v>34</v>
      </c>
      <c r="S113" s="1" t="s">
        <v>1512</v>
      </c>
      <c r="T113" s="2" t="s">
        <v>14</v>
      </c>
      <c r="U113" s="3">
        <v>3</v>
      </c>
      <c r="V113" s="3">
        <v>3</v>
      </c>
      <c r="W113" s="4" t="s">
        <v>1513</v>
      </c>
      <c r="X113" s="4" t="s">
        <v>1513</v>
      </c>
      <c r="Y113" s="4" t="s">
        <v>1485</v>
      </c>
      <c r="Z113" s="4" t="s">
        <v>1485</v>
      </c>
      <c r="AA113" s="3">
        <v>195</v>
      </c>
      <c r="AB113" s="3">
        <v>142</v>
      </c>
      <c r="AC113" s="3">
        <v>155</v>
      </c>
      <c r="AD113" s="3">
        <v>2</v>
      </c>
      <c r="AE113" s="3">
        <v>2</v>
      </c>
      <c r="AF113" s="3">
        <v>2</v>
      </c>
      <c r="AG113" s="3">
        <v>2</v>
      </c>
      <c r="AH113" s="3">
        <v>0</v>
      </c>
      <c r="AI113" s="3">
        <v>0</v>
      </c>
      <c r="AJ113" s="3">
        <v>1</v>
      </c>
      <c r="AK113" s="3">
        <v>1</v>
      </c>
      <c r="AL113" s="3">
        <v>2</v>
      </c>
      <c r="AM113" s="3">
        <v>2</v>
      </c>
      <c r="AN113" s="3">
        <v>0</v>
      </c>
      <c r="AO113" s="3">
        <v>0</v>
      </c>
      <c r="AP113" s="3">
        <v>0</v>
      </c>
      <c r="AQ113" s="3">
        <v>0</v>
      </c>
      <c r="AR113" s="2" t="s">
        <v>8</v>
      </c>
      <c r="AS113" s="2" t="s">
        <v>6</v>
      </c>
      <c r="AT113" s="5" t="str">
        <f>HYPERLINK("http://catalog.hathitrust.org/Record/000742407","HathiTrust Record")</f>
        <v>HathiTrust Record</v>
      </c>
      <c r="AU113" s="5" t="str">
        <f>HYPERLINK("https://creighton-primo.hosted.exlibrisgroup.com/primo-explore/search?tab=default_tab&amp;search_scope=EVERYTHING&amp;vid=01CRU&amp;lang=en_US&amp;offset=0&amp;query=any,contains,991001169699702656","Catalog Record")</f>
        <v>Catalog Record</v>
      </c>
      <c r="AV113" s="5" t="str">
        <f>HYPERLINK("http://www.worldcat.org/oclc/5726984","WorldCat Record")</f>
        <v>WorldCat Record</v>
      </c>
      <c r="AW113" s="2" t="s">
        <v>1514</v>
      </c>
      <c r="AX113" s="2" t="s">
        <v>1515</v>
      </c>
      <c r="AY113" s="2" t="s">
        <v>1516</v>
      </c>
      <c r="AZ113" s="2" t="s">
        <v>1516</v>
      </c>
      <c r="BA113" s="2" t="s">
        <v>1517</v>
      </c>
      <c r="BB113" s="2" t="s">
        <v>21</v>
      </c>
      <c r="BD113" s="2" t="s">
        <v>1518</v>
      </c>
      <c r="BE113" s="2" t="s">
        <v>1519</v>
      </c>
      <c r="BF113" s="2" t="s">
        <v>1520</v>
      </c>
    </row>
    <row r="114" spans="1:58" ht="42.75" customHeight="1" x14ac:dyDescent="0.25">
      <c r="A114" s="8" t="s">
        <v>8</v>
      </c>
      <c r="B114" s="1" t="s">
        <v>0</v>
      </c>
      <c r="C114" s="1" t="s">
        <v>1</v>
      </c>
      <c r="D114" s="1" t="s">
        <v>1521</v>
      </c>
      <c r="E114" s="1" t="s">
        <v>1522</v>
      </c>
      <c r="F114" s="1" t="s">
        <v>1523</v>
      </c>
      <c r="H114" s="2" t="s">
        <v>8</v>
      </c>
      <c r="I114" s="2" t="s">
        <v>7</v>
      </c>
      <c r="J114" s="2" t="s">
        <v>8</v>
      </c>
      <c r="K114" s="2" t="s">
        <v>8</v>
      </c>
      <c r="L114" s="2" t="s">
        <v>9</v>
      </c>
      <c r="M114" s="1" t="s">
        <v>1510</v>
      </c>
      <c r="N114" s="1" t="s">
        <v>1524</v>
      </c>
      <c r="O114" s="2" t="s">
        <v>1157</v>
      </c>
      <c r="Q114" s="2" t="s">
        <v>12</v>
      </c>
      <c r="R114" s="2" t="s">
        <v>1340</v>
      </c>
      <c r="T114" s="2" t="s">
        <v>14</v>
      </c>
      <c r="U114" s="3">
        <v>2</v>
      </c>
      <c r="V114" s="3">
        <v>2</v>
      </c>
      <c r="W114" s="4" t="s">
        <v>1447</v>
      </c>
      <c r="X114" s="4" t="s">
        <v>1447</v>
      </c>
      <c r="Y114" s="4" t="s">
        <v>1254</v>
      </c>
      <c r="Z114" s="4" t="s">
        <v>1254</v>
      </c>
      <c r="AA114" s="3">
        <v>200</v>
      </c>
      <c r="AB114" s="3">
        <v>133</v>
      </c>
      <c r="AC114" s="3">
        <v>148</v>
      </c>
      <c r="AD114" s="3">
        <v>1</v>
      </c>
      <c r="AE114" s="3">
        <v>1</v>
      </c>
      <c r="AF114" s="3">
        <v>4</v>
      </c>
      <c r="AG114" s="3">
        <v>4</v>
      </c>
      <c r="AH114" s="3">
        <v>0</v>
      </c>
      <c r="AI114" s="3">
        <v>0</v>
      </c>
      <c r="AJ114" s="3">
        <v>1</v>
      </c>
      <c r="AK114" s="3">
        <v>1</v>
      </c>
      <c r="AL114" s="3">
        <v>3</v>
      </c>
      <c r="AM114" s="3">
        <v>3</v>
      </c>
      <c r="AN114" s="3">
        <v>0</v>
      </c>
      <c r="AO114" s="3">
        <v>0</v>
      </c>
      <c r="AP114" s="3">
        <v>0</v>
      </c>
      <c r="AQ114" s="3">
        <v>0</v>
      </c>
      <c r="AR114" s="2" t="s">
        <v>8</v>
      </c>
      <c r="AS114" s="2" t="s">
        <v>6</v>
      </c>
      <c r="AT114" s="5" t="str">
        <f>HYPERLINK("http://catalog.hathitrust.org/Record/001557976","HathiTrust Record")</f>
        <v>HathiTrust Record</v>
      </c>
      <c r="AU114" s="5" t="str">
        <f>HYPERLINK("https://creighton-primo.hosted.exlibrisgroup.com/primo-explore/search?tab=default_tab&amp;search_scope=EVERYTHING&amp;vid=01CRU&amp;lang=en_US&amp;offset=0&amp;query=any,contains,991001169659702656","Catalog Record")</f>
        <v>Catalog Record</v>
      </c>
      <c r="AV114" s="5" t="str">
        <f>HYPERLINK("http://www.worldcat.org/oclc/14614061","WorldCat Record")</f>
        <v>WorldCat Record</v>
      </c>
      <c r="AW114" s="2" t="s">
        <v>1525</v>
      </c>
      <c r="AX114" s="2" t="s">
        <v>1526</v>
      </c>
      <c r="AY114" s="2" t="s">
        <v>1527</v>
      </c>
      <c r="AZ114" s="2" t="s">
        <v>1527</v>
      </c>
      <c r="BA114" s="2" t="s">
        <v>1528</v>
      </c>
      <c r="BB114" s="2" t="s">
        <v>21</v>
      </c>
      <c r="BE114" s="2" t="s">
        <v>1529</v>
      </c>
      <c r="BF114" s="2" t="s">
        <v>1530</v>
      </c>
    </row>
    <row r="115" spans="1:58" ht="42.75" customHeight="1" x14ac:dyDescent="0.25">
      <c r="A115" s="8" t="s">
        <v>8</v>
      </c>
      <c r="B115" s="1" t="s">
        <v>0</v>
      </c>
      <c r="C115" s="1" t="s">
        <v>1</v>
      </c>
      <c r="D115" s="1" t="s">
        <v>1531</v>
      </c>
      <c r="E115" s="1" t="s">
        <v>1532</v>
      </c>
      <c r="F115" s="1" t="s">
        <v>1533</v>
      </c>
      <c r="G115" s="2" t="s">
        <v>1534</v>
      </c>
      <c r="H115" s="2" t="s">
        <v>8</v>
      </c>
      <c r="I115" s="2" t="s">
        <v>7</v>
      </c>
      <c r="J115" s="2" t="s">
        <v>8</v>
      </c>
      <c r="K115" s="2" t="s">
        <v>8</v>
      </c>
      <c r="L115" s="2" t="s">
        <v>9</v>
      </c>
      <c r="M115" s="1" t="s">
        <v>1535</v>
      </c>
      <c r="N115" s="1" t="s">
        <v>1536</v>
      </c>
      <c r="O115" s="2" t="s">
        <v>208</v>
      </c>
      <c r="P115" s="1" t="s">
        <v>1537</v>
      </c>
      <c r="Q115" s="2" t="s">
        <v>12</v>
      </c>
      <c r="R115" s="2" t="s">
        <v>13</v>
      </c>
      <c r="S115" s="1" t="s">
        <v>1538</v>
      </c>
      <c r="T115" s="2" t="s">
        <v>14</v>
      </c>
      <c r="U115" s="3">
        <v>5</v>
      </c>
      <c r="V115" s="3">
        <v>5</v>
      </c>
      <c r="W115" s="4" t="s">
        <v>1539</v>
      </c>
      <c r="X115" s="4" t="s">
        <v>1539</v>
      </c>
      <c r="Y115" s="4" t="s">
        <v>1144</v>
      </c>
      <c r="Z115" s="4" t="s">
        <v>1144</v>
      </c>
      <c r="AA115" s="3">
        <v>29</v>
      </c>
      <c r="AB115" s="3">
        <v>23</v>
      </c>
      <c r="AC115" s="3">
        <v>23</v>
      </c>
      <c r="AD115" s="3">
        <v>1</v>
      </c>
      <c r="AE115" s="3">
        <v>1</v>
      </c>
      <c r="AF115" s="3">
        <v>0</v>
      </c>
      <c r="AG115" s="3">
        <v>0</v>
      </c>
      <c r="AH115" s="3">
        <v>0</v>
      </c>
      <c r="AI115" s="3">
        <v>0</v>
      </c>
      <c r="AJ115" s="3">
        <v>0</v>
      </c>
      <c r="AK115" s="3">
        <v>0</v>
      </c>
      <c r="AL115" s="3">
        <v>0</v>
      </c>
      <c r="AM115" s="3">
        <v>0</v>
      </c>
      <c r="AN115" s="3">
        <v>0</v>
      </c>
      <c r="AO115" s="3">
        <v>0</v>
      </c>
      <c r="AP115" s="3">
        <v>0</v>
      </c>
      <c r="AQ115" s="3">
        <v>0</v>
      </c>
      <c r="AR115" s="2" t="s">
        <v>8</v>
      </c>
      <c r="AS115" s="2" t="s">
        <v>8</v>
      </c>
      <c r="AU115" s="5" t="str">
        <f>HYPERLINK("https://creighton-primo.hosted.exlibrisgroup.com/primo-explore/search?tab=default_tab&amp;search_scope=EVERYTHING&amp;vid=01CRU&amp;lang=en_US&amp;offset=0&amp;query=any,contains,991001168499702656","Catalog Record")</f>
        <v>Catalog Record</v>
      </c>
      <c r="AV115" s="5" t="str">
        <f>HYPERLINK("http://www.worldcat.org/oclc/3234582","WorldCat Record")</f>
        <v>WorldCat Record</v>
      </c>
      <c r="AW115" s="2" t="s">
        <v>1540</v>
      </c>
      <c r="AX115" s="2" t="s">
        <v>1541</v>
      </c>
      <c r="AY115" s="2" t="s">
        <v>1542</v>
      </c>
      <c r="AZ115" s="2" t="s">
        <v>1542</v>
      </c>
      <c r="BA115" s="2" t="s">
        <v>1543</v>
      </c>
      <c r="BB115" s="2" t="s">
        <v>21</v>
      </c>
      <c r="BD115" s="2" t="s">
        <v>1544</v>
      </c>
      <c r="BE115" s="2" t="s">
        <v>1545</v>
      </c>
      <c r="BF115" s="2" t="s">
        <v>1546</v>
      </c>
    </row>
    <row r="116" spans="1:58" ht="42.75" customHeight="1" x14ac:dyDescent="0.25">
      <c r="A116" s="8" t="s">
        <v>8</v>
      </c>
      <c r="B116" s="1" t="s">
        <v>0</v>
      </c>
      <c r="C116" s="1" t="s">
        <v>1</v>
      </c>
      <c r="D116" s="1" t="s">
        <v>1547</v>
      </c>
      <c r="E116" s="1" t="s">
        <v>1548</v>
      </c>
      <c r="F116" s="1" t="s">
        <v>1549</v>
      </c>
      <c r="H116" s="2" t="s">
        <v>8</v>
      </c>
      <c r="I116" s="2" t="s">
        <v>7</v>
      </c>
      <c r="J116" s="2" t="s">
        <v>8</v>
      </c>
      <c r="K116" s="2" t="s">
        <v>8</v>
      </c>
      <c r="L116" s="2" t="s">
        <v>9</v>
      </c>
      <c r="N116" s="1" t="s">
        <v>1550</v>
      </c>
      <c r="O116" s="2" t="s">
        <v>298</v>
      </c>
      <c r="P116" s="1" t="s">
        <v>1551</v>
      </c>
      <c r="Q116" s="2" t="s">
        <v>12</v>
      </c>
      <c r="R116" s="2" t="s">
        <v>34</v>
      </c>
      <c r="T116" s="2" t="s">
        <v>14</v>
      </c>
      <c r="U116" s="3">
        <v>4</v>
      </c>
      <c r="V116" s="3">
        <v>4</v>
      </c>
      <c r="W116" s="4" t="s">
        <v>1552</v>
      </c>
      <c r="X116" s="4" t="s">
        <v>1552</v>
      </c>
      <c r="Y116" s="4" t="s">
        <v>1553</v>
      </c>
      <c r="Z116" s="4" t="s">
        <v>1553</v>
      </c>
      <c r="AA116" s="3">
        <v>64</v>
      </c>
      <c r="AB116" s="3">
        <v>52</v>
      </c>
      <c r="AC116" s="3">
        <v>54</v>
      </c>
      <c r="AD116" s="3">
        <v>1</v>
      </c>
      <c r="AE116" s="3">
        <v>1</v>
      </c>
      <c r="AF116" s="3">
        <v>0</v>
      </c>
      <c r="AG116" s="3">
        <v>0</v>
      </c>
      <c r="AH116" s="3">
        <v>0</v>
      </c>
      <c r="AI116" s="3">
        <v>0</v>
      </c>
      <c r="AJ116" s="3">
        <v>0</v>
      </c>
      <c r="AK116" s="3">
        <v>0</v>
      </c>
      <c r="AL116" s="3">
        <v>0</v>
      </c>
      <c r="AM116" s="3">
        <v>0</v>
      </c>
      <c r="AN116" s="3">
        <v>0</v>
      </c>
      <c r="AO116" s="3">
        <v>0</v>
      </c>
      <c r="AP116" s="3">
        <v>0</v>
      </c>
      <c r="AQ116" s="3">
        <v>0</v>
      </c>
      <c r="AR116" s="2" t="s">
        <v>8</v>
      </c>
      <c r="AS116" s="2" t="s">
        <v>8</v>
      </c>
      <c r="AU116" s="5" t="str">
        <f>HYPERLINK("https://creighton-primo.hosted.exlibrisgroup.com/primo-explore/search?tab=default_tab&amp;search_scope=EVERYTHING&amp;vid=01CRU&amp;lang=en_US&amp;offset=0&amp;query=any,contains,991001534869702656","Catalog Record")</f>
        <v>Catalog Record</v>
      </c>
      <c r="AV116" s="5" t="str">
        <f>HYPERLINK("http://www.worldcat.org/oclc/15790913","WorldCat Record")</f>
        <v>WorldCat Record</v>
      </c>
      <c r="AW116" s="2" t="s">
        <v>1554</v>
      </c>
      <c r="AX116" s="2" t="s">
        <v>1555</v>
      </c>
      <c r="AY116" s="2" t="s">
        <v>1556</v>
      </c>
      <c r="AZ116" s="2" t="s">
        <v>1556</v>
      </c>
      <c r="BA116" s="2" t="s">
        <v>1557</v>
      </c>
      <c r="BB116" s="2" t="s">
        <v>21</v>
      </c>
      <c r="BD116" s="2" t="s">
        <v>1558</v>
      </c>
      <c r="BE116" s="2" t="s">
        <v>1559</v>
      </c>
      <c r="BF116" s="2" t="s">
        <v>1560</v>
      </c>
    </row>
    <row r="117" spans="1:58" ht="42.75" customHeight="1" x14ac:dyDescent="0.25">
      <c r="A117" s="8" t="s">
        <v>8</v>
      </c>
      <c r="B117" s="1" t="s">
        <v>0</v>
      </c>
      <c r="C117" s="1" t="s">
        <v>1</v>
      </c>
      <c r="D117" s="1" t="s">
        <v>1561</v>
      </c>
      <c r="E117" s="1" t="s">
        <v>1562</v>
      </c>
      <c r="F117" s="1" t="s">
        <v>1563</v>
      </c>
      <c r="H117" s="2" t="s">
        <v>8</v>
      </c>
      <c r="I117" s="2" t="s">
        <v>7</v>
      </c>
      <c r="J117" s="2" t="s">
        <v>8</v>
      </c>
      <c r="K117" s="2" t="s">
        <v>8</v>
      </c>
      <c r="L117" s="2" t="s">
        <v>9</v>
      </c>
      <c r="M117" s="1" t="s">
        <v>1564</v>
      </c>
      <c r="N117" s="1" t="s">
        <v>1565</v>
      </c>
      <c r="O117" s="2" t="s">
        <v>602</v>
      </c>
      <c r="Q117" s="2" t="s">
        <v>12</v>
      </c>
      <c r="R117" s="2" t="s">
        <v>456</v>
      </c>
      <c r="T117" s="2" t="s">
        <v>14</v>
      </c>
      <c r="U117" s="3">
        <v>3</v>
      </c>
      <c r="V117" s="3">
        <v>3</v>
      </c>
      <c r="W117" s="4" t="s">
        <v>1566</v>
      </c>
      <c r="X117" s="4" t="s">
        <v>1566</v>
      </c>
      <c r="Y117" s="4" t="s">
        <v>1567</v>
      </c>
      <c r="Z117" s="4" t="s">
        <v>1567</v>
      </c>
      <c r="AA117" s="3">
        <v>3</v>
      </c>
      <c r="AB117" s="3">
        <v>2</v>
      </c>
      <c r="AC117" s="3">
        <v>5</v>
      </c>
      <c r="AD117" s="3">
        <v>1</v>
      </c>
      <c r="AE117" s="3">
        <v>1</v>
      </c>
      <c r="AF117" s="3">
        <v>0</v>
      </c>
      <c r="AG117" s="3">
        <v>0</v>
      </c>
      <c r="AH117" s="3">
        <v>0</v>
      </c>
      <c r="AI117" s="3">
        <v>0</v>
      </c>
      <c r="AJ117" s="3">
        <v>0</v>
      </c>
      <c r="AK117" s="3">
        <v>0</v>
      </c>
      <c r="AL117" s="3">
        <v>0</v>
      </c>
      <c r="AM117" s="3">
        <v>0</v>
      </c>
      <c r="AN117" s="3">
        <v>0</v>
      </c>
      <c r="AO117" s="3">
        <v>0</v>
      </c>
      <c r="AP117" s="3">
        <v>0</v>
      </c>
      <c r="AQ117" s="3">
        <v>0</v>
      </c>
      <c r="AR117" s="2" t="s">
        <v>8</v>
      </c>
      <c r="AS117" s="2" t="s">
        <v>8</v>
      </c>
      <c r="AU117" s="5" t="str">
        <f>HYPERLINK("https://creighton-primo.hosted.exlibrisgroup.com/primo-explore/search?tab=default_tab&amp;search_scope=EVERYTHING&amp;vid=01CRU&amp;lang=en_US&amp;offset=0&amp;query=any,contains,991000940699702656","Catalog Record")</f>
        <v>Catalog Record</v>
      </c>
      <c r="AV117" s="5" t="str">
        <f>HYPERLINK("http://www.worldcat.org/oclc/25623591","WorldCat Record")</f>
        <v>WorldCat Record</v>
      </c>
      <c r="AW117" s="2" t="s">
        <v>1568</v>
      </c>
      <c r="AX117" s="2" t="s">
        <v>1569</v>
      </c>
      <c r="AY117" s="2" t="s">
        <v>1570</v>
      </c>
      <c r="AZ117" s="2" t="s">
        <v>1570</v>
      </c>
      <c r="BA117" s="2" t="s">
        <v>1571</v>
      </c>
      <c r="BB117" s="2" t="s">
        <v>21</v>
      </c>
      <c r="BE117" s="2" t="s">
        <v>1572</v>
      </c>
      <c r="BF117" s="2" t="s">
        <v>1573</v>
      </c>
    </row>
    <row r="118" spans="1:58" ht="42.75" customHeight="1" x14ac:dyDescent="0.25">
      <c r="A118" s="8" t="s">
        <v>8</v>
      </c>
      <c r="B118" s="1" t="s">
        <v>0</v>
      </c>
      <c r="C118" s="1" t="s">
        <v>1</v>
      </c>
      <c r="D118" s="1" t="s">
        <v>1574</v>
      </c>
      <c r="E118" s="1" t="s">
        <v>1575</v>
      </c>
      <c r="F118" s="1" t="s">
        <v>1576</v>
      </c>
      <c r="H118" s="2" t="s">
        <v>8</v>
      </c>
      <c r="I118" s="2" t="s">
        <v>7</v>
      </c>
      <c r="J118" s="2" t="s">
        <v>8</v>
      </c>
      <c r="K118" s="2" t="s">
        <v>8</v>
      </c>
      <c r="L118" s="2" t="s">
        <v>9</v>
      </c>
      <c r="N118" s="1" t="s">
        <v>1577</v>
      </c>
      <c r="O118" s="2" t="s">
        <v>627</v>
      </c>
      <c r="Q118" s="2" t="s">
        <v>12</v>
      </c>
      <c r="R118" s="2" t="s">
        <v>13</v>
      </c>
      <c r="S118" s="1" t="s">
        <v>1578</v>
      </c>
      <c r="T118" s="2" t="s">
        <v>14</v>
      </c>
      <c r="U118" s="3">
        <v>11</v>
      </c>
      <c r="V118" s="3">
        <v>11</v>
      </c>
      <c r="W118" s="4" t="s">
        <v>1447</v>
      </c>
      <c r="X118" s="4" t="s">
        <v>1447</v>
      </c>
      <c r="Y118" s="4" t="s">
        <v>1579</v>
      </c>
      <c r="Z118" s="4" t="s">
        <v>1579</v>
      </c>
      <c r="AA118" s="3">
        <v>143</v>
      </c>
      <c r="AB118" s="3">
        <v>94</v>
      </c>
      <c r="AC118" s="3">
        <v>113</v>
      </c>
      <c r="AD118" s="3">
        <v>1</v>
      </c>
      <c r="AE118" s="3">
        <v>1</v>
      </c>
      <c r="AF118" s="3">
        <v>5</v>
      </c>
      <c r="AG118" s="3">
        <v>7</v>
      </c>
      <c r="AH118" s="3">
        <v>3</v>
      </c>
      <c r="AI118" s="3">
        <v>5</v>
      </c>
      <c r="AJ118" s="3">
        <v>0</v>
      </c>
      <c r="AK118" s="3">
        <v>1</v>
      </c>
      <c r="AL118" s="3">
        <v>2</v>
      </c>
      <c r="AM118" s="3">
        <v>3</v>
      </c>
      <c r="AN118" s="3">
        <v>0</v>
      </c>
      <c r="AO118" s="3">
        <v>0</v>
      </c>
      <c r="AP118" s="3">
        <v>0</v>
      </c>
      <c r="AQ118" s="3">
        <v>0</v>
      </c>
      <c r="AR118" s="2" t="s">
        <v>8</v>
      </c>
      <c r="AS118" s="2" t="s">
        <v>6</v>
      </c>
      <c r="AT118" s="5" t="str">
        <f>HYPERLINK("http://catalog.hathitrust.org/Record/001841113","HathiTrust Record")</f>
        <v>HathiTrust Record</v>
      </c>
      <c r="AU118" s="5" t="str">
        <f>HYPERLINK("https://creighton-primo.hosted.exlibrisgroup.com/primo-explore/search?tab=default_tab&amp;search_scope=EVERYTHING&amp;vid=01CRU&amp;lang=en_US&amp;offset=0&amp;query=any,contains,991001027169702656","Catalog Record")</f>
        <v>Catalog Record</v>
      </c>
      <c r="AV118" s="5" t="str">
        <f>HYPERLINK("http://www.worldcat.org/oclc/14931245","WorldCat Record")</f>
        <v>WorldCat Record</v>
      </c>
      <c r="AW118" s="2" t="s">
        <v>1580</v>
      </c>
      <c r="AX118" s="2" t="s">
        <v>1581</v>
      </c>
      <c r="AY118" s="2" t="s">
        <v>1582</v>
      </c>
      <c r="AZ118" s="2" t="s">
        <v>1582</v>
      </c>
      <c r="BA118" s="2" t="s">
        <v>1583</v>
      </c>
      <c r="BB118" s="2" t="s">
        <v>21</v>
      </c>
      <c r="BD118" s="2" t="s">
        <v>1584</v>
      </c>
      <c r="BE118" s="2" t="s">
        <v>1585</v>
      </c>
      <c r="BF118" s="2" t="s">
        <v>1586</v>
      </c>
    </row>
    <row r="119" spans="1:58" ht="42.75" customHeight="1" x14ac:dyDescent="0.25">
      <c r="A119" s="8" t="s">
        <v>8</v>
      </c>
      <c r="B119" s="1" t="s">
        <v>0</v>
      </c>
      <c r="C119" s="1" t="s">
        <v>1</v>
      </c>
      <c r="D119" s="1" t="s">
        <v>1587</v>
      </c>
      <c r="E119" s="1" t="s">
        <v>1588</v>
      </c>
      <c r="F119" s="1" t="s">
        <v>1589</v>
      </c>
      <c r="H119" s="2" t="s">
        <v>8</v>
      </c>
      <c r="I119" s="2" t="s">
        <v>7</v>
      </c>
      <c r="J119" s="2" t="s">
        <v>8</v>
      </c>
      <c r="K119" s="2" t="s">
        <v>8</v>
      </c>
      <c r="L119" s="2" t="s">
        <v>9</v>
      </c>
      <c r="N119" s="1" t="s">
        <v>1590</v>
      </c>
      <c r="O119" s="2" t="s">
        <v>33</v>
      </c>
      <c r="Q119" s="2" t="s">
        <v>12</v>
      </c>
      <c r="R119" s="2" t="s">
        <v>34</v>
      </c>
      <c r="T119" s="2" t="s">
        <v>14</v>
      </c>
      <c r="U119" s="3">
        <v>10</v>
      </c>
      <c r="V119" s="3">
        <v>10</v>
      </c>
      <c r="W119" s="4" t="s">
        <v>1591</v>
      </c>
      <c r="X119" s="4" t="s">
        <v>1591</v>
      </c>
      <c r="Y119" s="4" t="s">
        <v>1592</v>
      </c>
      <c r="Z119" s="4" t="s">
        <v>1592</v>
      </c>
      <c r="AA119" s="3">
        <v>114</v>
      </c>
      <c r="AB119" s="3">
        <v>67</v>
      </c>
      <c r="AC119" s="3">
        <v>69</v>
      </c>
      <c r="AD119" s="3">
        <v>1</v>
      </c>
      <c r="AE119" s="3">
        <v>1</v>
      </c>
      <c r="AF119" s="3">
        <v>3</v>
      </c>
      <c r="AG119" s="3">
        <v>3</v>
      </c>
      <c r="AH119" s="3">
        <v>0</v>
      </c>
      <c r="AI119" s="3">
        <v>0</v>
      </c>
      <c r="AJ119" s="3">
        <v>2</v>
      </c>
      <c r="AK119" s="3">
        <v>2</v>
      </c>
      <c r="AL119" s="3">
        <v>2</v>
      </c>
      <c r="AM119" s="3">
        <v>2</v>
      </c>
      <c r="AN119" s="3">
        <v>0</v>
      </c>
      <c r="AO119" s="3">
        <v>0</v>
      </c>
      <c r="AP119" s="3">
        <v>0</v>
      </c>
      <c r="AQ119" s="3">
        <v>0</v>
      </c>
      <c r="AR119" s="2" t="s">
        <v>8</v>
      </c>
      <c r="AS119" s="2" t="s">
        <v>6</v>
      </c>
      <c r="AT119" s="5" t="str">
        <f>HYPERLINK("http://catalog.hathitrust.org/Record/000187550","HathiTrust Record")</f>
        <v>HathiTrust Record</v>
      </c>
      <c r="AU119" s="5" t="str">
        <f>HYPERLINK("https://creighton-primo.hosted.exlibrisgroup.com/primo-explore/search?tab=default_tab&amp;search_scope=EVERYTHING&amp;vid=01CRU&amp;lang=en_US&amp;offset=0&amp;query=any,contains,991001169059702656","Catalog Record")</f>
        <v>Catalog Record</v>
      </c>
      <c r="AV119" s="5" t="str">
        <f>HYPERLINK("http://www.worldcat.org/oclc/8115277","WorldCat Record")</f>
        <v>WorldCat Record</v>
      </c>
      <c r="AW119" s="2" t="s">
        <v>1593</v>
      </c>
      <c r="AX119" s="2" t="s">
        <v>1594</v>
      </c>
      <c r="AY119" s="2" t="s">
        <v>1595</v>
      </c>
      <c r="AZ119" s="2" t="s">
        <v>1595</v>
      </c>
      <c r="BA119" s="2" t="s">
        <v>1596</v>
      </c>
      <c r="BB119" s="2" t="s">
        <v>21</v>
      </c>
      <c r="BD119" s="2" t="s">
        <v>1597</v>
      </c>
      <c r="BE119" s="2" t="s">
        <v>1598</v>
      </c>
      <c r="BF119" s="2" t="s">
        <v>1599</v>
      </c>
    </row>
    <row r="120" spans="1:58" ht="42.75" customHeight="1" x14ac:dyDescent="0.25">
      <c r="A120" s="8" t="s">
        <v>8</v>
      </c>
      <c r="B120" s="1" t="s">
        <v>0</v>
      </c>
      <c r="C120" s="1" t="s">
        <v>1</v>
      </c>
      <c r="D120" s="1" t="s">
        <v>1600</v>
      </c>
      <c r="E120" s="1" t="s">
        <v>1601</v>
      </c>
      <c r="F120" s="1" t="s">
        <v>1602</v>
      </c>
      <c r="H120" s="2" t="s">
        <v>8</v>
      </c>
      <c r="I120" s="2" t="s">
        <v>7</v>
      </c>
      <c r="J120" s="2" t="s">
        <v>8</v>
      </c>
      <c r="K120" s="2" t="s">
        <v>8</v>
      </c>
      <c r="L120" s="2" t="s">
        <v>9</v>
      </c>
      <c r="M120" s="1" t="s">
        <v>1603</v>
      </c>
      <c r="N120" s="1" t="s">
        <v>1604</v>
      </c>
      <c r="O120" s="2" t="s">
        <v>589</v>
      </c>
      <c r="Q120" s="2" t="s">
        <v>12</v>
      </c>
      <c r="R120" s="2" t="s">
        <v>1211</v>
      </c>
      <c r="T120" s="2" t="s">
        <v>14</v>
      </c>
      <c r="U120" s="3">
        <v>2</v>
      </c>
      <c r="V120" s="3">
        <v>2</v>
      </c>
      <c r="W120" s="4" t="s">
        <v>1447</v>
      </c>
      <c r="X120" s="4" t="s">
        <v>1447</v>
      </c>
      <c r="Y120" s="4" t="s">
        <v>1605</v>
      </c>
      <c r="Z120" s="4" t="s">
        <v>1605</v>
      </c>
      <c r="AA120" s="3">
        <v>58</v>
      </c>
      <c r="AB120" s="3">
        <v>55</v>
      </c>
      <c r="AC120" s="3">
        <v>60</v>
      </c>
      <c r="AD120" s="3">
        <v>1</v>
      </c>
      <c r="AE120" s="3">
        <v>1</v>
      </c>
      <c r="AF120" s="3">
        <v>1</v>
      </c>
      <c r="AG120" s="3">
        <v>1</v>
      </c>
      <c r="AH120" s="3">
        <v>0</v>
      </c>
      <c r="AI120" s="3">
        <v>0</v>
      </c>
      <c r="AJ120" s="3">
        <v>0</v>
      </c>
      <c r="AK120" s="3">
        <v>0</v>
      </c>
      <c r="AL120" s="3">
        <v>1</v>
      </c>
      <c r="AM120" s="3">
        <v>1</v>
      </c>
      <c r="AN120" s="3">
        <v>0</v>
      </c>
      <c r="AO120" s="3">
        <v>0</v>
      </c>
      <c r="AP120" s="3">
        <v>0</v>
      </c>
      <c r="AQ120" s="3">
        <v>0</v>
      </c>
      <c r="AR120" s="2" t="s">
        <v>8</v>
      </c>
      <c r="AS120" s="2" t="s">
        <v>6</v>
      </c>
      <c r="AT120" s="5" t="str">
        <f>HYPERLINK("http://catalog.hathitrust.org/Record/005143494","HathiTrust Record")</f>
        <v>HathiTrust Record</v>
      </c>
      <c r="AU120" s="5" t="str">
        <f>HYPERLINK("https://creighton-primo.hosted.exlibrisgroup.com/primo-explore/search?tab=default_tab&amp;search_scope=EVERYTHING&amp;vid=01CRU&amp;lang=en_US&amp;offset=0&amp;query=any,contains,991001496539702656","Catalog Record")</f>
        <v>Catalog Record</v>
      </c>
      <c r="AV120" s="5" t="str">
        <f>HYPERLINK("http://www.worldcat.org/oclc/33289979","WorldCat Record")</f>
        <v>WorldCat Record</v>
      </c>
      <c r="AW120" s="2" t="s">
        <v>1606</v>
      </c>
      <c r="AX120" s="2" t="s">
        <v>1607</v>
      </c>
      <c r="AY120" s="2" t="s">
        <v>1608</v>
      </c>
      <c r="AZ120" s="2" t="s">
        <v>1608</v>
      </c>
      <c r="BA120" s="2" t="s">
        <v>1609</v>
      </c>
      <c r="BB120" s="2" t="s">
        <v>21</v>
      </c>
      <c r="BE120" s="2" t="s">
        <v>1610</v>
      </c>
      <c r="BF120" s="2" t="s">
        <v>1611</v>
      </c>
    </row>
    <row r="121" spans="1:58" ht="42.75" customHeight="1" x14ac:dyDescent="0.25">
      <c r="A121" s="8" t="s">
        <v>8</v>
      </c>
      <c r="B121" s="1" t="s">
        <v>0</v>
      </c>
      <c r="C121" s="1" t="s">
        <v>1</v>
      </c>
      <c r="D121" s="1" t="s">
        <v>1612</v>
      </c>
      <c r="E121" s="1" t="s">
        <v>1613</v>
      </c>
      <c r="F121" s="1" t="s">
        <v>1614</v>
      </c>
      <c r="H121" s="2" t="s">
        <v>8</v>
      </c>
      <c r="I121" s="2" t="s">
        <v>7</v>
      </c>
      <c r="J121" s="2" t="s">
        <v>8</v>
      </c>
      <c r="K121" s="2" t="s">
        <v>8</v>
      </c>
      <c r="L121" s="2" t="s">
        <v>9</v>
      </c>
      <c r="M121" s="1" t="s">
        <v>1615</v>
      </c>
      <c r="N121" s="1" t="s">
        <v>1616</v>
      </c>
      <c r="O121" s="2" t="s">
        <v>602</v>
      </c>
      <c r="Q121" s="2" t="s">
        <v>12</v>
      </c>
      <c r="R121" s="2" t="s">
        <v>674</v>
      </c>
      <c r="T121" s="2" t="s">
        <v>14</v>
      </c>
      <c r="U121" s="3">
        <v>13</v>
      </c>
      <c r="V121" s="3">
        <v>13</v>
      </c>
      <c r="W121" s="4" t="s">
        <v>1617</v>
      </c>
      <c r="X121" s="4" t="s">
        <v>1617</v>
      </c>
      <c r="Y121" s="4" t="s">
        <v>1618</v>
      </c>
      <c r="Z121" s="4" t="s">
        <v>1618</v>
      </c>
      <c r="AA121" s="3">
        <v>107</v>
      </c>
      <c r="AB121" s="3">
        <v>101</v>
      </c>
      <c r="AC121" s="3">
        <v>127</v>
      </c>
      <c r="AD121" s="3">
        <v>1</v>
      </c>
      <c r="AE121" s="3">
        <v>1</v>
      </c>
      <c r="AF121" s="3">
        <v>1</v>
      </c>
      <c r="AG121" s="3">
        <v>2</v>
      </c>
      <c r="AH121" s="3">
        <v>0</v>
      </c>
      <c r="AI121" s="3">
        <v>1</v>
      </c>
      <c r="AJ121" s="3">
        <v>0</v>
      </c>
      <c r="AK121" s="3">
        <v>0</v>
      </c>
      <c r="AL121" s="3">
        <v>1</v>
      </c>
      <c r="AM121" s="3">
        <v>1</v>
      </c>
      <c r="AN121" s="3">
        <v>0</v>
      </c>
      <c r="AO121" s="3">
        <v>0</v>
      </c>
      <c r="AP121" s="3">
        <v>0</v>
      </c>
      <c r="AQ121" s="3">
        <v>0</v>
      </c>
      <c r="AR121" s="2" t="s">
        <v>8</v>
      </c>
      <c r="AS121" s="2" t="s">
        <v>8</v>
      </c>
      <c r="AU121" s="5" t="str">
        <f>HYPERLINK("https://creighton-primo.hosted.exlibrisgroup.com/primo-explore/search?tab=default_tab&amp;search_scope=EVERYTHING&amp;vid=01CRU&amp;lang=en_US&amp;offset=0&amp;query=any,contains,991000668219702656","Catalog Record")</f>
        <v>Catalog Record</v>
      </c>
      <c r="AV121" s="5" t="str">
        <f>HYPERLINK("http://www.worldcat.org/oclc/28028643","WorldCat Record")</f>
        <v>WorldCat Record</v>
      </c>
      <c r="AW121" s="2" t="s">
        <v>1619</v>
      </c>
      <c r="AX121" s="2" t="s">
        <v>1620</v>
      </c>
      <c r="AY121" s="2" t="s">
        <v>1621</v>
      </c>
      <c r="AZ121" s="2" t="s">
        <v>1621</v>
      </c>
      <c r="BA121" s="2" t="s">
        <v>1622</v>
      </c>
      <c r="BB121" s="2" t="s">
        <v>21</v>
      </c>
      <c r="BE121" s="2" t="s">
        <v>1623</v>
      </c>
      <c r="BF121" s="2" t="s">
        <v>1624</v>
      </c>
    </row>
    <row r="122" spans="1:58" ht="42.75" customHeight="1" x14ac:dyDescent="0.25">
      <c r="A122" s="8" t="s">
        <v>8</v>
      </c>
      <c r="B122" s="1" t="s">
        <v>0</v>
      </c>
      <c r="C122" s="1" t="s">
        <v>1</v>
      </c>
      <c r="D122" s="1" t="s">
        <v>1625</v>
      </c>
      <c r="E122" s="1" t="s">
        <v>1626</v>
      </c>
      <c r="F122" s="1" t="s">
        <v>1627</v>
      </c>
      <c r="H122" s="2" t="s">
        <v>8</v>
      </c>
      <c r="I122" s="2" t="s">
        <v>7</v>
      </c>
      <c r="J122" s="2" t="s">
        <v>8</v>
      </c>
      <c r="K122" s="2" t="s">
        <v>8</v>
      </c>
      <c r="L122" s="2" t="s">
        <v>9</v>
      </c>
      <c r="N122" s="1" t="s">
        <v>1628</v>
      </c>
      <c r="O122" s="2" t="s">
        <v>1629</v>
      </c>
      <c r="Q122" s="2" t="s">
        <v>12</v>
      </c>
      <c r="R122" s="2" t="s">
        <v>34</v>
      </c>
      <c r="S122" s="1" t="s">
        <v>1630</v>
      </c>
      <c r="T122" s="2" t="s">
        <v>14</v>
      </c>
      <c r="U122" s="3">
        <v>7</v>
      </c>
      <c r="V122" s="3">
        <v>7</v>
      </c>
      <c r="W122" s="4" t="s">
        <v>1631</v>
      </c>
      <c r="X122" s="4" t="s">
        <v>1631</v>
      </c>
      <c r="Y122" s="4" t="s">
        <v>1632</v>
      </c>
      <c r="Z122" s="4" t="s">
        <v>1632</v>
      </c>
      <c r="AA122" s="3">
        <v>80</v>
      </c>
      <c r="AB122" s="3">
        <v>62</v>
      </c>
      <c r="AC122" s="3">
        <v>155</v>
      </c>
      <c r="AD122" s="3">
        <v>1</v>
      </c>
      <c r="AE122" s="3">
        <v>1</v>
      </c>
      <c r="AF122" s="3">
        <v>1</v>
      </c>
      <c r="AG122" s="3">
        <v>4</v>
      </c>
      <c r="AH122" s="3">
        <v>0</v>
      </c>
      <c r="AI122" s="3">
        <v>1</v>
      </c>
      <c r="AJ122" s="3">
        <v>1</v>
      </c>
      <c r="AK122" s="3">
        <v>1</v>
      </c>
      <c r="AL122" s="3">
        <v>1</v>
      </c>
      <c r="AM122" s="3">
        <v>2</v>
      </c>
      <c r="AN122" s="3">
        <v>0</v>
      </c>
      <c r="AO122" s="3">
        <v>0</v>
      </c>
      <c r="AP122" s="3">
        <v>0</v>
      </c>
      <c r="AQ122" s="3">
        <v>1</v>
      </c>
      <c r="AR122" s="2" t="s">
        <v>8</v>
      </c>
      <c r="AS122" s="2" t="s">
        <v>6</v>
      </c>
      <c r="AT122" s="5" t="str">
        <f>HYPERLINK("http://catalog.hathitrust.org/Record/010376733","HathiTrust Record")</f>
        <v>HathiTrust Record</v>
      </c>
      <c r="AU122" s="5" t="str">
        <f>HYPERLINK("https://creighton-primo.hosted.exlibrisgroup.com/primo-explore/search?tab=default_tab&amp;search_scope=EVERYTHING&amp;vid=01CRU&amp;lang=en_US&amp;offset=0&amp;query=any,contains,991001537039702656","Catalog Record")</f>
        <v>Catalog Record</v>
      </c>
      <c r="AV122" s="5" t="str">
        <f>HYPERLINK("http://www.worldcat.org/oclc/12906556","WorldCat Record")</f>
        <v>WorldCat Record</v>
      </c>
      <c r="AW122" s="2" t="s">
        <v>1633</v>
      </c>
      <c r="AX122" s="2" t="s">
        <v>1634</v>
      </c>
      <c r="AY122" s="2" t="s">
        <v>1635</v>
      </c>
      <c r="AZ122" s="2" t="s">
        <v>1635</v>
      </c>
      <c r="BA122" s="2" t="s">
        <v>1636</v>
      </c>
      <c r="BB122" s="2" t="s">
        <v>21</v>
      </c>
      <c r="BE122" s="2" t="s">
        <v>1637</v>
      </c>
      <c r="BF122" s="2" t="s">
        <v>1638</v>
      </c>
    </row>
    <row r="123" spans="1:58" ht="42.75" customHeight="1" x14ac:dyDescent="0.25">
      <c r="A123" s="8" t="s">
        <v>8</v>
      </c>
      <c r="B123" s="1" t="s">
        <v>0</v>
      </c>
      <c r="C123" s="1" t="s">
        <v>1</v>
      </c>
      <c r="D123" s="1" t="s">
        <v>1639</v>
      </c>
      <c r="E123" s="1" t="s">
        <v>1640</v>
      </c>
      <c r="F123" s="1" t="s">
        <v>1641</v>
      </c>
      <c r="H123" s="2" t="s">
        <v>8</v>
      </c>
      <c r="I123" s="2" t="s">
        <v>7</v>
      </c>
      <c r="J123" s="2" t="s">
        <v>8</v>
      </c>
      <c r="K123" s="2" t="s">
        <v>8</v>
      </c>
      <c r="L123" s="2" t="s">
        <v>9</v>
      </c>
      <c r="N123" s="1" t="s">
        <v>1642</v>
      </c>
      <c r="O123" s="2" t="s">
        <v>642</v>
      </c>
      <c r="Q123" s="2" t="s">
        <v>12</v>
      </c>
      <c r="R123" s="2" t="s">
        <v>456</v>
      </c>
      <c r="T123" s="2" t="s">
        <v>14</v>
      </c>
      <c r="U123" s="3">
        <v>0</v>
      </c>
      <c r="V123" s="3">
        <v>0</v>
      </c>
      <c r="W123" s="4" t="s">
        <v>1643</v>
      </c>
      <c r="X123" s="4" t="s">
        <v>1643</v>
      </c>
      <c r="Y123" s="4" t="s">
        <v>1644</v>
      </c>
      <c r="Z123" s="4" t="s">
        <v>1644</v>
      </c>
      <c r="AA123" s="3">
        <v>92</v>
      </c>
      <c r="AB123" s="3">
        <v>66</v>
      </c>
      <c r="AC123" s="3">
        <v>68</v>
      </c>
      <c r="AD123" s="3">
        <v>1</v>
      </c>
      <c r="AE123" s="3">
        <v>1</v>
      </c>
      <c r="AF123" s="3">
        <v>4</v>
      </c>
      <c r="AG123" s="3">
        <v>4</v>
      </c>
      <c r="AH123" s="3">
        <v>0</v>
      </c>
      <c r="AI123" s="3">
        <v>0</v>
      </c>
      <c r="AJ123" s="3">
        <v>2</v>
      </c>
      <c r="AK123" s="3">
        <v>2</v>
      </c>
      <c r="AL123" s="3">
        <v>2</v>
      </c>
      <c r="AM123" s="3">
        <v>2</v>
      </c>
      <c r="AN123" s="3">
        <v>0</v>
      </c>
      <c r="AO123" s="3">
        <v>0</v>
      </c>
      <c r="AP123" s="3">
        <v>0</v>
      </c>
      <c r="AQ123" s="3">
        <v>0</v>
      </c>
      <c r="AR123" s="2" t="s">
        <v>8</v>
      </c>
      <c r="AS123" s="2" t="s">
        <v>6</v>
      </c>
      <c r="AT123" s="5" t="str">
        <f>HYPERLINK("http://catalog.hathitrust.org/Record/004763183","HathiTrust Record")</f>
        <v>HathiTrust Record</v>
      </c>
      <c r="AU123" s="5" t="str">
        <f>HYPERLINK("https://creighton-primo.hosted.exlibrisgroup.com/primo-explore/search?tab=default_tab&amp;search_scope=EVERYTHING&amp;vid=01CRU&amp;lang=en_US&amp;offset=0&amp;query=any,contains,991000394349702656","Catalog Record")</f>
        <v>Catalog Record</v>
      </c>
      <c r="AV123" s="5" t="str">
        <f>HYPERLINK("http://www.worldcat.org/oclc/56334739","WorldCat Record")</f>
        <v>WorldCat Record</v>
      </c>
      <c r="AW123" s="2" t="s">
        <v>1645</v>
      </c>
      <c r="AX123" s="2" t="s">
        <v>1646</v>
      </c>
      <c r="AY123" s="2" t="s">
        <v>1647</v>
      </c>
      <c r="AZ123" s="2" t="s">
        <v>1647</v>
      </c>
      <c r="BA123" s="2" t="s">
        <v>1648</v>
      </c>
      <c r="BB123" s="2" t="s">
        <v>21</v>
      </c>
      <c r="BD123" s="2" t="s">
        <v>1649</v>
      </c>
      <c r="BE123" s="2" t="s">
        <v>1650</v>
      </c>
      <c r="BF123" s="2" t="s">
        <v>1651</v>
      </c>
    </row>
    <row r="124" spans="1:58" ht="42.75" customHeight="1" x14ac:dyDescent="0.25">
      <c r="A124" s="8" t="s">
        <v>8</v>
      </c>
      <c r="B124" s="1" t="s">
        <v>0</v>
      </c>
      <c r="C124" s="1" t="s">
        <v>1</v>
      </c>
      <c r="D124" s="1" t="s">
        <v>1652</v>
      </c>
      <c r="E124" s="1" t="s">
        <v>1653</v>
      </c>
      <c r="F124" s="1" t="s">
        <v>1654</v>
      </c>
      <c r="H124" s="2" t="s">
        <v>8</v>
      </c>
      <c r="I124" s="2" t="s">
        <v>7</v>
      </c>
      <c r="J124" s="2" t="s">
        <v>8</v>
      </c>
      <c r="K124" s="2" t="s">
        <v>8</v>
      </c>
      <c r="L124" s="2" t="s">
        <v>9</v>
      </c>
      <c r="N124" s="1" t="s">
        <v>1655</v>
      </c>
      <c r="O124" s="2" t="s">
        <v>161</v>
      </c>
      <c r="Q124" s="2" t="s">
        <v>12</v>
      </c>
      <c r="R124" s="2" t="s">
        <v>520</v>
      </c>
      <c r="T124" s="2" t="s">
        <v>14</v>
      </c>
      <c r="U124" s="3">
        <v>4</v>
      </c>
      <c r="V124" s="3">
        <v>4</v>
      </c>
      <c r="W124" s="4" t="s">
        <v>1460</v>
      </c>
      <c r="X124" s="4" t="s">
        <v>1460</v>
      </c>
      <c r="Y124" s="4" t="s">
        <v>1485</v>
      </c>
      <c r="Z124" s="4" t="s">
        <v>1485</v>
      </c>
      <c r="AA124" s="3">
        <v>191</v>
      </c>
      <c r="AB124" s="3">
        <v>154</v>
      </c>
      <c r="AC124" s="3">
        <v>156</v>
      </c>
      <c r="AD124" s="3">
        <v>1</v>
      </c>
      <c r="AE124" s="3">
        <v>1</v>
      </c>
      <c r="AF124" s="3">
        <v>4</v>
      </c>
      <c r="AG124" s="3">
        <v>4</v>
      </c>
      <c r="AH124" s="3">
        <v>1</v>
      </c>
      <c r="AI124" s="3">
        <v>1</v>
      </c>
      <c r="AJ124" s="3">
        <v>2</v>
      </c>
      <c r="AK124" s="3">
        <v>2</v>
      </c>
      <c r="AL124" s="3">
        <v>2</v>
      </c>
      <c r="AM124" s="3">
        <v>2</v>
      </c>
      <c r="AN124" s="3">
        <v>0</v>
      </c>
      <c r="AO124" s="3">
        <v>0</v>
      </c>
      <c r="AP124" s="3">
        <v>0</v>
      </c>
      <c r="AQ124" s="3">
        <v>0</v>
      </c>
      <c r="AR124" s="2" t="s">
        <v>8</v>
      </c>
      <c r="AS124" s="2" t="s">
        <v>6</v>
      </c>
      <c r="AT124" s="5" t="str">
        <f>HYPERLINK("http://catalog.hathitrust.org/Record/000008065","HathiTrust Record")</f>
        <v>HathiTrust Record</v>
      </c>
      <c r="AU124" s="5" t="str">
        <f>HYPERLINK("https://creighton-primo.hosted.exlibrisgroup.com/primo-explore/search?tab=default_tab&amp;search_scope=EVERYTHING&amp;vid=01CRU&amp;lang=en_US&amp;offset=0&amp;query=any,contains,991001168939702656","Catalog Record")</f>
        <v>Catalog Record</v>
      </c>
      <c r="AV124" s="5" t="str">
        <f>HYPERLINK("http://www.worldcat.org/oclc/592383","WorldCat Record")</f>
        <v>WorldCat Record</v>
      </c>
      <c r="AW124" s="2" t="s">
        <v>1656</v>
      </c>
      <c r="AX124" s="2" t="s">
        <v>1657</v>
      </c>
      <c r="AY124" s="2" t="s">
        <v>1658</v>
      </c>
      <c r="AZ124" s="2" t="s">
        <v>1658</v>
      </c>
      <c r="BA124" s="2" t="s">
        <v>1659</v>
      </c>
      <c r="BB124" s="2" t="s">
        <v>21</v>
      </c>
      <c r="BE124" s="2" t="s">
        <v>1660</v>
      </c>
      <c r="BF124" s="2" t="s">
        <v>1661</v>
      </c>
    </row>
    <row r="125" spans="1:58" ht="42.75" customHeight="1" x14ac:dyDescent="0.25">
      <c r="A125" s="8" t="s">
        <v>8</v>
      </c>
      <c r="B125" s="1" t="s">
        <v>0</v>
      </c>
      <c r="C125" s="1" t="s">
        <v>1</v>
      </c>
      <c r="D125" s="1" t="s">
        <v>1662</v>
      </c>
      <c r="E125" s="1" t="s">
        <v>1663</v>
      </c>
      <c r="F125" s="1" t="s">
        <v>1664</v>
      </c>
      <c r="H125" s="2" t="s">
        <v>8</v>
      </c>
      <c r="I125" s="2" t="s">
        <v>7</v>
      </c>
      <c r="J125" s="2" t="s">
        <v>8</v>
      </c>
      <c r="K125" s="2" t="s">
        <v>8</v>
      </c>
      <c r="L125" s="2" t="s">
        <v>9</v>
      </c>
      <c r="N125" s="1" t="s">
        <v>1665</v>
      </c>
      <c r="O125" s="2" t="s">
        <v>144</v>
      </c>
      <c r="Q125" s="2" t="s">
        <v>12</v>
      </c>
      <c r="R125" s="2" t="s">
        <v>1211</v>
      </c>
      <c r="S125" s="1" t="s">
        <v>1666</v>
      </c>
      <c r="T125" s="2" t="s">
        <v>14</v>
      </c>
      <c r="U125" s="3">
        <v>3</v>
      </c>
      <c r="V125" s="3">
        <v>3</v>
      </c>
      <c r="W125" s="4" t="s">
        <v>1460</v>
      </c>
      <c r="X125" s="4" t="s">
        <v>1460</v>
      </c>
      <c r="Y125" s="4" t="s">
        <v>1144</v>
      </c>
      <c r="Z125" s="4" t="s">
        <v>1144</v>
      </c>
      <c r="AA125" s="3">
        <v>253</v>
      </c>
      <c r="AB125" s="3">
        <v>215</v>
      </c>
      <c r="AC125" s="3">
        <v>223</v>
      </c>
      <c r="AD125" s="3">
        <v>2</v>
      </c>
      <c r="AE125" s="3">
        <v>2</v>
      </c>
      <c r="AF125" s="3">
        <v>5</v>
      </c>
      <c r="AG125" s="3">
        <v>5</v>
      </c>
      <c r="AH125" s="3">
        <v>0</v>
      </c>
      <c r="AI125" s="3">
        <v>0</v>
      </c>
      <c r="AJ125" s="3">
        <v>0</v>
      </c>
      <c r="AK125" s="3">
        <v>0</v>
      </c>
      <c r="AL125" s="3">
        <v>4</v>
      </c>
      <c r="AM125" s="3">
        <v>4</v>
      </c>
      <c r="AN125" s="3">
        <v>1</v>
      </c>
      <c r="AO125" s="3">
        <v>1</v>
      </c>
      <c r="AP125" s="3">
        <v>0</v>
      </c>
      <c r="AQ125" s="3">
        <v>0</v>
      </c>
      <c r="AR125" s="2" t="s">
        <v>8</v>
      </c>
      <c r="AS125" s="2" t="s">
        <v>6</v>
      </c>
      <c r="AT125" s="5" t="str">
        <f>HYPERLINK("http://catalog.hathitrust.org/Record/001558040","HathiTrust Record")</f>
        <v>HathiTrust Record</v>
      </c>
      <c r="AU125" s="5" t="str">
        <f>HYPERLINK("https://creighton-primo.hosted.exlibrisgroup.com/primo-explore/search?tab=default_tab&amp;search_scope=EVERYTHING&amp;vid=01CRU&amp;lang=en_US&amp;offset=0&amp;query=any,contains,991001168869702656","Catalog Record")</f>
        <v>Catalog Record</v>
      </c>
      <c r="AV125" s="5" t="str">
        <f>HYPERLINK("http://www.worldcat.org/oclc/88757","WorldCat Record")</f>
        <v>WorldCat Record</v>
      </c>
      <c r="AW125" s="2" t="s">
        <v>1667</v>
      </c>
      <c r="AX125" s="2" t="s">
        <v>1668</v>
      </c>
      <c r="AY125" s="2" t="s">
        <v>1669</v>
      </c>
      <c r="AZ125" s="2" t="s">
        <v>1669</v>
      </c>
      <c r="BA125" s="2" t="s">
        <v>1670</v>
      </c>
      <c r="BB125" s="2" t="s">
        <v>21</v>
      </c>
      <c r="BD125" s="2" t="s">
        <v>1671</v>
      </c>
      <c r="BE125" s="2" t="s">
        <v>1672</v>
      </c>
      <c r="BF125" s="2" t="s">
        <v>1673</v>
      </c>
    </row>
    <row r="126" spans="1:58" ht="42.75" customHeight="1" x14ac:dyDescent="0.25">
      <c r="A126" s="8" t="s">
        <v>8</v>
      </c>
      <c r="B126" s="1" t="s">
        <v>0</v>
      </c>
      <c r="C126" s="1" t="s">
        <v>1</v>
      </c>
      <c r="D126" s="1" t="s">
        <v>1674</v>
      </c>
      <c r="E126" s="1" t="s">
        <v>1675</v>
      </c>
      <c r="F126" s="1" t="s">
        <v>1676</v>
      </c>
      <c r="H126" s="2" t="s">
        <v>8</v>
      </c>
      <c r="I126" s="2" t="s">
        <v>7</v>
      </c>
      <c r="J126" s="2" t="s">
        <v>8</v>
      </c>
      <c r="K126" s="2" t="s">
        <v>8</v>
      </c>
      <c r="L126" s="2" t="s">
        <v>9</v>
      </c>
      <c r="M126" s="1" t="s">
        <v>1677</v>
      </c>
      <c r="N126" s="1" t="s">
        <v>1678</v>
      </c>
      <c r="O126" s="2" t="s">
        <v>1629</v>
      </c>
      <c r="Q126" s="2" t="s">
        <v>12</v>
      </c>
      <c r="R126" s="2" t="s">
        <v>1679</v>
      </c>
      <c r="S126" s="1" t="s">
        <v>1680</v>
      </c>
      <c r="T126" s="2" t="s">
        <v>14</v>
      </c>
      <c r="U126" s="3">
        <v>4</v>
      </c>
      <c r="V126" s="3">
        <v>4</v>
      </c>
      <c r="W126" s="4" t="s">
        <v>975</v>
      </c>
      <c r="X126" s="4" t="s">
        <v>975</v>
      </c>
      <c r="Y126" s="4" t="s">
        <v>1485</v>
      </c>
      <c r="Z126" s="4" t="s">
        <v>1485</v>
      </c>
      <c r="AA126" s="3">
        <v>146</v>
      </c>
      <c r="AB126" s="3">
        <v>116</v>
      </c>
      <c r="AC126" s="3">
        <v>118</v>
      </c>
      <c r="AD126" s="3">
        <v>1</v>
      </c>
      <c r="AE126" s="3">
        <v>1</v>
      </c>
      <c r="AF126" s="3">
        <v>2</v>
      </c>
      <c r="AG126" s="3">
        <v>2</v>
      </c>
      <c r="AH126" s="3">
        <v>1</v>
      </c>
      <c r="AI126" s="3">
        <v>1</v>
      </c>
      <c r="AJ126" s="3">
        <v>0</v>
      </c>
      <c r="AK126" s="3">
        <v>0</v>
      </c>
      <c r="AL126" s="3">
        <v>2</v>
      </c>
      <c r="AM126" s="3">
        <v>2</v>
      </c>
      <c r="AN126" s="3">
        <v>0</v>
      </c>
      <c r="AO126" s="3">
        <v>0</v>
      </c>
      <c r="AP126" s="3">
        <v>0</v>
      </c>
      <c r="AQ126" s="3">
        <v>0</v>
      </c>
      <c r="AR126" s="2" t="s">
        <v>8</v>
      </c>
      <c r="AS126" s="2" t="s">
        <v>6</v>
      </c>
      <c r="AT126" s="5" t="str">
        <f>HYPERLINK("http://catalog.hathitrust.org/Record/000333389","HathiTrust Record")</f>
        <v>HathiTrust Record</v>
      </c>
      <c r="AU126" s="5" t="str">
        <f>HYPERLINK("https://creighton-primo.hosted.exlibrisgroup.com/primo-explore/search?tab=default_tab&amp;search_scope=EVERYTHING&amp;vid=01CRU&amp;lang=en_US&amp;offset=0&amp;query=any,contains,991001170239702656","Catalog Record")</f>
        <v>Catalog Record</v>
      </c>
      <c r="AV126" s="5" t="str">
        <f>HYPERLINK("http://www.worldcat.org/oclc/11468322","WorldCat Record")</f>
        <v>WorldCat Record</v>
      </c>
      <c r="AW126" s="2" t="s">
        <v>1681</v>
      </c>
      <c r="AX126" s="2" t="s">
        <v>1682</v>
      </c>
      <c r="AY126" s="2" t="s">
        <v>1683</v>
      </c>
      <c r="AZ126" s="2" t="s">
        <v>1683</v>
      </c>
      <c r="BA126" s="2" t="s">
        <v>1684</v>
      </c>
      <c r="BB126" s="2" t="s">
        <v>21</v>
      </c>
      <c r="BD126" s="2" t="s">
        <v>1685</v>
      </c>
      <c r="BE126" s="2" t="s">
        <v>1686</v>
      </c>
      <c r="BF126" s="2" t="s">
        <v>1687</v>
      </c>
    </row>
    <row r="127" spans="1:58" ht="42.75" customHeight="1" x14ac:dyDescent="0.25">
      <c r="A127" s="8" t="s">
        <v>8</v>
      </c>
      <c r="B127" s="1" t="s">
        <v>0</v>
      </c>
      <c r="C127" s="1" t="s">
        <v>1</v>
      </c>
      <c r="D127" s="1" t="s">
        <v>1688</v>
      </c>
      <c r="E127" s="1" t="s">
        <v>1689</v>
      </c>
      <c r="F127" s="1" t="s">
        <v>1690</v>
      </c>
      <c r="H127" s="2" t="s">
        <v>8</v>
      </c>
      <c r="I127" s="2" t="s">
        <v>7</v>
      </c>
      <c r="J127" s="2" t="s">
        <v>8</v>
      </c>
      <c r="K127" s="2" t="s">
        <v>8</v>
      </c>
      <c r="L127" s="2" t="s">
        <v>9</v>
      </c>
      <c r="M127" s="1" t="s">
        <v>1691</v>
      </c>
      <c r="N127" s="1" t="s">
        <v>1692</v>
      </c>
      <c r="O127" s="2" t="s">
        <v>252</v>
      </c>
      <c r="Q127" s="2" t="s">
        <v>12</v>
      </c>
      <c r="R127" s="2" t="s">
        <v>13</v>
      </c>
      <c r="S127" s="1" t="s">
        <v>1693</v>
      </c>
      <c r="T127" s="2" t="s">
        <v>14</v>
      </c>
      <c r="U127" s="3">
        <v>9</v>
      </c>
      <c r="V127" s="3">
        <v>9</v>
      </c>
      <c r="W127" s="4" t="s">
        <v>1694</v>
      </c>
      <c r="X127" s="4" t="s">
        <v>1694</v>
      </c>
      <c r="Y127" s="4" t="s">
        <v>1695</v>
      </c>
      <c r="Z127" s="4" t="s">
        <v>1695</v>
      </c>
      <c r="AA127" s="3">
        <v>147</v>
      </c>
      <c r="AB127" s="3">
        <v>108</v>
      </c>
      <c r="AC127" s="3">
        <v>111</v>
      </c>
      <c r="AD127" s="3">
        <v>1</v>
      </c>
      <c r="AE127" s="3">
        <v>1</v>
      </c>
      <c r="AF127" s="3">
        <v>2</v>
      </c>
      <c r="AG127" s="3">
        <v>2</v>
      </c>
      <c r="AH127" s="3">
        <v>0</v>
      </c>
      <c r="AI127" s="3">
        <v>0</v>
      </c>
      <c r="AJ127" s="3">
        <v>0</v>
      </c>
      <c r="AK127" s="3">
        <v>0</v>
      </c>
      <c r="AL127" s="3">
        <v>2</v>
      </c>
      <c r="AM127" s="3">
        <v>2</v>
      </c>
      <c r="AN127" s="3">
        <v>0</v>
      </c>
      <c r="AO127" s="3">
        <v>0</v>
      </c>
      <c r="AP127" s="3">
        <v>0</v>
      </c>
      <c r="AQ127" s="3">
        <v>0</v>
      </c>
      <c r="AR127" s="2" t="s">
        <v>8</v>
      </c>
      <c r="AS127" s="2" t="s">
        <v>6</v>
      </c>
      <c r="AT127" s="5" t="str">
        <f>HYPERLINK("http://catalog.hathitrust.org/Record/005220336","HathiTrust Record")</f>
        <v>HathiTrust Record</v>
      </c>
      <c r="AU127" s="5" t="str">
        <f>HYPERLINK("https://creighton-primo.hosted.exlibrisgroup.com/primo-explore/search?tab=default_tab&amp;search_scope=EVERYTHING&amp;vid=01CRU&amp;lang=en_US&amp;offset=0&amp;query=any,contains,991000815149702656","Catalog Record")</f>
        <v>Catalog Record</v>
      </c>
      <c r="AV127" s="5" t="str">
        <f>HYPERLINK("http://www.worldcat.org/oclc/6603296","WorldCat Record")</f>
        <v>WorldCat Record</v>
      </c>
      <c r="AW127" s="2" t="s">
        <v>1696</v>
      </c>
      <c r="AX127" s="2" t="s">
        <v>1697</v>
      </c>
      <c r="AY127" s="2" t="s">
        <v>1698</v>
      </c>
      <c r="AZ127" s="2" t="s">
        <v>1698</v>
      </c>
      <c r="BA127" s="2" t="s">
        <v>1699</v>
      </c>
      <c r="BB127" s="2" t="s">
        <v>21</v>
      </c>
      <c r="BD127" s="2" t="s">
        <v>1700</v>
      </c>
      <c r="BE127" s="2" t="s">
        <v>1701</v>
      </c>
      <c r="BF127" s="2" t="s">
        <v>1702</v>
      </c>
    </row>
    <row r="128" spans="1:58" ht="42.75" customHeight="1" x14ac:dyDescent="0.25">
      <c r="A128" s="8" t="s">
        <v>8</v>
      </c>
      <c r="B128" s="1" t="s">
        <v>0</v>
      </c>
      <c r="C128" s="1" t="s">
        <v>1</v>
      </c>
      <c r="D128" s="1" t="s">
        <v>1703</v>
      </c>
      <c r="E128" s="1" t="s">
        <v>1704</v>
      </c>
      <c r="F128" s="1" t="s">
        <v>1705</v>
      </c>
      <c r="H128" s="2" t="s">
        <v>8</v>
      </c>
      <c r="I128" s="2" t="s">
        <v>7</v>
      </c>
      <c r="J128" s="2" t="s">
        <v>8</v>
      </c>
      <c r="K128" s="2" t="s">
        <v>8</v>
      </c>
      <c r="L128" s="2" t="s">
        <v>9</v>
      </c>
      <c r="M128" s="1" t="s">
        <v>1706</v>
      </c>
      <c r="N128" s="1" t="s">
        <v>1707</v>
      </c>
      <c r="O128" s="2" t="s">
        <v>51</v>
      </c>
      <c r="Q128" s="2" t="s">
        <v>12</v>
      </c>
      <c r="R128" s="2" t="s">
        <v>34</v>
      </c>
      <c r="T128" s="2" t="s">
        <v>14</v>
      </c>
      <c r="U128" s="3">
        <v>2</v>
      </c>
      <c r="V128" s="3">
        <v>2</v>
      </c>
      <c r="W128" s="4" t="s">
        <v>1708</v>
      </c>
      <c r="X128" s="4" t="s">
        <v>1708</v>
      </c>
      <c r="Y128" s="4" t="s">
        <v>1709</v>
      </c>
      <c r="Z128" s="4" t="s">
        <v>1709</v>
      </c>
      <c r="AA128" s="3">
        <v>101</v>
      </c>
      <c r="AB128" s="3">
        <v>96</v>
      </c>
      <c r="AC128" s="3">
        <v>98</v>
      </c>
      <c r="AD128" s="3">
        <v>1</v>
      </c>
      <c r="AE128" s="3">
        <v>1</v>
      </c>
      <c r="AF128" s="3">
        <v>1</v>
      </c>
      <c r="AG128" s="3">
        <v>1</v>
      </c>
      <c r="AH128" s="3">
        <v>0</v>
      </c>
      <c r="AI128" s="3">
        <v>0</v>
      </c>
      <c r="AJ128" s="3">
        <v>0</v>
      </c>
      <c r="AK128" s="3">
        <v>0</v>
      </c>
      <c r="AL128" s="3">
        <v>1</v>
      </c>
      <c r="AM128" s="3">
        <v>1</v>
      </c>
      <c r="AN128" s="3">
        <v>0</v>
      </c>
      <c r="AO128" s="3">
        <v>0</v>
      </c>
      <c r="AP128" s="3">
        <v>0</v>
      </c>
      <c r="AQ128" s="3">
        <v>0</v>
      </c>
      <c r="AR128" s="2" t="s">
        <v>8</v>
      </c>
      <c r="AS128" s="2" t="s">
        <v>6</v>
      </c>
      <c r="AT128" s="5" t="str">
        <f>HYPERLINK("http://catalog.hathitrust.org/Record/001091126","HathiTrust Record")</f>
        <v>HathiTrust Record</v>
      </c>
      <c r="AU128" s="5" t="str">
        <f>HYPERLINK("https://creighton-primo.hosted.exlibrisgroup.com/primo-explore/search?tab=default_tab&amp;search_scope=EVERYTHING&amp;vid=01CRU&amp;lang=en_US&amp;offset=0&amp;query=any,contains,991001114069702656","Catalog Record")</f>
        <v>Catalog Record</v>
      </c>
      <c r="AV128" s="5" t="str">
        <f>HYPERLINK("http://www.worldcat.org/oclc/17674441","WorldCat Record")</f>
        <v>WorldCat Record</v>
      </c>
      <c r="AW128" s="2" t="s">
        <v>1710</v>
      </c>
      <c r="AX128" s="2" t="s">
        <v>1711</v>
      </c>
      <c r="AY128" s="2" t="s">
        <v>1712</v>
      </c>
      <c r="AZ128" s="2" t="s">
        <v>1712</v>
      </c>
      <c r="BA128" s="2" t="s">
        <v>1713</v>
      </c>
      <c r="BB128" s="2" t="s">
        <v>21</v>
      </c>
      <c r="BD128" s="2" t="s">
        <v>1714</v>
      </c>
      <c r="BE128" s="2" t="s">
        <v>1715</v>
      </c>
      <c r="BF128" s="2" t="s">
        <v>1716</v>
      </c>
    </row>
    <row r="129" spans="1:58" ht="42.75" customHeight="1" x14ac:dyDescent="0.25">
      <c r="A129" s="8" t="s">
        <v>8</v>
      </c>
      <c r="B129" s="1" t="s">
        <v>0</v>
      </c>
      <c r="C129" s="1" t="s">
        <v>1</v>
      </c>
      <c r="D129" s="1" t="s">
        <v>1717</v>
      </c>
      <c r="E129" s="1" t="s">
        <v>1718</v>
      </c>
      <c r="F129" s="1" t="s">
        <v>1719</v>
      </c>
      <c r="H129" s="2" t="s">
        <v>8</v>
      </c>
      <c r="I129" s="2" t="s">
        <v>7</v>
      </c>
      <c r="J129" s="2" t="s">
        <v>8</v>
      </c>
      <c r="K129" s="2" t="s">
        <v>8</v>
      </c>
      <c r="L129" s="2" t="s">
        <v>9</v>
      </c>
      <c r="M129" s="1" t="s">
        <v>1720</v>
      </c>
      <c r="N129" s="1" t="s">
        <v>1721</v>
      </c>
      <c r="O129" s="2" t="s">
        <v>252</v>
      </c>
      <c r="Q129" s="2" t="s">
        <v>12</v>
      </c>
      <c r="R129" s="2" t="s">
        <v>34</v>
      </c>
      <c r="T129" s="2" t="s">
        <v>14</v>
      </c>
      <c r="U129" s="3">
        <v>6</v>
      </c>
      <c r="V129" s="3">
        <v>6</v>
      </c>
      <c r="W129" s="4" t="s">
        <v>1722</v>
      </c>
      <c r="X129" s="4" t="s">
        <v>1722</v>
      </c>
      <c r="Y129" s="4" t="s">
        <v>1485</v>
      </c>
      <c r="Z129" s="4" t="s">
        <v>1485</v>
      </c>
      <c r="AA129" s="3">
        <v>77</v>
      </c>
      <c r="AB129" s="3">
        <v>66</v>
      </c>
      <c r="AC129" s="3">
        <v>68</v>
      </c>
      <c r="AD129" s="3">
        <v>1</v>
      </c>
      <c r="AE129" s="3">
        <v>1</v>
      </c>
      <c r="AF129" s="3">
        <v>1</v>
      </c>
      <c r="AG129" s="3">
        <v>1</v>
      </c>
      <c r="AH129" s="3">
        <v>0</v>
      </c>
      <c r="AI129" s="3">
        <v>0</v>
      </c>
      <c r="AJ129" s="3">
        <v>0</v>
      </c>
      <c r="AK129" s="3">
        <v>0</v>
      </c>
      <c r="AL129" s="3">
        <v>1</v>
      </c>
      <c r="AM129" s="3">
        <v>1</v>
      </c>
      <c r="AN129" s="3">
        <v>0</v>
      </c>
      <c r="AO129" s="3">
        <v>0</v>
      </c>
      <c r="AP129" s="3">
        <v>0</v>
      </c>
      <c r="AQ129" s="3">
        <v>0</v>
      </c>
      <c r="AR129" s="2" t="s">
        <v>8</v>
      </c>
      <c r="AS129" s="2" t="s">
        <v>6</v>
      </c>
      <c r="AT129" s="5" t="str">
        <f>HYPERLINK("http://catalog.hathitrust.org/Record/000772330","HathiTrust Record")</f>
        <v>HathiTrust Record</v>
      </c>
      <c r="AU129" s="5" t="str">
        <f>HYPERLINK("https://creighton-primo.hosted.exlibrisgroup.com/primo-explore/search?tab=default_tab&amp;search_scope=EVERYTHING&amp;vid=01CRU&amp;lang=en_US&amp;offset=0&amp;query=any,contains,991001255799702656","Catalog Record")</f>
        <v>Catalog Record</v>
      </c>
      <c r="AV129" s="5" t="str">
        <f>HYPERLINK("http://www.worldcat.org/oclc/7730946","WorldCat Record")</f>
        <v>WorldCat Record</v>
      </c>
      <c r="AW129" s="2" t="s">
        <v>1723</v>
      </c>
      <c r="AX129" s="2" t="s">
        <v>1724</v>
      </c>
      <c r="AY129" s="2" t="s">
        <v>1725</v>
      </c>
      <c r="AZ129" s="2" t="s">
        <v>1725</v>
      </c>
      <c r="BA129" s="2" t="s">
        <v>1726</v>
      </c>
      <c r="BB129" s="2" t="s">
        <v>21</v>
      </c>
      <c r="BD129" s="2" t="s">
        <v>1727</v>
      </c>
      <c r="BE129" s="2" t="s">
        <v>1728</v>
      </c>
      <c r="BF129" s="2" t="s">
        <v>1729</v>
      </c>
    </row>
    <row r="130" spans="1:58" ht="42.75" customHeight="1" x14ac:dyDescent="0.25">
      <c r="A130" s="8" t="s">
        <v>8</v>
      </c>
      <c r="B130" s="1" t="s">
        <v>0</v>
      </c>
      <c r="C130" s="1" t="s">
        <v>1</v>
      </c>
      <c r="D130" s="1" t="s">
        <v>1730</v>
      </c>
      <c r="E130" s="1" t="s">
        <v>1731</v>
      </c>
      <c r="F130" s="1" t="s">
        <v>1732</v>
      </c>
      <c r="H130" s="2" t="s">
        <v>8</v>
      </c>
      <c r="I130" s="2" t="s">
        <v>7</v>
      </c>
      <c r="J130" s="2" t="s">
        <v>8</v>
      </c>
      <c r="K130" s="2" t="s">
        <v>8</v>
      </c>
      <c r="L130" s="2" t="s">
        <v>9</v>
      </c>
      <c r="M130" s="1" t="s">
        <v>1733</v>
      </c>
      <c r="N130" s="1" t="s">
        <v>1734</v>
      </c>
      <c r="O130" s="2" t="s">
        <v>1629</v>
      </c>
      <c r="Q130" s="2" t="s">
        <v>12</v>
      </c>
      <c r="R130" s="2" t="s">
        <v>1735</v>
      </c>
      <c r="T130" s="2" t="s">
        <v>14</v>
      </c>
      <c r="U130" s="3">
        <v>4</v>
      </c>
      <c r="V130" s="3">
        <v>4</v>
      </c>
      <c r="W130" s="4" t="s">
        <v>1736</v>
      </c>
      <c r="X130" s="4" t="s">
        <v>1736</v>
      </c>
      <c r="Y130" s="4" t="s">
        <v>1485</v>
      </c>
      <c r="Z130" s="4" t="s">
        <v>1485</v>
      </c>
      <c r="AA130" s="3">
        <v>104</v>
      </c>
      <c r="AB130" s="3">
        <v>91</v>
      </c>
      <c r="AC130" s="3">
        <v>93</v>
      </c>
      <c r="AD130" s="3">
        <v>2</v>
      </c>
      <c r="AE130" s="3">
        <v>2</v>
      </c>
      <c r="AF130" s="3">
        <v>4</v>
      </c>
      <c r="AG130" s="3">
        <v>4</v>
      </c>
      <c r="AH130" s="3">
        <v>2</v>
      </c>
      <c r="AI130" s="3">
        <v>2</v>
      </c>
      <c r="AJ130" s="3">
        <v>0</v>
      </c>
      <c r="AK130" s="3">
        <v>0</v>
      </c>
      <c r="AL130" s="3">
        <v>1</v>
      </c>
      <c r="AM130" s="3">
        <v>1</v>
      </c>
      <c r="AN130" s="3">
        <v>1</v>
      </c>
      <c r="AO130" s="3">
        <v>1</v>
      </c>
      <c r="AP130" s="3">
        <v>0</v>
      </c>
      <c r="AQ130" s="3">
        <v>0</v>
      </c>
      <c r="AR130" s="2" t="s">
        <v>8</v>
      </c>
      <c r="AS130" s="2" t="s">
        <v>6</v>
      </c>
      <c r="AT130" s="5" t="str">
        <f>HYPERLINK("http://catalog.hathitrust.org/Record/000460269","HathiTrust Record")</f>
        <v>HathiTrust Record</v>
      </c>
      <c r="AU130" s="5" t="str">
        <f>HYPERLINK("https://creighton-primo.hosted.exlibrisgroup.com/primo-explore/search?tab=default_tab&amp;search_scope=EVERYTHING&amp;vid=01CRU&amp;lang=en_US&amp;offset=0&amp;query=any,contains,991001170049702656","Catalog Record")</f>
        <v>Catalog Record</v>
      </c>
      <c r="AV130" s="5" t="str">
        <f>HYPERLINK("http://www.worldcat.org/oclc/10641658","WorldCat Record")</f>
        <v>WorldCat Record</v>
      </c>
      <c r="AW130" s="2" t="s">
        <v>1737</v>
      </c>
      <c r="AX130" s="2" t="s">
        <v>1738</v>
      </c>
      <c r="AY130" s="2" t="s">
        <v>1739</v>
      </c>
      <c r="AZ130" s="2" t="s">
        <v>1739</v>
      </c>
      <c r="BA130" s="2" t="s">
        <v>1740</v>
      </c>
      <c r="BB130" s="2" t="s">
        <v>21</v>
      </c>
      <c r="BD130" s="2" t="s">
        <v>1741</v>
      </c>
      <c r="BE130" s="2" t="s">
        <v>1742</v>
      </c>
      <c r="BF130" s="2" t="s">
        <v>1743</v>
      </c>
    </row>
    <row r="131" spans="1:58" ht="42.75" customHeight="1" x14ac:dyDescent="0.25">
      <c r="A131" s="8" t="s">
        <v>8</v>
      </c>
      <c r="B131" s="1" t="s">
        <v>0</v>
      </c>
      <c r="C131" s="1" t="s">
        <v>1</v>
      </c>
      <c r="D131" s="1" t="s">
        <v>1744</v>
      </c>
      <c r="E131" s="1" t="s">
        <v>1745</v>
      </c>
      <c r="F131" s="1" t="s">
        <v>1746</v>
      </c>
      <c r="H131" s="2" t="s">
        <v>8</v>
      </c>
      <c r="I131" s="2" t="s">
        <v>7</v>
      </c>
      <c r="J131" s="2" t="s">
        <v>8</v>
      </c>
      <c r="K131" s="2" t="s">
        <v>8</v>
      </c>
      <c r="L131" s="2" t="s">
        <v>9</v>
      </c>
      <c r="M131" s="1" t="s">
        <v>1747</v>
      </c>
      <c r="N131" s="1" t="s">
        <v>1748</v>
      </c>
      <c r="O131" s="2" t="s">
        <v>602</v>
      </c>
      <c r="P131" s="1" t="s">
        <v>1749</v>
      </c>
      <c r="Q131" s="2" t="s">
        <v>12</v>
      </c>
      <c r="R131" s="2" t="s">
        <v>13</v>
      </c>
      <c r="T131" s="2" t="s">
        <v>14</v>
      </c>
      <c r="U131" s="3">
        <v>6</v>
      </c>
      <c r="V131" s="3">
        <v>6</v>
      </c>
      <c r="W131" s="4" t="s">
        <v>1750</v>
      </c>
      <c r="X131" s="4" t="s">
        <v>1750</v>
      </c>
      <c r="Y131" s="4" t="s">
        <v>1751</v>
      </c>
      <c r="Z131" s="4" t="s">
        <v>1751</v>
      </c>
      <c r="AA131" s="3">
        <v>146</v>
      </c>
      <c r="AB131" s="3">
        <v>127</v>
      </c>
      <c r="AC131" s="3">
        <v>507</v>
      </c>
      <c r="AD131" s="3">
        <v>2</v>
      </c>
      <c r="AE131" s="3">
        <v>4</v>
      </c>
      <c r="AF131" s="3">
        <v>0</v>
      </c>
      <c r="AG131" s="3">
        <v>11</v>
      </c>
      <c r="AH131" s="3">
        <v>0</v>
      </c>
      <c r="AI131" s="3">
        <v>5</v>
      </c>
      <c r="AJ131" s="3">
        <v>0</v>
      </c>
      <c r="AK131" s="3">
        <v>2</v>
      </c>
      <c r="AL131" s="3">
        <v>0</v>
      </c>
      <c r="AM131" s="3">
        <v>6</v>
      </c>
      <c r="AN131" s="3">
        <v>0</v>
      </c>
      <c r="AO131" s="3">
        <v>1</v>
      </c>
      <c r="AP131" s="3">
        <v>0</v>
      </c>
      <c r="AQ131" s="3">
        <v>0</v>
      </c>
      <c r="AR131" s="2" t="s">
        <v>8</v>
      </c>
      <c r="AS131" s="2" t="s">
        <v>8</v>
      </c>
      <c r="AU131" s="5" t="str">
        <f>HYPERLINK("https://creighton-primo.hosted.exlibrisgroup.com/primo-explore/search?tab=default_tab&amp;search_scope=EVERYTHING&amp;vid=01CRU&amp;lang=en_US&amp;offset=0&amp;query=any,contains,991001479769702656","Catalog Record")</f>
        <v>Catalog Record</v>
      </c>
      <c r="AV131" s="5" t="str">
        <f>HYPERLINK("http://www.worldcat.org/oclc/22765095","WorldCat Record")</f>
        <v>WorldCat Record</v>
      </c>
      <c r="AW131" s="2" t="s">
        <v>1752</v>
      </c>
      <c r="AX131" s="2" t="s">
        <v>1753</v>
      </c>
      <c r="AY131" s="2" t="s">
        <v>1754</v>
      </c>
      <c r="AZ131" s="2" t="s">
        <v>1754</v>
      </c>
      <c r="BA131" s="2" t="s">
        <v>1755</v>
      </c>
      <c r="BB131" s="2" t="s">
        <v>21</v>
      </c>
      <c r="BD131" s="2" t="s">
        <v>1756</v>
      </c>
      <c r="BE131" s="2" t="s">
        <v>1757</v>
      </c>
      <c r="BF131" s="2" t="s">
        <v>1758</v>
      </c>
    </row>
    <row r="132" spans="1:58" ht="42.75" customHeight="1" x14ac:dyDescent="0.25">
      <c r="A132" s="8" t="s">
        <v>8</v>
      </c>
      <c r="B132" s="1" t="s">
        <v>0</v>
      </c>
      <c r="C132" s="1" t="s">
        <v>1</v>
      </c>
      <c r="D132" s="1" t="s">
        <v>1759</v>
      </c>
      <c r="E132" s="1" t="s">
        <v>1760</v>
      </c>
      <c r="F132" s="1" t="s">
        <v>1761</v>
      </c>
      <c r="H132" s="2" t="s">
        <v>8</v>
      </c>
      <c r="I132" s="2" t="s">
        <v>7</v>
      </c>
      <c r="J132" s="2" t="s">
        <v>8</v>
      </c>
      <c r="K132" s="2" t="s">
        <v>8</v>
      </c>
      <c r="L132" s="2" t="s">
        <v>9</v>
      </c>
      <c r="M132" s="1" t="s">
        <v>1762</v>
      </c>
      <c r="N132" s="1" t="s">
        <v>1763</v>
      </c>
      <c r="O132" s="2" t="s">
        <v>67</v>
      </c>
      <c r="P132" s="1" t="s">
        <v>83</v>
      </c>
      <c r="Q132" s="2" t="s">
        <v>12</v>
      </c>
      <c r="R132" s="2" t="s">
        <v>13</v>
      </c>
      <c r="S132" s="1" t="s">
        <v>1764</v>
      </c>
      <c r="T132" s="2" t="s">
        <v>14</v>
      </c>
      <c r="U132" s="3">
        <v>25</v>
      </c>
      <c r="V132" s="3">
        <v>25</v>
      </c>
      <c r="W132" s="4" t="s">
        <v>1765</v>
      </c>
      <c r="X132" s="4" t="s">
        <v>1765</v>
      </c>
      <c r="Y132" s="4" t="s">
        <v>1766</v>
      </c>
      <c r="Z132" s="4" t="s">
        <v>1766</v>
      </c>
      <c r="AA132" s="3">
        <v>145</v>
      </c>
      <c r="AB132" s="3">
        <v>130</v>
      </c>
      <c r="AC132" s="3">
        <v>261</v>
      </c>
      <c r="AD132" s="3">
        <v>3</v>
      </c>
      <c r="AE132" s="3">
        <v>3</v>
      </c>
      <c r="AF132" s="3">
        <v>2</v>
      </c>
      <c r="AG132" s="3">
        <v>3</v>
      </c>
      <c r="AH132" s="3">
        <v>1</v>
      </c>
      <c r="AI132" s="3">
        <v>1</v>
      </c>
      <c r="AJ132" s="3">
        <v>0</v>
      </c>
      <c r="AK132" s="3">
        <v>0</v>
      </c>
      <c r="AL132" s="3">
        <v>1</v>
      </c>
      <c r="AM132" s="3">
        <v>2</v>
      </c>
      <c r="AN132" s="3">
        <v>0</v>
      </c>
      <c r="AO132" s="3">
        <v>0</v>
      </c>
      <c r="AP132" s="3">
        <v>0</v>
      </c>
      <c r="AQ132" s="3">
        <v>0</v>
      </c>
      <c r="AR132" s="2" t="s">
        <v>8</v>
      </c>
      <c r="AS132" s="2" t="s">
        <v>8</v>
      </c>
      <c r="AU132" s="5" t="str">
        <f>HYPERLINK("https://creighton-primo.hosted.exlibrisgroup.com/primo-explore/search?tab=default_tab&amp;search_scope=EVERYTHING&amp;vid=01CRU&amp;lang=en_US&amp;offset=0&amp;query=any,contains,991000753429702656","Catalog Record")</f>
        <v>Catalog Record</v>
      </c>
      <c r="AV132" s="5" t="str">
        <f>HYPERLINK("http://www.worldcat.org/oclc/10605069","WorldCat Record")</f>
        <v>WorldCat Record</v>
      </c>
      <c r="AW132" s="2" t="s">
        <v>1767</v>
      </c>
      <c r="AX132" s="2" t="s">
        <v>1768</v>
      </c>
      <c r="AY132" s="2" t="s">
        <v>1769</v>
      </c>
      <c r="AZ132" s="2" t="s">
        <v>1769</v>
      </c>
      <c r="BA132" s="2" t="s">
        <v>1770</v>
      </c>
      <c r="BB132" s="2" t="s">
        <v>21</v>
      </c>
      <c r="BD132" s="2" t="s">
        <v>1771</v>
      </c>
      <c r="BE132" s="2" t="s">
        <v>1772</v>
      </c>
      <c r="BF132" s="2" t="s">
        <v>1773</v>
      </c>
    </row>
    <row r="133" spans="1:58" ht="42.75" customHeight="1" x14ac:dyDescent="0.25">
      <c r="A133" s="8" t="s">
        <v>8</v>
      </c>
      <c r="B133" s="1" t="s">
        <v>0</v>
      </c>
      <c r="C133" s="1" t="s">
        <v>1</v>
      </c>
      <c r="D133" s="1" t="s">
        <v>1774</v>
      </c>
      <c r="E133" s="1" t="s">
        <v>1775</v>
      </c>
      <c r="F133" s="1" t="s">
        <v>1776</v>
      </c>
      <c r="H133" s="2" t="s">
        <v>8</v>
      </c>
      <c r="I133" s="2" t="s">
        <v>7</v>
      </c>
      <c r="J133" s="2" t="s">
        <v>8</v>
      </c>
      <c r="K133" s="2" t="s">
        <v>8</v>
      </c>
      <c r="L133" s="2" t="s">
        <v>9</v>
      </c>
      <c r="M133" s="1" t="s">
        <v>1777</v>
      </c>
      <c r="N133" s="1" t="s">
        <v>1778</v>
      </c>
      <c r="O133" s="2" t="s">
        <v>1459</v>
      </c>
      <c r="Q133" s="2" t="s">
        <v>12</v>
      </c>
      <c r="R133" s="2" t="s">
        <v>520</v>
      </c>
      <c r="T133" s="2" t="s">
        <v>14</v>
      </c>
      <c r="U133" s="3">
        <v>1</v>
      </c>
      <c r="V133" s="3">
        <v>1</v>
      </c>
      <c r="W133" s="4" t="s">
        <v>1779</v>
      </c>
      <c r="X133" s="4" t="s">
        <v>1779</v>
      </c>
      <c r="Y133" s="4" t="s">
        <v>1254</v>
      </c>
      <c r="Z133" s="4" t="s">
        <v>1254</v>
      </c>
      <c r="AA133" s="3">
        <v>68</v>
      </c>
      <c r="AB133" s="3">
        <v>63</v>
      </c>
      <c r="AC133" s="3">
        <v>81</v>
      </c>
      <c r="AD133" s="3">
        <v>1</v>
      </c>
      <c r="AE133" s="3">
        <v>1</v>
      </c>
      <c r="AF133" s="3">
        <v>0</v>
      </c>
      <c r="AG133" s="3">
        <v>0</v>
      </c>
      <c r="AH133" s="3">
        <v>0</v>
      </c>
      <c r="AI133" s="3">
        <v>0</v>
      </c>
      <c r="AJ133" s="3">
        <v>0</v>
      </c>
      <c r="AK133" s="3">
        <v>0</v>
      </c>
      <c r="AL133" s="3">
        <v>0</v>
      </c>
      <c r="AM133" s="3">
        <v>0</v>
      </c>
      <c r="AN133" s="3">
        <v>0</v>
      </c>
      <c r="AO133" s="3">
        <v>0</v>
      </c>
      <c r="AP133" s="3">
        <v>0</v>
      </c>
      <c r="AQ133" s="3">
        <v>0</v>
      </c>
      <c r="AR133" s="2" t="s">
        <v>8</v>
      </c>
      <c r="AS133" s="2" t="s">
        <v>6</v>
      </c>
      <c r="AT133" s="5" t="str">
        <f>HYPERLINK("http://catalog.hathitrust.org/Record/001558041","HathiTrust Record")</f>
        <v>HathiTrust Record</v>
      </c>
      <c r="AU133" s="5" t="str">
        <f>HYPERLINK("https://creighton-primo.hosted.exlibrisgroup.com/primo-explore/search?tab=default_tab&amp;search_scope=EVERYTHING&amp;vid=01CRU&amp;lang=en_US&amp;offset=0&amp;query=any,contains,991001169839702656","Catalog Record")</f>
        <v>Catalog Record</v>
      </c>
      <c r="AV133" s="5" t="str">
        <f>HYPERLINK("http://www.worldcat.org/oclc/614353","WorldCat Record")</f>
        <v>WorldCat Record</v>
      </c>
      <c r="AW133" s="2" t="s">
        <v>1780</v>
      </c>
      <c r="AX133" s="2" t="s">
        <v>1781</v>
      </c>
      <c r="AY133" s="2" t="s">
        <v>1782</v>
      </c>
      <c r="AZ133" s="2" t="s">
        <v>1782</v>
      </c>
      <c r="BA133" s="2" t="s">
        <v>1783</v>
      </c>
      <c r="BB133" s="2" t="s">
        <v>21</v>
      </c>
      <c r="BE133" s="2" t="s">
        <v>1784</v>
      </c>
      <c r="BF133" s="2" t="s">
        <v>1785</v>
      </c>
    </row>
    <row r="134" spans="1:58" ht="42.75" customHeight="1" x14ac:dyDescent="0.25">
      <c r="A134" s="8" t="s">
        <v>8</v>
      </c>
      <c r="B134" s="1" t="s">
        <v>0</v>
      </c>
      <c r="C134" s="1" t="s">
        <v>1</v>
      </c>
      <c r="D134" s="1" t="s">
        <v>1786</v>
      </c>
      <c r="E134" s="1" t="s">
        <v>1787</v>
      </c>
      <c r="F134" s="1" t="s">
        <v>1788</v>
      </c>
      <c r="H134" s="2" t="s">
        <v>8</v>
      </c>
      <c r="I134" s="2" t="s">
        <v>7</v>
      </c>
      <c r="J134" s="2" t="s">
        <v>8</v>
      </c>
      <c r="K134" s="2" t="s">
        <v>8</v>
      </c>
      <c r="L134" s="2" t="s">
        <v>9</v>
      </c>
      <c r="M134" s="1" t="s">
        <v>1789</v>
      </c>
      <c r="N134" s="1" t="s">
        <v>1790</v>
      </c>
      <c r="O134" s="2" t="s">
        <v>1791</v>
      </c>
      <c r="Q134" s="2" t="s">
        <v>12</v>
      </c>
      <c r="R134" s="2" t="s">
        <v>13</v>
      </c>
      <c r="T134" s="2" t="s">
        <v>14</v>
      </c>
      <c r="U134" s="3">
        <v>3</v>
      </c>
      <c r="V134" s="3">
        <v>3</v>
      </c>
      <c r="W134" s="4" t="s">
        <v>1792</v>
      </c>
      <c r="X134" s="4" t="s">
        <v>1792</v>
      </c>
      <c r="Y134" s="4" t="s">
        <v>1793</v>
      </c>
      <c r="Z134" s="4" t="s">
        <v>1793</v>
      </c>
      <c r="AA134" s="3">
        <v>98</v>
      </c>
      <c r="AB134" s="3">
        <v>78</v>
      </c>
      <c r="AC134" s="3">
        <v>78</v>
      </c>
      <c r="AD134" s="3">
        <v>2</v>
      </c>
      <c r="AE134" s="3">
        <v>2</v>
      </c>
      <c r="AF134" s="3">
        <v>3</v>
      </c>
      <c r="AG134" s="3">
        <v>3</v>
      </c>
      <c r="AH134" s="3">
        <v>0</v>
      </c>
      <c r="AI134" s="3">
        <v>0</v>
      </c>
      <c r="AJ134" s="3">
        <v>0</v>
      </c>
      <c r="AK134" s="3">
        <v>0</v>
      </c>
      <c r="AL134" s="3">
        <v>3</v>
      </c>
      <c r="AM134" s="3">
        <v>3</v>
      </c>
      <c r="AN134" s="3">
        <v>0</v>
      </c>
      <c r="AO134" s="3">
        <v>0</v>
      </c>
      <c r="AP134" s="3">
        <v>0</v>
      </c>
      <c r="AQ134" s="3">
        <v>0</v>
      </c>
      <c r="AR134" s="2" t="s">
        <v>8</v>
      </c>
      <c r="AS134" s="2" t="s">
        <v>8</v>
      </c>
      <c r="AU134" s="5" t="str">
        <f>HYPERLINK("https://creighton-primo.hosted.exlibrisgroup.com/primo-explore/search?tab=default_tab&amp;search_scope=EVERYTHING&amp;vid=01CRU&amp;lang=en_US&amp;offset=0&amp;query=any,contains,991001043139702656","Catalog Record")</f>
        <v>Catalog Record</v>
      </c>
      <c r="AV134" s="5" t="str">
        <f>HYPERLINK("http://www.worldcat.org/oclc/452103","WorldCat Record")</f>
        <v>WorldCat Record</v>
      </c>
      <c r="AW134" s="2" t="s">
        <v>1794</v>
      </c>
      <c r="AX134" s="2" t="s">
        <v>1795</v>
      </c>
      <c r="AY134" s="2" t="s">
        <v>1796</v>
      </c>
      <c r="AZ134" s="2" t="s">
        <v>1796</v>
      </c>
      <c r="BA134" s="2" t="s">
        <v>1797</v>
      </c>
      <c r="BB134" s="2" t="s">
        <v>21</v>
      </c>
      <c r="BE134" s="2" t="s">
        <v>1798</v>
      </c>
      <c r="BF134" s="2" t="s">
        <v>1799</v>
      </c>
    </row>
    <row r="135" spans="1:58" ht="42.75" customHeight="1" x14ac:dyDescent="0.25">
      <c r="A135" s="8" t="s">
        <v>8</v>
      </c>
      <c r="B135" s="1" t="s">
        <v>0</v>
      </c>
      <c r="C135" s="1" t="s">
        <v>1</v>
      </c>
      <c r="D135" s="1" t="s">
        <v>1800</v>
      </c>
      <c r="E135" s="1" t="s">
        <v>1801</v>
      </c>
      <c r="F135" s="1" t="s">
        <v>1802</v>
      </c>
      <c r="H135" s="2" t="s">
        <v>8</v>
      </c>
      <c r="I135" s="2" t="s">
        <v>7</v>
      </c>
      <c r="J135" s="2" t="s">
        <v>8</v>
      </c>
      <c r="K135" s="2" t="s">
        <v>8</v>
      </c>
      <c r="L135" s="2" t="s">
        <v>7</v>
      </c>
      <c r="N135" s="1" t="s">
        <v>1803</v>
      </c>
      <c r="O135" s="2" t="s">
        <v>907</v>
      </c>
      <c r="Q135" s="2" t="s">
        <v>12</v>
      </c>
      <c r="R135" s="2" t="s">
        <v>1170</v>
      </c>
      <c r="S135" s="1" t="s">
        <v>1804</v>
      </c>
      <c r="T135" s="2" t="s">
        <v>14</v>
      </c>
      <c r="U135" s="3">
        <v>1</v>
      </c>
      <c r="V135" s="3">
        <v>1</v>
      </c>
      <c r="W135" s="4" t="s">
        <v>1805</v>
      </c>
      <c r="X135" s="4" t="s">
        <v>1805</v>
      </c>
      <c r="Y135" s="4" t="s">
        <v>1806</v>
      </c>
      <c r="Z135" s="4" t="s">
        <v>1806</v>
      </c>
      <c r="AA135" s="3">
        <v>128</v>
      </c>
      <c r="AB135" s="3">
        <v>113</v>
      </c>
      <c r="AC135" s="3">
        <v>882</v>
      </c>
      <c r="AD135" s="3">
        <v>1</v>
      </c>
      <c r="AE135" s="3">
        <v>14</v>
      </c>
      <c r="AF135" s="3">
        <v>6</v>
      </c>
      <c r="AG135" s="3">
        <v>35</v>
      </c>
      <c r="AH135" s="3">
        <v>1</v>
      </c>
      <c r="AI135" s="3">
        <v>9</v>
      </c>
      <c r="AJ135" s="3">
        <v>3</v>
      </c>
      <c r="AK135" s="3">
        <v>8</v>
      </c>
      <c r="AL135" s="3">
        <v>3</v>
      </c>
      <c r="AM135" s="3">
        <v>11</v>
      </c>
      <c r="AN135" s="3">
        <v>0</v>
      </c>
      <c r="AO135" s="3">
        <v>12</v>
      </c>
      <c r="AP135" s="3">
        <v>0</v>
      </c>
      <c r="AQ135" s="3">
        <v>1</v>
      </c>
      <c r="AR135" s="2" t="s">
        <v>8</v>
      </c>
      <c r="AS135" s="2" t="s">
        <v>6</v>
      </c>
      <c r="AT135" s="5" t="str">
        <f>HYPERLINK("http://catalog.hathitrust.org/Record/004136014","HathiTrust Record")</f>
        <v>HathiTrust Record</v>
      </c>
      <c r="AU135" s="5" t="str">
        <f>HYPERLINK("https://creighton-primo.hosted.exlibrisgroup.com/primo-explore/search?tab=default_tab&amp;search_scope=EVERYTHING&amp;vid=01CRU&amp;lang=en_US&amp;offset=0&amp;query=any,contains,991000372099702656","Catalog Record")</f>
        <v>Catalog Record</v>
      </c>
      <c r="AV135" s="5" t="str">
        <f>HYPERLINK("http://www.worldcat.org/oclc/43790310","WorldCat Record")</f>
        <v>WorldCat Record</v>
      </c>
      <c r="AW135" s="2" t="s">
        <v>1807</v>
      </c>
      <c r="AX135" s="2" t="s">
        <v>1808</v>
      </c>
      <c r="AY135" s="2" t="s">
        <v>1809</v>
      </c>
      <c r="AZ135" s="2" t="s">
        <v>1809</v>
      </c>
      <c r="BA135" s="2" t="s">
        <v>1810</v>
      </c>
      <c r="BB135" s="2" t="s">
        <v>21</v>
      </c>
      <c r="BD135" s="2" t="s">
        <v>1811</v>
      </c>
      <c r="BE135" s="2" t="s">
        <v>1812</v>
      </c>
      <c r="BF135" s="2" t="s">
        <v>1813</v>
      </c>
    </row>
    <row r="136" spans="1:58" ht="42.75" customHeight="1" x14ac:dyDescent="0.25">
      <c r="A136" s="8" t="s">
        <v>8</v>
      </c>
      <c r="B136" s="1" t="s">
        <v>0</v>
      </c>
      <c r="C136" s="1" t="s">
        <v>1</v>
      </c>
      <c r="D136" s="1" t="s">
        <v>1814</v>
      </c>
      <c r="E136" s="1" t="s">
        <v>1815</v>
      </c>
      <c r="F136" s="1" t="s">
        <v>1816</v>
      </c>
      <c r="H136" s="2" t="s">
        <v>8</v>
      </c>
      <c r="I136" s="2" t="s">
        <v>7</v>
      </c>
      <c r="J136" s="2" t="s">
        <v>8</v>
      </c>
      <c r="K136" s="2" t="s">
        <v>8</v>
      </c>
      <c r="L136" s="2" t="s">
        <v>9</v>
      </c>
      <c r="N136" s="1" t="s">
        <v>1817</v>
      </c>
      <c r="O136" s="2" t="s">
        <v>907</v>
      </c>
      <c r="Q136" s="2" t="s">
        <v>12</v>
      </c>
      <c r="R136" s="2" t="s">
        <v>577</v>
      </c>
      <c r="T136" s="2" t="s">
        <v>14</v>
      </c>
      <c r="U136" s="3">
        <v>1</v>
      </c>
      <c r="V136" s="3">
        <v>1</v>
      </c>
      <c r="W136" s="4" t="s">
        <v>1818</v>
      </c>
      <c r="X136" s="4" t="s">
        <v>1818</v>
      </c>
      <c r="Y136" s="4" t="s">
        <v>1819</v>
      </c>
      <c r="Z136" s="4" t="s">
        <v>1819</v>
      </c>
      <c r="AA136" s="3">
        <v>76</v>
      </c>
      <c r="AB136" s="3">
        <v>50</v>
      </c>
      <c r="AC136" s="3">
        <v>744</v>
      </c>
      <c r="AD136" s="3">
        <v>1</v>
      </c>
      <c r="AE136" s="3">
        <v>2</v>
      </c>
      <c r="AF136" s="3">
        <v>3</v>
      </c>
      <c r="AG136" s="3">
        <v>14</v>
      </c>
      <c r="AH136" s="3">
        <v>2</v>
      </c>
      <c r="AI136" s="3">
        <v>10</v>
      </c>
      <c r="AJ136" s="3">
        <v>1</v>
      </c>
      <c r="AK136" s="3">
        <v>3</v>
      </c>
      <c r="AL136" s="3">
        <v>0</v>
      </c>
      <c r="AM136" s="3">
        <v>3</v>
      </c>
      <c r="AN136" s="3">
        <v>0</v>
      </c>
      <c r="AO136" s="3">
        <v>0</v>
      </c>
      <c r="AP136" s="3">
        <v>0</v>
      </c>
      <c r="AQ136" s="3">
        <v>0</v>
      </c>
      <c r="AR136" s="2" t="s">
        <v>8</v>
      </c>
      <c r="AS136" s="2" t="s">
        <v>8</v>
      </c>
      <c r="AU136" s="5" t="str">
        <f>HYPERLINK("https://creighton-primo.hosted.exlibrisgroup.com/primo-explore/search?tab=default_tab&amp;search_scope=EVERYTHING&amp;vid=01CRU&amp;lang=en_US&amp;offset=0&amp;query=any,contains,991000330929702656","Catalog Record")</f>
        <v>Catalog Record</v>
      </c>
      <c r="AV136" s="5" t="str">
        <f>HYPERLINK("http://www.worldcat.org/oclc/42682713","WorldCat Record")</f>
        <v>WorldCat Record</v>
      </c>
      <c r="AW136" s="2" t="s">
        <v>1820</v>
      </c>
      <c r="AX136" s="2" t="s">
        <v>1821</v>
      </c>
      <c r="AY136" s="2" t="s">
        <v>1822</v>
      </c>
      <c r="AZ136" s="2" t="s">
        <v>1822</v>
      </c>
      <c r="BA136" s="2" t="s">
        <v>1823</v>
      </c>
      <c r="BB136" s="2" t="s">
        <v>21</v>
      </c>
      <c r="BD136" s="2" t="s">
        <v>1824</v>
      </c>
      <c r="BE136" s="2" t="s">
        <v>1825</v>
      </c>
      <c r="BF136" s="2" t="s">
        <v>1826</v>
      </c>
    </row>
    <row r="137" spans="1:58" ht="42.75" customHeight="1" x14ac:dyDescent="0.25">
      <c r="A137" s="8" t="s">
        <v>8</v>
      </c>
      <c r="B137" s="1" t="s">
        <v>0</v>
      </c>
      <c r="C137" s="1" t="s">
        <v>1</v>
      </c>
      <c r="D137" s="1" t="s">
        <v>1827</v>
      </c>
      <c r="E137" s="1" t="s">
        <v>1828</v>
      </c>
      <c r="F137" s="1" t="s">
        <v>1829</v>
      </c>
      <c r="H137" s="2" t="s">
        <v>8</v>
      </c>
      <c r="I137" s="2" t="s">
        <v>7</v>
      </c>
      <c r="J137" s="2" t="s">
        <v>8</v>
      </c>
      <c r="K137" s="2" t="s">
        <v>8</v>
      </c>
      <c r="L137" s="2" t="s">
        <v>9</v>
      </c>
      <c r="N137" s="1" t="s">
        <v>1830</v>
      </c>
      <c r="O137" s="2" t="s">
        <v>830</v>
      </c>
      <c r="Q137" s="2" t="s">
        <v>12</v>
      </c>
      <c r="R137" s="2" t="s">
        <v>643</v>
      </c>
      <c r="T137" s="2" t="s">
        <v>14</v>
      </c>
      <c r="U137" s="3">
        <v>0</v>
      </c>
      <c r="V137" s="3">
        <v>0</v>
      </c>
      <c r="W137" s="4" t="s">
        <v>1831</v>
      </c>
      <c r="X137" s="4" t="s">
        <v>1831</v>
      </c>
      <c r="Y137" s="4" t="s">
        <v>1831</v>
      </c>
      <c r="Z137" s="4" t="s">
        <v>1831</v>
      </c>
      <c r="AA137" s="3">
        <v>101</v>
      </c>
      <c r="AB137" s="3">
        <v>55</v>
      </c>
      <c r="AC137" s="3">
        <v>165</v>
      </c>
      <c r="AD137" s="3">
        <v>1</v>
      </c>
      <c r="AE137" s="3">
        <v>3</v>
      </c>
      <c r="AF137" s="3">
        <v>0</v>
      </c>
      <c r="AG137" s="3">
        <v>3</v>
      </c>
      <c r="AH137" s="3">
        <v>0</v>
      </c>
      <c r="AI137" s="3">
        <v>1</v>
      </c>
      <c r="AJ137" s="3">
        <v>0</v>
      </c>
      <c r="AK137" s="3">
        <v>0</v>
      </c>
      <c r="AL137" s="3">
        <v>0</v>
      </c>
      <c r="AM137" s="3">
        <v>0</v>
      </c>
      <c r="AN137" s="3">
        <v>0</v>
      </c>
      <c r="AO137" s="3">
        <v>2</v>
      </c>
      <c r="AP137" s="3">
        <v>0</v>
      </c>
      <c r="AQ137" s="3">
        <v>0</v>
      </c>
      <c r="AR137" s="2" t="s">
        <v>8</v>
      </c>
      <c r="AS137" s="2" t="s">
        <v>8</v>
      </c>
      <c r="AU137" s="5" t="str">
        <f>HYPERLINK("https://creighton-primo.hosted.exlibrisgroup.com/primo-explore/search?tab=default_tab&amp;search_scope=EVERYTHING&amp;vid=01CRU&amp;lang=en_US&amp;offset=0&amp;query=any,contains,991000382209702656","Catalog Record")</f>
        <v>Catalog Record</v>
      </c>
      <c r="AV137" s="5" t="str">
        <f>HYPERLINK("http://www.worldcat.org/oclc/54366305","WorldCat Record")</f>
        <v>WorldCat Record</v>
      </c>
      <c r="AW137" s="2" t="s">
        <v>1832</v>
      </c>
      <c r="AX137" s="2" t="s">
        <v>1833</v>
      </c>
      <c r="AY137" s="2" t="s">
        <v>1834</v>
      </c>
      <c r="AZ137" s="2" t="s">
        <v>1834</v>
      </c>
      <c r="BA137" s="2" t="s">
        <v>1835</v>
      </c>
      <c r="BB137" s="2" t="s">
        <v>21</v>
      </c>
      <c r="BD137" s="2" t="s">
        <v>1836</v>
      </c>
      <c r="BE137" s="2" t="s">
        <v>1837</v>
      </c>
      <c r="BF137" s="2" t="s">
        <v>1838</v>
      </c>
    </row>
    <row r="138" spans="1:58" ht="42.75" customHeight="1" x14ac:dyDescent="0.25">
      <c r="A138" s="8" t="s">
        <v>8</v>
      </c>
      <c r="B138" s="1" t="s">
        <v>0</v>
      </c>
      <c r="C138" s="1" t="s">
        <v>1</v>
      </c>
      <c r="D138" s="1" t="s">
        <v>1839</v>
      </c>
      <c r="E138" s="1" t="s">
        <v>1840</v>
      </c>
      <c r="F138" s="1" t="s">
        <v>1841</v>
      </c>
      <c r="H138" s="2" t="s">
        <v>8</v>
      </c>
      <c r="I138" s="2" t="s">
        <v>7</v>
      </c>
      <c r="J138" s="2" t="s">
        <v>6</v>
      </c>
      <c r="K138" s="2" t="s">
        <v>8</v>
      </c>
      <c r="L138" s="2" t="s">
        <v>9</v>
      </c>
      <c r="M138" s="1" t="s">
        <v>1842</v>
      </c>
      <c r="N138" s="1" t="s">
        <v>1843</v>
      </c>
      <c r="O138" s="2" t="s">
        <v>410</v>
      </c>
      <c r="Q138" s="2" t="s">
        <v>12</v>
      </c>
      <c r="R138" s="2" t="s">
        <v>1844</v>
      </c>
      <c r="T138" s="2" t="s">
        <v>14</v>
      </c>
      <c r="U138" s="3">
        <v>7</v>
      </c>
      <c r="V138" s="3">
        <v>8</v>
      </c>
      <c r="W138" s="4" t="s">
        <v>1447</v>
      </c>
      <c r="X138" s="4" t="s">
        <v>1845</v>
      </c>
      <c r="Y138" s="4" t="s">
        <v>1846</v>
      </c>
      <c r="Z138" s="4" t="s">
        <v>1847</v>
      </c>
      <c r="AA138" s="3">
        <v>56</v>
      </c>
      <c r="AB138" s="3">
        <v>52</v>
      </c>
      <c r="AC138" s="3">
        <v>59</v>
      </c>
      <c r="AD138" s="3">
        <v>2</v>
      </c>
      <c r="AE138" s="3">
        <v>2</v>
      </c>
      <c r="AF138" s="3">
        <v>3</v>
      </c>
      <c r="AG138" s="3">
        <v>3</v>
      </c>
      <c r="AH138" s="3">
        <v>1</v>
      </c>
      <c r="AI138" s="3">
        <v>1</v>
      </c>
      <c r="AJ138" s="3">
        <v>0</v>
      </c>
      <c r="AK138" s="3">
        <v>0</v>
      </c>
      <c r="AL138" s="3">
        <v>1</v>
      </c>
      <c r="AM138" s="3">
        <v>1</v>
      </c>
      <c r="AN138" s="3">
        <v>1</v>
      </c>
      <c r="AO138" s="3">
        <v>1</v>
      </c>
      <c r="AP138" s="3">
        <v>0</v>
      </c>
      <c r="AQ138" s="3">
        <v>0</v>
      </c>
      <c r="AR138" s="2" t="s">
        <v>8</v>
      </c>
      <c r="AS138" s="2" t="s">
        <v>6</v>
      </c>
      <c r="AT138" s="5" t="str">
        <f>HYPERLINK("http://catalog.hathitrust.org/Record/005417091","HathiTrust Record")</f>
        <v>HathiTrust Record</v>
      </c>
      <c r="AU138" s="5" t="str">
        <f>HYPERLINK("https://creighton-primo.hosted.exlibrisgroup.com/primo-explore/search?tab=default_tab&amp;search_scope=EVERYTHING&amp;vid=01CRU&amp;lang=en_US&amp;offset=0&amp;query=any,contains,991001504699702656","Catalog Record")</f>
        <v>Catalog Record</v>
      </c>
      <c r="AV138" s="5" t="str">
        <f>HYPERLINK("http://www.worldcat.org/oclc/29892365","WorldCat Record")</f>
        <v>WorldCat Record</v>
      </c>
      <c r="AW138" s="2" t="s">
        <v>1848</v>
      </c>
      <c r="AX138" s="2" t="s">
        <v>1849</v>
      </c>
      <c r="AY138" s="2" t="s">
        <v>1850</v>
      </c>
      <c r="AZ138" s="2" t="s">
        <v>1850</v>
      </c>
      <c r="BA138" s="2" t="s">
        <v>1851</v>
      </c>
      <c r="BB138" s="2" t="s">
        <v>21</v>
      </c>
      <c r="BE138" s="2" t="s">
        <v>1852</v>
      </c>
      <c r="BF138" s="2" t="s">
        <v>1853</v>
      </c>
    </row>
    <row r="139" spans="1:58" ht="42.75" customHeight="1" x14ac:dyDescent="0.25">
      <c r="A139" s="8" t="s">
        <v>8</v>
      </c>
      <c r="B139" s="1" t="s">
        <v>0</v>
      </c>
      <c r="C139" s="1" t="s">
        <v>1</v>
      </c>
      <c r="D139" s="1" t="s">
        <v>1839</v>
      </c>
      <c r="E139" s="1" t="s">
        <v>1840</v>
      </c>
      <c r="F139" s="1" t="s">
        <v>1841</v>
      </c>
      <c r="H139" s="2" t="s">
        <v>8</v>
      </c>
      <c r="I139" s="2" t="s">
        <v>885</v>
      </c>
      <c r="J139" s="2" t="s">
        <v>6</v>
      </c>
      <c r="K139" s="2" t="s">
        <v>8</v>
      </c>
      <c r="L139" s="2" t="s">
        <v>9</v>
      </c>
      <c r="M139" s="1" t="s">
        <v>1842</v>
      </c>
      <c r="N139" s="1" t="s">
        <v>1843</v>
      </c>
      <c r="O139" s="2" t="s">
        <v>410</v>
      </c>
      <c r="Q139" s="2" t="s">
        <v>12</v>
      </c>
      <c r="R139" s="2" t="s">
        <v>1844</v>
      </c>
      <c r="T139" s="2" t="s">
        <v>14</v>
      </c>
      <c r="U139" s="3">
        <v>1</v>
      </c>
      <c r="V139" s="3">
        <v>8</v>
      </c>
      <c r="W139" s="4" t="s">
        <v>1845</v>
      </c>
      <c r="X139" s="4" t="s">
        <v>1845</v>
      </c>
      <c r="Y139" s="4" t="s">
        <v>1847</v>
      </c>
      <c r="Z139" s="4" t="s">
        <v>1847</v>
      </c>
      <c r="AA139" s="3">
        <v>56</v>
      </c>
      <c r="AB139" s="3">
        <v>52</v>
      </c>
      <c r="AC139" s="3">
        <v>59</v>
      </c>
      <c r="AD139" s="3">
        <v>2</v>
      </c>
      <c r="AE139" s="3">
        <v>2</v>
      </c>
      <c r="AF139" s="3">
        <v>3</v>
      </c>
      <c r="AG139" s="3">
        <v>3</v>
      </c>
      <c r="AH139" s="3">
        <v>1</v>
      </c>
      <c r="AI139" s="3">
        <v>1</v>
      </c>
      <c r="AJ139" s="3">
        <v>0</v>
      </c>
      <c r="AK139" s="3">
        <v>0</v>
      </c>
      <c r="AL139" s="3">
        <v>1</v>
      </c>
      <c r="AM139" s="3">
        <v>1</v>
      </c>
      <c r="AN139" s="3">
        <v>1</v>
      </c>
      <c r="AO139" s="3">
        <v>1</v>
      </c>
      <c r="AP139" s="3">
        <v>0</v>
      </c>
      <c r="AQ139" s="3">
        <v>0</v>
      </c>
      <c r="AR139" s="2" t="s">
        <v>8</v>
      </c>
      <c r="AS139" s="2" t="s">
        <v>6</v>
      </c>
      <c r="AT139" s="5" t="str">
        <f>HYPERLINK("http://catalog.hathitrust.org/Record/005417091","HathiTrust Record")</f>
        <v>HathiTrust Record</v>
      </c>
      <c r="AU139" s="5" t="str">
        <f>HYPERLINK("https://creighton-primo.hosted.exlibrisgroup.com/primo-explore/search?tab=default_tab&amp;search_scope=EVERYTHING&amp;vid=01CRU&amp;lang=en_US&amp;offset=0&amp;query=any,contains,991001504699702656","Catalog Record")</f>
        <v>Catalog Record</v>
      </c>
      <c r="AV139" s="5" t="str">
        <f>HYPERLINK("http://www.worldcat.org/oclc/29892365","WorldCat Record")</f>
        <v>WorldCat Record</v>
      </c>
      <c r="AW139" s="2" t="s">
        <v>1848</v>
      </c>
      <c r="AX139" s="2" t="s">
        <v>1849</v>
      </c>
      <c r="AY139" s="2" t="s">
        <v>1850</v>
      </c>
      <c r="AZ139" s="2" t="s">
        <v>1850</v>
      </c>
      <c r="BA139" s="2" t="s">
        <v>1851</v>
      </c>
      <c r="BB139" s="2" t="s">
        <v>21</v>
      </c>
      <c r="BE139" s="2" t="s">
        <v>1854</v>
      </c>
      <c r="BF139" s="2" t="s">
        <v>1855</v>
      </c>
    </row>
    <row r="140" spans="1:58" ht="42.75" customHeight="1" x14ac:dyDescent="0.25">
      <c r="A140" s="8" t="s">
        <v>8</v>
      </c>
      <c r="B140" s="1" t="s">
        <v>0</v>
      </c>
      <c r="C140" s="1" t="s">
        <v>1</v>
      </c>
      <c r="D140" s="1" t="s">
        <v>1856</v>
      </c>
      <c r="E140" s="1" t="s">
        <v>1857</v>
      </c>
      <c r="F140" s="1" t="s">
        <v>1858</v>
      </c>
      <c r="H140" s="2" t="s">
        <v>8</v>
      </c>
      <c r="I140" s="2" t="s">
        <v>7</v>
      </c>
      <c r="J140" s="2" t="s">
        <v>8</v>
      </c>
      <c r="K140" s="2" t="s">
        <v>8</v>
      </c>
      <c r="L140" s="2" t="s">
        <v>9</v>
      </c>
      <c r="M140" s="1" t="s">
        <v>1842</v>
      </c>
      <c r="N140" s="1" t="s">
        <v>1859</v>
      </c>
      <c r="O140" s="2" t="s">
        <v>602</v>
      </c>
      <c r="Q140" s="2" t="s">
        <v>12</v>
      </c>
      <c r="R140" s="2" t="s">
        <v>13</v>
      </c>
      <c r="T140" s="2" t="s">
        <v>14</v>
      </c>
      <c r="U140" s="3">
        <v>7</v>
      </c>
      <c r="V140" s="3">
        <v>7</v>
      </c>
      <c r="W140" s="4" t="s">
        <v>1315</v>
      </c>
      <c r="X140" s="4" t="s">
        <v>1315</v>
      </c>
      <c r="Y140" s="4" t="s">
        <v>1860</v>
      </c>
      <c r="Z140" s="4" t="s">
        <v>1860</v>
      </c>
      <c r="AA140" s="3">
        <v>37</v>
      </c>
      <c r="AB140" s="3">
        <v>34</v>
      </c>
      <c r="AC140" s="3">
        <v>34</v>
      </c>
      <c r="AD140" s="3">
        <v>1</v>
      </c>
      <c r="AE140" s="3">
        <v>1</v>
      </c>
      <c r="AF140" s="3">
        <v>0</v>
      </c>
      <c r="AG140" s="3">
        <v>0</v>
      </c>
      <c r="AH140" s="3">
        <v>0</v>
      </c>
      <c r="AI140" s="3">
        <v>0</v>
      </c>
      <c r="AJ140" s="3">
        <v>0</v>
      </c>
      <c r="AK140" s="3">
        <v>0</v>
      </c>
      <c r="AL140" s="3">
        <v>0</v>
      </c>
      <c r="AM140" s="3">
        <v>0</v>
      </c>
      <c r="AN140" s="3">
        <v>0</v>
      </c>
      <c r="AO140" s="3">
        <v>0</v>
      </c>
      <c r="AP140" s="3">
        <v>0</v>
      </c>
      <c r="AQ140" s="3">
        <v>0</v>
      </c>
      <c r="AR140" s="2" t="s">
        <v>8</v>
      </c>
      <c r="AS140" s="2" t="s">
        <v>8</v>
      </c>
      <c r="AU140" s="5" t="str">
        <f>HYPERLINK("https://creighton-primo.hosted.exlibrisgroup.com/primo-explore/search?tab=default_tab&amp;search_scope=EVERYTHING&amp;vid=01CRU&amp;lang=en_US&amp;offset=0&amp;query=any,contains,991000934349702656","Catalog Record")</f>
        <v>Catalog Record</v>
      </c>
      <c r="AV140" s="5" t="str">
        <f>HYPERLINK("http://www.worldcat.org/oclc/23049447","WorldCat Record")</f>
        <v>WorldCat Record</v>
      </c>
      <c r="AW140" s="2" t="s">
        <v>1861</v>
      </c>
      <c r="AX140" s="2" t="s">
        <v>1862</v>
      </c>
      <c r="AY140" s="2" t="s">
        <v>1863</v>
      </c>
      <c r="AZ140" s="2" t="s">
        <v>1863</v>
      </c>
      <c r="BA140" s="2" t="s">
        <v>1864</v>
      </c>
      <c r="BB140" s="2" t="s">
        <v>21</v>
      </c>
      <c r="BD140" s="2" t="s">
        <v>1865</v>
      </c>
      <c r="BE140" s="2" t="s">
        <v>1866</v>
      </c>
      <c r="BF140" s="2" t="s">
        <v>1867</v>
      </c>
    </row>
    <row r="141" spans="1:58" ht="42.75" customHeight="1" x14ac:dyDescent="0.25">
      <c r="A141" s="8" t="s">
        <v>8</v>
      </c>
      <c r="B141" s="1" t="s">
        <v>0</v>
      </c>
      <c r="C141" s="1" t="s">
        <v>1</v>
      </c>
      <c r="D141" s="1" t="s">
        <v>1868</v>
      </c>
      <c r="E141" s="1" t="s">
        <v>1869</v>
      </c>
      <c r="F141" s="1" t="s">
        <v>1870</v>
      </c>
      <c r="H141" s="2" t="s">
        <v>8</v>
      </c>
      <c r="I141" s="2" t="s">
        <v>7</v>
      </c>
      <c r="J141" s="2" t="s">
        <v>8</v>
      </c>
      <c r="K141" s="2" t="s">
        <v>8</v>
      </c>
      <c r="L141" s="2" t="s">
        <v>9</v>
      </c>
      <c r="M141" s="1" t="s">
        <v>1871</v>
      </c>
      <c r="N141" s="1" t="s">
        <v>1872</v>
      </c>
      <c r="O141" s="2" t="s">
        <v>128</v>
      </c>
      <c r="Q141" s="2" t="s">
        <v>12</v>
      </c>
      <c r="R141" s="2" t="s">
        <v>1873</v>
      </c>
      <c r="T141" s="2" t="s">
        <v>14</v>
      </c>
      <c r="U141" s="3">
        <v>1</v>
      </c>
      <c r="V141" s="3">
        <v>1</v>
      </c>
      <c r="W141" s="4" t="s">
        <v>1874</v>
      </c>
      <c r="X141" s="4" t="s">
        <v>1874</v>
      </c>
      <c r="Y141" s="4" t="s">
        <v>1874</v>
      </c>
      <c r="Z141" s="4" t="s">
        <v>1874</v>
      </c>
      <c r="AA141" s="3">
        <v>7</v>
      </c>
      <c r="AB141" s="3">
        <v>7</v>
      </c>
      <c r="AC141" s="3">
        <v>7</v>
      </c>
      <c r="AD141" s="3">
        <v>1</v>
      </c>
      <c r="AE141" s="3">
        <v>1</v>
      </c>
      <c r="AF141" s="3">
        <v>1</v>
      </c>
      <c r="AG141" s="3">
        <v>1</v>
      </c>
      <c r="AH141" s="3">
        <v>0</v>
      </c>
      <c r="AI141" s="3">
        <v>0</v>
      </c>
      <c r="AJ141" s="3">
        <v>0</v>
      </c>
      <c r="AK141" s="3">
        <v>0</v>
      </c>
      <c r="AL141" s="3">
        <v>1</v>
      </c>
      <c r="AM141" s="3">
        <v>1</v>
      </c>
      <c r="AN141" s="3">
        <v>0</v>
      </c>
      <c r="AO141" s="3">
        <v>0</v>
      </c>
      <c r="AP141" s="3">
        <v>0</v>
      </c>
      <c r="AQ141" s="3">
        <v>0</v>
      </c>
      <c r="AR141" s="2" t="s">
        <v>8</v>
      </c>
      <c r="AS141" s="2" t="s">
        <v>8</v>
      </c>
      <c r="AU141" s="5" t="str">
        <f>HYPERLINK("https://creighton-primo.hosted.exlibrisgroup.com/primo-explore/search?tab=default_tab&amp;search_scope=EVERYTHING&amp;vid=01CRU&amp;lang=en_US&amp;offset=0&amp;query=any,contains,991000945029702656","Catalog Record")</f>
        <v>Catalog Record</v>
      </c>
      <c r="AV141" s="5" t="str">
        <f>HYPERLINK("http://www.worldcat.org/oclc/6857332","WorldCat Record")</f>
        <v>WorldCat Record</v>
      </c>
      <c r="AW141" s="2" t="s">
        <v>1875</v>
      </c>
      <c r="AX141" s="2" t="s">
        <v>1876</v>
      </c>
      <c r="AY141" s="2" t="s">
        <v>1877</v>
      </c>
      <c r="AZ141" s="2" t="s">
        <v>1877</v>
      </c>
      <c r="BA141" s="2" t="s">
        <v>1878</v>
      </c>
      <c r="BB141" s="2" t="s">
        <v>21</v>
      </c>
      <c r="BE141" s="2" t="s">
        <v>1879</v>
      </c>
      <c r="BF141" s="2" t="s">
        <v>1880</v>
      </c>
    </row>
    <row r="142" spans="1:58" ht="42.75" customHeight="1" x14ac:dyDescent="0.25">
      <c r="A142" s="8" t="s">
        <v>8</v>
      </c>
      <c r="B142" s="1" t="s">
        <v>0</v>
      </c>
      <c r="C142" s="1" t="s">
        <v>1</v>
      </c>
      <c r="D142" s="1" t="s">
        <v>1881</v>
      </c>
      <c r="E142" s="1" t="s">
        <v>1882</v>
      </c>
      <c r="F142" s="1" t="s">
        <v>1883</v>
      </c>
      <c r="H142" s="2" t="s">
        <v>8</v>
      </c>
      <c r="I142" s="2" t="s">
        <v>7</v>
      </c>
      <c r="J142" s="2" t="s">
        <v>6</v>
      </c>
      <c r="K142" s="2" t="s">
        <v>8</v>
      </c>
      <c r="L142" s="2" t="s">
        <v>9</v>
      </c>
      <c r="M142" s="1" t="s">
        <v>1884</v>
      </c>
      <c r="N142" s="1" t="s">
        <v>1885</v>
      </c>
      <c r="O142" s="2" t="s">
        <v>67</v>
      </c>
      <c r="Q142" s="2" t="s">
        <v>12</v>
      </c>
      <c r="R142" s="2" t="s">
        <v>34</v>
      </c>
      <c r="T142" s="2" t="s">
        <v>14</v>
      </c>
      <c r="U142" s="3">
        <v>17</v>
      </c>
      <c r="V142" s="3">
        <v>17</v>
      </c>
      <c r="W142" s="4" t="s">
        <v>1886</v>
      </c>
      <c r="X142" s="4" t="s">
        <v>1886</v>
      </c>
      <c r="Y142" s="4" t="s">
        <v>1485</v>
      </c>
      <c r="Z142" s="4" t="s">
        <v>1485</v>
      </c>
      <c r="AA142" s="3">
        <v>126</v>
      </c>
      <c r="AB142" s="3">
        <v>114</v>
      </c>
      <c r="AC142" s="3">
        <v>206</v>
      </c>
      <c r="AD142" s="3">
        <v>2</v>
      </c>
      <c r="AE142" s="3">
        <v>2</v>
      </c>
      <c r="AF142" s="3">
        <v>1</v>
      </c>
      <c r="AG142" s="3">
        <v>3</v>
      </c>
      <c r="AH142" s="3">
        <v>0</v>
      </c>
      <c r="AI142" s="3">
        <v>2</v>
      </c>
      <c r="AJ142" s="3">
        <v>0</v>
      </c>
      <c r="AK142" s="3">
        <v>0</v>
      </c>
      <c r="AL142" s="3">
        <v>1</v>
      </c>
      <c r="AM142" s="3">
        <v>2</v>
      </c>
      <c r="AN142" s="3">
        <v>0</v>
      </c>
      <c r="AO142" s="3">
        <v>0</v>
      </c>
      <c r="AP142" s="3">
        <v>0</v>
      </c>
      <c r="AQ142" s="3">
        <v>0</v>
      </c>
      <c r="AR142" s="2" t="s">
        <v>8</v>
      </c>
      <c r="AS142" s="2" t="s">
        <v>8</v>
      </c>
      <c r="AU142" s="5" t="str">
        <f>HYPERLINK("https://creighton-primo.hosted.exlibrisgroup.com/primo-explore/search?tab=default_tab&amp;search_scope=EVERYTHING&amp;vid=01CRU&amp;lang=en_US&amp;offset=0&amp;query=any,contains,991001170569702656","Catalog Record")</f>
        <v>Catalog Record</v>
      </c>
      <c r="AV142" s="5" t="str">
        <f>HYPERLINK("http://www.worldcat.org/oclc/12188797","WorldCat Record")</f>
        <v>WorldCat Record</v>
      </c>
      <c r="AW142" s="2" t="s">
        <v>1887</v>
      </c>
      <c r="AX142" s="2" t="s">
        <v>1888</v>
      </c>
      <c r="AY142" s="2" t="s">
        <v>1889</v>
      </c>
      <c r="AZ142" s="2" t="s">
        <v>1889</v>
      </c>
      <c r="BA142" s="2" t="s">
        <v>1890</v>
      </c>
      <c r="BB142" s="2" t="s">
        <v>21</v>
      </c>
      <c r="BD142" s="2" t="s">
        <v>1891</v>
      </c>
      <c r="BE142" s="2" t="s">
        <v>1892</v>
      </c>
      <c r="BF142" s="2" t="s">
        <v>1893</v>
      </c>
    </row>
    <row r="143" spans="1:58" ht="42.75" customHeight="1" x14ac:dyDescent="0.25">
      <c r="A143" s="8" t="s">
        <v>8</v>
      </c>
      <c r="B143" s="1" t="s">
        <v>0</v>
      </c>
      <c r="C143" s="1" t="s">
        <v>1</v>
      </c>
      <c r="D143" s="1" t="s">
        <v>1894</v>
      </c>
      <c r="E143" s="1" t="s">
        <v>1895</v>
      </c>
      <c r="F143" s="1" t="s">
        <v>1896</v>
      </c>
      <c r="H143" s="2" t="s">
        <v>8</v>
      </c>
      <c r="I143" s="2" t="s">
        <v>7</v>
      </c>
      <c r="J143" s="2" t="s">
        <v>8</v>
      </c>
      <c r="K143" s="2" t="s">
        <v>8</v>
      </c>
      <c r="L143" s="2" t="s">
        <v>9</v>
      </c>
      <c r="M143" s="1" t="s">
        <v>1897</v>
      </c>
      <c r="N143" s="1" t="s">
        <v>1898</v>
      </c>
      <c r="O143" s="2" t="s">
        <v>1446</v>
      </c>
      <c r="Q143" s="2" t="s">
        <v>12</v>
      </c>
      <c r="R143" s="2" t="s">
        <v>13</v>
      </c>
      <c r="S143" s="1" t="s">
        <v>1899</v>
      </c>
      <c r="T143" s="2" t="s">
        <v>14</v>
      </c>
      <c r="U143" s="3">
        <v>2</v>
      </c>
      <c r="V143" s="3">
        <v>2</v>
      </c>
      <c r="W143" s="4" t="s">
        <v>1900</v>
      </c>
      <c r="X143" s="4" t="s">
        <v>1900</v>
      </c>
      <c r="Y143" s="4" t="s">
        <v>1901</v>
      </c>
      <c r="Z143" s="4" t="s">
        <v>1901</v>
      </c>
      <c r="AA143" s="3">
        <v>67</v>
      </c>
      <c r="AB143" s="3">
        <v>60</v>
      </c>
      <c r="AC143" s="3">
        <v>62</v>
      </c>
      <c r="AD143" s="3">
        <v>2</v>
      </c>
      <c r="AE143" s="3">
        <v>2</v>
      </c>
      <c r="AF143" s="3">
        <v>4</v>
      </c>
      <c r="AG143" s="3">
        <v>4</v>
      </c>
      <c r="AH143" s="3">
        <v>0</v>
      </c>
      <c r="AI143" s="3">
        <v>0</v>
      </c>
      <c r="AJ143" s="3">
        <v>1</v>
      </c>
      <c r="AK143" s="3">
        <v>1</v>
      </c>
      <c r="AL143" s="3">
        <v>3</v>
      </c>
      <c r="AM143" s="3">
        <v>3</v>
      </c>
      <c r="AN143" s="3">
        <v>1</v>
      </c>
      <c r="AO143" s="3">
        <v>1</v>
      </c>
      <c r="AP143" s="3">
        <v>0</v>
      </c>
      <c r="AQ143" s="3">
        <v>0</v>
      </c>
      <c r="AR143" s="2" t="s">
        <v>8</v>
      </c>
      <c r="AS143" s="2" t="s">
        <v>6</v>
      </c>
      <c r="AT143" s="5" t="str">
        <f>HYPERLINK("http://catalog.hathitrust.org/Record/001558439","HathiTrust Record")</f>
        <v>HathiTrust Record</v>
      </c>
      <c r="AU143" s="5" t="str">
        <f>HYPERLINK("https://creighton-primo.hosted.exlibrisgroup.com/primo-explore/search?tab=default_tab&amp;search_scope=EVERYTHING&amp;vid=01CRU&amp;lang=en_US&amp;offset=0&amp;query=any,contains,991001363079702656","Catalog Record")</f>
        <v>Catalog Record</v>
      </c>
      <c r="AV143" s="5" t="str">
        <f>HYPERLINK("http://www.worldcat.org/oclc/1144197","WorldCat Record")</f>
        <v>WorldCat Record</v>
      </c>
      <c r="AW143" s="2" t="s">
        <v>1902</v>
      </c>
      <c r="AX143" s="2" t="s">
        <v>1903</v>
      </c>
      <c r="AY143" s="2" t="s">
        <v>1904</v>
      </c>
      <c r="AZ143" s="2" t="s">
        <v>1904</v>
      </c>
      <c r="BA143" s="2" t="s">
        <v>1905</v>
      </c>
      <c r="BB143" s="2" t="s">
        <v>21</v>
      </c>
      <c r="BE143" s="2" t="s">
        <v>1906</v>
      </c>
      <c r="BF143" s="2" t="s">
        <v>1907</v>
      </c>
    </row>
    <row r="144" spans="1:58" ht="42.75" customHeight="1" x14ac:dyDescent="0.25">
      <c r="A144" s="8" t="s">
        <v>8</v>
      </c>
      <c r="B144" s="1" t="s">
        <v>0</v>
      </c>
      <c r="C144" s="1" t="s">
        <v>1</v>
      </c>
      <c r="D144" s="1" t="s">
        <v>1908</v>
      </c>
      <c r="E144" s="1" t="s">
        <v>1909</v>
      </c>
      <c r="F144" s="1" t="s">
        <v>1910</v>
      </c>
      <c r="H144" s="2" t="s">
        <v>8</v>
      </c>
      <c r="I144" s="2" t="s">
        <v>7</v>
      </c>
      <c r="J144" s="2" t="s">
        <v>8</v>
      </c>
      <c r="K144" s="2" t="s">
        <v>8</v>
      </c>
      <c r="L144" s="2" t="s">
        <v>9</v>
      </c>
      <c r="M144" s="1" t="s">
        <v>1911</v>
      </c>
      <c r="N144" s="1" t="s">
        <v>1912</v>
      </c>
      <c r="O144" s="2" t="s">
        <v>627</v>
      </c>
      <c r="Q144" s="2" t="s">
        <v>12</v>
      </c>
      <c r="R144" s="2" t="s">
        <v>13</v>
      </c>
      <c r="S144" s="1" t="s">
        <v>1913</v>
      </c>
      <c r="T144" s="2" t="s">
        <v>14</v>
      </c>
      <c r="U144" s="3">
        <v>2</v>
      </c>
      <c r="V144" s="3">
        <v>2</v>
      </c>
      <c r="W144" s="4" t="s">
        <v>1900</v>
      </c>
      <c r="X144" s="4" t="s">
        <v>1900</v>
      </c>
      <c r="Y144" s="4" t="s">
        <v>1914</v>
      </c>
      <c r="Z144" s="4" t="s">
        <v>1914</v>
      </c>
      <c r="AA144" s="3">
        <v>196</v>
      </c>
      <c r="AB144" s="3">
        <v>168</v>
      </c>
      <c r="AC144" s="3">
        <v>175</v>
      </c>
      <c r="AD144" s="3">
        <v>3</v>
      </c>
      <c r="AE144" s="3">
        <v>3</v>
      </c>
      <c r="AF144" s="3">
        <v>8</v>
      </c>
      <c r="AG144" s="3">
        <v>8</v>
      </c>
      <c r="AH144" s="3">
        <v>2</v>
      </c>
      <c r="AI144" s="3">
        <v>2</v>
      </c>
      <c r="AJ144" s="3">
        <v>1</v>
      </c>
      <c r="AK144" s="3">
        <v>1</v>
      </c>
      <c r="AL144" s="3">
        <v>5</v>
      </c>
      <c r="AM144" s="3">
        <v>5</v>
      </c>
      <c r="AN144" s="3">
        <v>1</v>
      </c>
      <c r="AO144" s="3">
        <v>1</v>
      </c>
      <c r="AP144" s="3">
        <v>0</v>
      </c>
      <c r="AQ144" s="3">
        <v>0</v>
      </c>
      <c r="AR144" s="2" t="s">
        <v>8</v>
      </c>
      <c r="AS144" s="2" t="s">
        <v>6</v>
      </c>
      <c r="AT144" s="5" t="str">
        <f>HYPERLINK("http://catalog.hathitrust.org/Record/002506754","HathiTrust Record")</f>
        <v>HathiTrust Record</v>
      </c>
      <c r="AU144" s="5" t="str">
        <f>HYPERLINK("https://creighton-primo.hosted.exlibrisgroup.com/primo-explore/search?tab=default_tab&amp;search_scope=EVERYTHING&amp;vid=01CRU&amp;lang=en_US&amp;offset=0&amp;query=any,contains,991001313629702656","Catalog Record")</f>
        <v>Catalog Record</v>
      </c>
      <c r="AV144" s="5" t="str">
        <f>HYPERLINK("http://www.worldcat.org/oclc/20113553","WorldCat Record")</f>
        <v>WorldCat Record</v>
      </c>
      <c r="AW144" s="2" t="s">
        <v>1915</v>
      </c>
      <c r="AX144" s="2" t="s">
        <v>1916</v>
      </c>
      <c r="AY144" s="2" t="s">
        <v>1917</v>
      </c>
      <c r="AZ144" s="2" t="s">
        <v>1917</v>
      </c>
      <c r="BA144" s="2" t="s">
        <v>1918</v>
      </c>
      <c r="BB144" s="2" t="s">
        <v>21</v>
      </c>
      <c r="BE144" s="2" t="s">
        <v>1919</v>
      </c>
      <c r="BF144" s="2" t="s">
        <v>1920</v>
      </c>
    </row>
    <row r="145" spans="1:58" ht="42.75" customHeight="1" x14ac:dyDescent="0.25">
      <c r="A145" s="8" t="s">
        <v>8</v>
      </c>
      <c r="B145" s="1" t="s">
        <v>0</v>
      </c>
      <c r="C145" s="1" t="s">
        <v>1</v>
      </c>
      <c r="D145" s="1" t="s">
        <v>1921</v>
      </c>
      <c r="E145" s="1" t="s">
        <v>1922</v>
      </c>
      <c r="F145" s="1" t="s">
        <v>1923</v>
      </c>
      <c r="H145" s="2" t="s">
        <v>8</v>
      </c>
      <c r="I145" s="2" t="s">
        <v>7</v>
      </c>
      <c r="J145" s="2" t="s">
        <v>8</v>
      </c>
      <c r="K145" s="2" t="s">
        <v>8</v>
      </c>
      <c r="L145" s="2" t="s">
        <v>9</v>
      </c>
      <c r="M145" s="1" t="s">
        <v>1924</v>
      </c>
      <c r="N145" s="1" t="s">
        <v>1925</v>
      </c>
      <c r="O145" s="2" t="s">
        <v>224</v>
      </c>
      <c r="Q145" s="2" t="s">
        <v>12</v>
      </c>
      <c r="R145" s="2" t="s">
        <v>1252</v>
      </c>
      <c r="T145" s="2" t="s">
        <v>14</v>
      </c>
      <c r="U145" s="3">
        <v>2</v>
      </c>
      <c r="V145" s="3">
        <v>2</v>
      </c>
      <c r="W145" s="4" t="s">
        <v>1926</v>
      </c>
      <c r="X145" s="4" t="s">
        <v>1926</v>
      </c>
      <c r="Y145" s="4" t="s">
        <v>1254</v>
      </c>
      <c r="Z145" s="4" t="s">
        <v>1254</v>
      </c>
      <c r="AA145" s="3">
        <v>29</v>
      </c>
      <c r="AB145" s="3">
        <v>28</v>
      </c>
      <c r="AC145" s="3">
        <v>159</v>
      </c>
      <c r="AD145" s="3">
        <v>1</v>
      </c>
      <c r="AE145" s="3">
        <v>1</v>
      </c>
      <c r="AF145" s="3">
        <v>1</v>
      </c>
      <c r="AG145" s="3">
        <v>5</v>
      </c>
      <c r="AH145" s="3">
        <v>1</v>
      </c>
      <c r="AI145" s="3">
        <v>1</v>
      </c>
      <c r="AJ145" s="3">
        <v>0</v>
      </c>
      <c r="AK145" s="3">
        <v>1</v>
      </c>
      <c r="AL145" s="3">
        <v>0</v>
      </c>
      <c r="AM145" s="3">
        <v>3</v>
      </c>
      <c r="AN145" s="3">
        <v>0</v>
      </c>
      <c r="AO145" s="3">
        <v>0</v>
      </c>
      <c r="AP145" s="3">
        <v>0</v>
      </c>
      <c r="AQ145" s="3">
        <v>0</v>
      </c>
      <c r="AR145" s="2" t="s">
        <v>8</v>
      </c>
      <c r="AS145" s="2" t="s">
        <v>8</v>
      </c>
      <c r="AU145" s="5" t="str">
        <f>HYPERLINK("https://creighton-primo.hosted.exlibrisgroup.com/primo-explore/search?tab=default_tab&amp;search_scope=EVERYTHING&amp;vid=01CRU&amp;lang=en_US&amp;offset=0&amp;query=any,contains,991001170779702656","Catalog Record")</f>
        <v>Catalog Record</v>
      </c>
      <c r="AV145" s="5" t="str">
        <f>HYPERLINK("http://www.worldcat.org/oclc/6747226","WorldCat Record")</f>
        <v>WorldCat Record</v>
      </c>
      <c r="AW145" s="2" t="s">
        <v>1927</v>
      </c>
      <c r="AX145" s="2" t="s">
        <v>1928</v>
      </c>
      <c r="AY145" s="2" t="s">
        <v>1929</v>
      </c>
      <c r="AZ145" s="2" t="s">
        <v>1929</v>
      </c>
      <c r="BA145" s="2" t="s">
        <v>1930</v>
      </c>
      <c r="BB145" s="2" t="s">
        <v>21</v>
      </c>
      <c r="BE145" s="2" t="s">
        <v>1931</v>
      </c>
      <c r="BF145" s="2" t="s">
        <v>1932</v>
      </c>
    </row>
    <row r="146" spans="1:58" ht="42.75" customHeight="1" x14ac:dyDescent="0.25">
      <c r="A146" s="8" t="s">
        <v>8</v>
      </c>
      <c r="B146" s="1" t="s">
        <v>0</v>
      </c>
      <c r="C146" s="1" t="s">
        <v>1</v>
      </c>
      <c r="D146" s="1" t="s">
        <v>1933</v>
      </c>
      <c r="E146" s="1" t="s">
        <v>1934</v>
      </c>
      <c r="F146" s="1" t="s">
        <v>1935</v>
      </c>
      <c r="H146" s="2" t="s">
        <v>8</v>
      </c>
      <c r="I146" s="2" t="s">
        <v>7</v>
      </c>
      <c r="J146" s="2" t="s">
        <v>8</v>
      </c>
      <c r="K146" s="2" t="s">
        <v>8</v>
      </c>
      <c r="L146" s="2" t="s">
        <v>9</v>
      </c>
      <c r="M146" s="1" t="s">
        <v>1936</v>
      </c>
      <c r="N146" s="1" t="s">
        <v>1937</v>
      </c>
      <c r="O146" s="2" t="s">
        <v>657</v>
      </c>
      <c r="Q146" s="2" t="s">
        <v>12</v>
      </c>
      <c r="R146" s="2" t="s">
        <v>13</v>
      </c>
      <c r="S146" s="1" t="s">
        <v>1938</v>
      </c>
      <c r="T146" s="2" t="s">
        <v>14</v>
      </c>
      <c r="U146" s="3">
        <v>3</v>
      </c>
      <c r="V146" s="3">
        <v>3</v>
      </c>
      <c r="W146" s="4" t="s">
        <v>1939</v>
      </c>
      <c r="X146" s="4" t="s">
        <v>1939</v>
      </c>
      <c r="Y146" s="4" t="s">
        <v>1940</v>
      </c>
      <c r="Z146" s="4" t="s">
        <v>1940</v>
      </c>
      <c r="AA146" s="3">
        <v>140</v>
      </c>
      <c r="AB146" s="3">
        <v>86</v>
      </c>
      <c r="AC146" s="3">
        <v>803</v>
      </c>
      <c r="AD146" s="3">
        <v>1</v>
      </c>
      <c r="AE146" s="3">
        <v>7</v>
      </c>
      <c r="AF146" s="3">
        <v>2</v>
      </c>
      <c r="AG146" s="3">
        <v>26</v>
      </c>
      <c r="AH146" s="3">
        <v>1</v>
      </c>
      <c r="AI146" s="3">
        <v>10</v>
      </c>
      <c r="AJ146" s="3">
        <v>0</v>
      </c>
      <c r="AK146" s="3">
        <v>6</v>
      </c>
      <c r="AL146" s="3">
        <v>1</v>
      </c>
      <c r="AM146" s="3">
        <v>7</v>
      </c>
      <c r="AN146" s="3">
        <v>0</v>
      </c>
      <c r="AO146" s="3">
        <v>6</v>
      </c>
      <c r="AP146" s="3">
        <v>0</v>
      </c>
      <c r="AQ146" s="3">
        <v>1</v>
      </c>
      <c r="AR146" s="2" t="s">
        <v>8</v>
      </c>
      <c r="AS146" s="2" t="s">
        <v>6</v>
      </c>
      <c r="AT146" s="5" t="str">
        <f>HYPERLINK("http://catalog.hathitrust.org/Record/004204970","HathiTrust Record")</f>
        <v>HathiTrust Record</v>
      </c>
      <c r="AU146" s="5" t="str">
        <f>HYPERLINK("https://creighton-primo.hosted.exlibrisgroup.com/primo-explore/search?tab=default_tab&amp;search_scope=EVERYTHING&amp;vid=01CRU&amp;lang=en_US&amp;offset=0&amp;query=any,contains,991000305989702656","Catalog Record")</f>
        <v>Catalog Record</v>
      </c>
      <c r="AV146" s="5" t="str">
        <f>HYPERLINK("http://www.worldcat.org/oclc/46731201","WorldCat Record")</f>
        <v>WorldCat Record</v>
      </c>
      <c r="AW146" s="2" t="s">
        <v>1941</v>
      </c>
      <c r="AX146" s="2" t="s">
        <v>1942</v>
      </c>
      <c r="AY146" s="2" t="s">
        <v>1943</v>
      </c>
      <c r="AZ146" s="2" t="s">
        <v>1943</v>
      </c>
      <c r="BA146" s="2" t="s">
        <v>1944</v>
      </c>
      <c r="BB146" s="2" t="s">
        <v>21</v>
      </c>
      <c r="BD146" s="2" t="s">
        <v>1945</v>
      </c>
      <c r="BE146" s="2" t="s">
        <v>1946</v>
      </c>
      <c r="BF146" s="2" t="s">
        <v>1947</v>
      </c>
    </row>
    <row r="147" spans="1:58" ht="42.75" customHeight="1" x14ac:dyDescent="0.25">
      <c r="A147" s="8" t="s">
        <v>8</v>
      </c>
      <c r="B147" s="1" t="s">
        <v>0</v>
      </c>
      <c r="C147" s="1" t="s">
        <v>1</v>
      </c>
      <c r="D147" s="1" t="s">
        <v>1948</v>
      </c>
      <c r="E147" s="1" t="s">
        <v>1949</v>
      </c>
      <c r="F147" s="1" t="s">
        <v>1950</v>
      </c>
      <c r="H147" s="2" t="s">
        <v>8</v>
      </c>
      <c r="I147" s="2" t="s">
        <v>7</v>
      </c>
      <c r="J147" s="2" t="s">
        <v>8</v>
      </c>
      <c r="K147" s="2" t="s">
        <v>8</v>
      </c>
      <c r="L147" s="2" t="s">
        <v>9</v>
      </c>
      <c r="M147" s="1" t="s">
        <v>1951</v>
      </c>
      <c r="N147" s="1" t="s">
        <v>1952</v>
      </c>
      <c r="O147" s="2" t="s">
        <v>51</v>
      </c>
      <c r="Q147" s="2" t="s">
        <v>12</v>
      </c>
      <c r="R147" s="2" t="s">
        <v>1170</v>
      </c>
      <c r="T147" s="2" t="s">
        <v>14</v>
      </c>
      <c r="U147" s="3">
        <v>6</v>
      </c>
      <c r="V147" s="3">
        <v>6</v>
      </c>
      <c r="W147" s="4" t="s">
        <v>1860</v>
      </c>
      <c r="X147" s="4" t="s">
        <v>1860</v>
      </c>
      <c r="Y147" s="4" t="s">
        <v>1953</v>
      </c>
      <c r="Z147" s="4" t="s">
        <v>1953</v>
      </c>
      <c r="AA147" s="3">
        <v>152</v>
      </c>
      <c r="AB147" s="3">
        <v>124</v>
      </c>
      <c r="AC147" s="3">
        <v>131</v>
      </c>
      <c r="AD147" s="3">
        <v>1</v>
      </c>
      <c r="AE147" s="3">
        <v>1</v>
      </c>
      <c r="AF147" s="3">
        <v>1</v>
      </c>
      <c r="AG147" s="3">
        <v>1</v>
      </c>
      <c r="AH147" s="3">
        <v>0</v>
      </c>
      <c r="AI147" s="3">
        <v>0</v>
      </c>
      <c r="AJ147" s="3">
        <v>0</v>
      </c>
      <c r="AK147" s="3">
        <v>0</v>
      </c>
      <c r="AL147" s="3">
        <v>1</v>
      </c>
      <c r="AM147" s="3">
        <v>1</v>
      </c>
      <c r="AN147" s="3">
        <v>0</v>
      </c>
      <c r="AO147" s="3">
        <v>0</v>
      </c>
      <c r="AP147" s="3">
        <v>0</v>
      </c>
      <c r="AQ147" s="3">
        <v>0</v>
      </c>
      <c r="AR147" s="2" t="s">
        <v>8</v>
      </c>
      <c r="AS147" s="2" t="s">
        <v>6</v>
      </c>
      <c r="AT147" s="5" t="str">
        <f>HYPERLINK("http://catalog.hathitrust.org/Record/000920326","HathiTrust Record")</f>
        <v>HathiTrust Record</v>
      </c>
      <c r="AU147" s="5" t="str">
        <f>HYPERLINK("https://creighton-primo.hosted.exlibrisgroup.com/primo-explore/search?tab=default_tab&amp;search_scope=EVERYTHING&amp;vid=01CRU&amp;lang=en_US&amp;offset=0&amp;query=any,contains,991001190769702656","Catalog Record")</f>
        <v>Catalog Record</v>
      </c>
      <c r="AV147" s="5" t="str">
        <f>HYPERLINK("http://www.worldcat.org/oclc/17927982","WorldCat Record")</f>
        <v>WorldCat Record</v>
      </c>
      <c r="AW147" s="2" t="s">
        <v>1954</v>
      </c>
      <c r="AX147" s="2" t="s">
        <v>1955</v>
      </c>
      <c r="AY147" s="2" t="s">
        <v>1956</v>
      </c>
      <c r="AZ147" s="2" t="s">
        <v>1956</v>
      </c>
      <c r="BA147" s="2" t="s">
        <v>1957</v>
      </c>
      <c r="BB147" s="2" t="s">
        <v>21</v>
      </c>
      <c r="BD147" s="2" t="s">
        <v>1958</v>
      </c>
      <c r="BE147" s="2" t="s">
        <v>1959</v>
      </c>
      <c r="BF147" s="2" t="s">
        <v>1960</v>
      </c>
    </row>
    <row r="148" spans="1:58" ht="42.75" customHeight="1" x14ac:dyDescent="0.25">
      <c r="A148" s="8" t="s">
        <v>8</v>
      </c>
      <c r="B148" s="1" t="s">
        <v>0</v>
      </c>
      <c r="C148" s="1" t="s">
        <v>1</v>
      </c>
      <c r="D148" s="1" t="s">
        <v>1961</v>
      </c>
      <c r="E148" s="1" t="s">
        <v>1962</v>
      </c>
      <c r="F148" s="1" t="s">
        <v>1963</v>
      </c>
      <c r="H148" s="2" t="s">
        <v>8</v>
      </c>
      <c r="I148" s="2" t="s">
        <v>7</v>
      </c>
      <c r="J148" s="2" t="s">
        <v>8</v>
      </c>
      <c r="K148" s="2" t="s">
        <v>8</v>
      </c>
      <c r="L148" s="2" t="s">
        <v>9</v>
      </c>
      <c r="M148" s="1" t="s">
        <v>1964</v>
      </c>
      <c r="N148" s="1" t="s">
        <v>1965</v>
      </c>
      <c r="O148" s="2" t="s">
        <v>1327</v>
      </c>
      <c r="P148" s="1" t="s">
        <v>732</v>
      </c>
      <c r="Q148" s="2" t="s">
        <v>12</v>
      </c>
      <c r="R148" s="2" t="s">
        <v>628</v>
      </c>
      <c r="S148" s="1" t="s">
        <v>1966</v>
      </c>
      <c r="T148" s="2" t="s">
        <v>14</v>
      </c>
      <c r="U148" s="3">
        <v>24</v>
      </c>
      <c r="V148" s="3">
        <v>24</v>
      </c>
      <c r="W148" s="4" t="s">
        <v>1967</v>
      </c>
      <c r="X148" s="4" t="s">
        <v>1967</v>
      </c>
      <c r="Y148" s="4" t="s">
        <v>1766</v>
      </c>
      <c r="Z148" s="4" t="s">
        <v>1766</v>
      </c>
      <c r="AA148" s="3">
        <v>24</v>
      </c>
      <c r="AB148" s="3">
        <v>19</v>
      </c>
      <c r="AC148" s="3">
        <v>124</v>
      </c>
      <c r="AD148" s="3">
        <v>1</v>
      </c>
      <c r="AE148" s="3">
        <v>1</v>
      </c>
      <c r="AF148" s="3">
        <v>0</v>
      </c>
      <c r="AG148" s="3">
        <v>2</v>
      </c>
      <c r="AH148" s="3">
        <v>0</v>
      </c>
      <c r="AI148" s="3">
        <v>0</v>
      </c>
      <c r="AJ148" s="3">
        <v>0</v>
      </c>
      <c r="AK148" s="3">
        <v>1</v>
      </c>
      <c r="AL148" s="3">
        <v>0</v>
      </c>
      <c r="AM148" s="3">
        <v>1</v>
      </c>
      <c r="AN148" s="3">
        <v>0</v>
      </c>
      <c r="AO148" s="3">
        <v>0</v>
      </c>
      <c r="AP148" s="3">
        <v>0</v>
      </c>
      <c r="AQ148" s="3">
        <v>0</v>
      </c>
      <c r="AR148" s="2" t="s">
        <v>8</v>
      </c>
      <c r="AS148" s="2" t="s">
        <v>8</v>
      </c>
      <c r="AU148" s="5" t="str">
        <f>HYPERLINK("https://creighton-primo.hosted.exlibrisgroup.com/primo-explore/search?tab=default_tab&amp;search_scope=EVERYTHING&amp;vid=01CRU&amp;lang=en_US&amp;offset=0&amp;query=any,contains,991000753529702656","Catalog Record")</f>
        <v>Catalog Record</v>
      </c>
      <c r="AV148" s="5" t="str">
        <f>HYPERLINK("http://www.worldcat.org/oclc/15223329","WorldCat Record")</f>
        <v>WorldCat Record</v>
      </c>
      <c r="AW148" s="2" t="s">
        <v>1968</v>
      </c>
      <c r="AX148" s="2" t="s">
        <v>1969</v>
      </c>
      <c r="AY148" s="2" t="s">
        <v>1970</v>
      </c>
      <c r="AZ148" s="2" t="s">
        <v>1970</v>
      </c>
      <c r="BA148" s="2" t="s">
        <v>1971</v>
      </c>
      <c r="BB148" s="2" t="s">
        <v>21</v>
      </c>
      <c r="BD148" s="2" t="s">
        <v>1972</v>
      </c>
      <c r="BE148" s="2" t="s">
        <v>1973</v>
      </c>
      <c r="BF148" s="2" t="s">
        <v>1974</v>
      </c>
    </row>
    <row r="149" spans="1:58" ht="42.75" customHeight="1" x14ac:dyDescent="0.25">
      <c r="A149" s="8" t="s">
        <v>8</v>
      </c>
      <c r="B149" s="1" t="s">
        <v>0</v>
      </c>
      <c r="C149" s="1" t="s">
        <v>1</v>
      </c>
      <c r="D149" s="1" t="s">
        <v>1975</v>
      </c>
      <c r="E149" s="1" t="s">
        <v>1976</v>
      </c>
      <c r="F149" s="1" t="s">
        <v>1977</v>
      </c>
      <c r="H149" s="2" t="s">
        <v>8</v>
      </c>
      <c r="I149" s="2" t="s">
        <v>7</v>
      </c>
      <c r="J149" s="2" t="s">
        <v>8</v>
      </c>
      <c r="K149" s="2" t="s">
        <v>8</v>
      </c>
      <c r="L149" s="2" t="s">
        <v>9</v>
      </c>
      <c r="N149" s="1" t="s">
        <v>1978</v>
      </c>
      <c r="O149" s="2" t="s">
        <v>830</v>
      </c>
      <c r="P149" s="1" t="s">
        <v>761</v>
      </c>
      <c r="Q149" s="2" t="s">
        <v>12</v>
      </c>
      <c r="R149" s="2" t="s">
        <v>13</v>
      </c>
      <c r="T149" s="2" t="s">
        <v>14</v>
      </c>
      <c r="U149" s="3">
        <v>35</v>
      </c>
      <c r="V149" s="3">
        <v>35</v>
      </c>
      <c r="W149" s="4" t="s">
        <v>1979</v>
      </c>
      <c r="X149" s="4" t="s">
        <v>1979</v>
      </c>
      <c r="Y149" s="4" t="s">
        <v>1980</v>
      </c>
      <c r="Z149" s="4" t="s">
        <v>1980</v>
      </c>
      <c r="AA149" s="3">
        <v>81</v>
      </c>
      <c r="AB149" s="3">
        <v>68</v>
      </c>
      <c r="AC149" s="3">
        <v>68</v>
      </c>
      <c r="AD149" s="3">
        <v>1</v>
      </c>
      <c r="AE149" s="3">
        <v>1</v>
      </c>
      <c r="AF149" s="3">
        <v>1</v>
      </c>
      <c r="AG149" s="3">
        <v>1</v>
      </c>
      <c r="AH149" s="3">
        <v>0</v>
      </c>
      <c r="AI149" s="3">
        <v>0</v>
      </c>
      <c r="AJ149" s="3">
        <v>1</v>
      </c>
      <c r="AK149" s="3">
        <v>1</v>
      </c>
      <c r="AL149" s="3">
        <v>1</v>
      </c>
      <c r="AM149" s="3">
        <v>1</v>
      </c>
      <c r="AN149" s="3">
        <v>0</v>
      </c>
      <c r="AO149" s="3">
        <v>0</v>
      </c>
      <c r="AP149" s="3">
        <v>0</v>
      </c>
      <c r="AQ149" s="3">
        <v>0</v>
      </c>
      <c r="AR149" s="2" t="s">
        <v>8</v>
      </c>
      <c r="AS149" s="2" t="s">
        <v>8</v>
      </c>
      <c r="AU149" s="5" t="str">
        <f>HYPERLINK("https://creighton-primo.hosted.exlibrisgroup.com/primo-explore/search?tab=default_tab&amp;search_scope=EVERYTHING&amp;vid=01CRU&amp;lang=en_US&amp;offset=0&amp;query=any,contains,991000361729702656","Catalog Record")</f>
        <v>Catalog Record</v>
      </c>
      <c r="AV149" s="5" t="str">
        <f>HYPERLINK("http://www.worldcat.org/oclc/49874950","WorldCat Record")</f>
        <v>WorldCat Record</v>
      </c>
      <c r="AW149" s="2" t="s">
        <v>1981</v>
      </c>
      <c r="AX149" s="2" t="s">
        <v>1982</v>
      </c>
      <c r="AY149" s="2" t="s">
        <v>1983</v>
      </c>
      <c r="AZ149" s="2" t="s">
        <v>1983</v>
      </c>
      <c r="BA149" s="2" t="s">
        <v>1984</v>
      </c>
      <c r="BB149" s="2" t="s">
        <v>21</v>
      </c>
      <c r="BD149" s="2" t="s">
        <v>1985</v>
      </c>
      <c r="BE149" s="2" t="s">
        <v>1986</v>
      </c>
      <c r="BF149" s="2" t="s">
        <v>1987</v>
      </c>
    </row>
    <row r="150" spans="1:58" ht="42.75" customHeight="1" x14ac:dyDescent="0.25">
      <c r="A150" s="8" t="s">
        <v>8</v>
      </c>
      <c r="B150" s="1" t="s">
        <v>0</v>
      </c>
      <c r="C150" s="1" t="s">
        <v>1</v>
      </c>
      <c r="D150" s="1" t="s">
        <v>1988</v>
      </c>
      <c r="E150" s="1" t="s">
        <v>1989</v>
      </c>
      <c r="F150" s="1" t="s">
        <v>1990</v>
      </c>
      <c r="H150" s="2" t="s">
        <v>8</v>
      </c>
      <c r="I150" s="2" t="s">
        <v>7</v>
      </c>
      <c r="J150" s="2" t="s">
        <v>8</v>
      </c>
      <c r="K150" s="2" t="s">
        <v>6</v>
      </c>
      <c r="L150" s="2" t="s">
        <v>9</v>
      </c>
      <c r="N150" s="1" t="s">
        <v>1991</v>
      </c>
      <c r="O150" s="2" t="s">
        <v>874</v>
      </c>
      <c r="P150" s="1" t="s">
        <v>83</v>
      </c>
      <c r="Q150" s="2" t="s">
        <v>12</v>
      </c>
      <c r="R150" s="2" t="s">
        <v>628</v>
      </c>
      <c r="S150" s="1" t="s">
        <v>1992</v>
      </c>
      <c r="T150" s="2" t="s">
        <v>14</v>
      </c>
      <c r="U150" s="3">
        <v>24</v>
      </c>
      <c r="V150" s="3">
        <v>24</v>
      </c>
      <c r="W150" s="4" t="s">
        <v>1993</v>
      </c>
      <c r="X150" s="4" t="s">
        <v>1993</v>
      </c>
      <c r="Y150" s="4" t="s">
        <v>1994</v>
      </c>
      <c r="Z150" s="4" t="s">
        <v>1994</v>
      </c>
      <c r="AA150" s="3">
        <v>69</v>
      </c>
      <c r="AB150" s="3">
        <v>55</v>
      </c>
      <c r="AC150" s="3">
        <v>184</v>
      </c>
      <c r="AD150" s="3">
        <v>1</v>
      </c>
      <c r="AE150" s="3">
        <v>1</v>
      </c>
      <c r="AF150" s="3">
        <v>1</v>
      </c>
      <c r="AG150" s="3">
        <v>5</v>
      </c>
      <c r="AH150" s="3">
        <v>0</v>
      </c>
      <c r="AI150" s="3">
        <v>2</v>
      </c>
      <c r="AJ150" s="3">
        <v>1</v>
      </c>
      <c r="AK150" s="3">
        <v>3</v>
      </c>
      <c r="AL150" s="3">
        <v>0</v>
      </c>
      <c r="AM150" s="3">
        <v>2</v>
      </c>
      <c r="AN150" s="3">
        <v>0</v>
      </c>
      <c r="AO150" s="3">
        <v>0</v>
      </c>
      <c r="AP150" s="3">
        <v>0</v>
      </c>
      <c r="AQ150" s="3">
        <v>0</v>
      </c>
      <c r="AR150" s="2" t="s">
        <v>8</v>
      </c>
      <c r="AS150" s="2" t="s">
        <v>6</v>
      </c>
      <c r="AT150" s="5" t="str">
        <f>HYPERLINK("http://catalog.hathitrust.org/Record/003339494","HathiTrust Record")</f>
        <v>HathiTrust Record</v>
      </c>
      <c r="AU150" s="5" t="str">
        <f>HYPERLINK("https://creighton-primo.hosted.exlibrisgroup.com/primo-explore/search?tab=default_tab&amp;search_scope=EVERYTHING&amp;vid=01CRU&amp;lang=en_US&amp;offset=0&amp;query=any,contains,991001225709702656","Catalog Record")</f>
        <v>Catalog Record</v>
      </c>
      <c r="AV150" s="5" t="str">
        <f>HYPERLINK("http://www.worldcat.org/oclc/35714255","WorldCat Record")</f>
        <v>WorldCat Record</v>
      </c>
      <c r="AW150" s="2" t="s">
        <v>1995</v>
      </c>
      <c r="AX150" s="2" t="s">
        <v>1996</v>
      </c>
      <c r="AY150" s="2" t="s">
        <v>1997</v>
      </c>
      <c r="AZ150" s="2" t="s">
        <v>1997</v>
      </c>
      <c r="BA150" s="2" t="s">
        <v>1998</v>
      </c>
      <c r="BB150" s="2" t="s">
        <v>21</v>
      </c>
      <c r="BD150" s="2" t="s">
        <v>1999</v>
      </c>
      <c r="BE150" s="2" t="s">
        <v>2000</v>
      </c>
      <c r="BF150" s="2" t="s">
        <v>2001</v>
      </c>
    </row>
    <row r="151" spans="1:58" ht="42.75" customHeight="1" x14ac:dyDescent="0.25">
      <c r="A151" s="8" t="s">
        <v>8</v>
      </c>
      <c r="B151" s="1" t="s">
        <v>0</v>
      </c>
      <c r="C151" s="1" t="s">
        <v>1</v>
      </c>
      <c r="D151" s="1" t="s">
        <v>2002</v>
      </c>
      <c r="E151" s="1" t="s">
        <v>2003</v>
      </c>
      <c r="F151" s="1" t="s">
        <v>2004</v>
      </c>
      <c r="H151" s="2" t="s">
        <v>8</v>
      </c>
      <c r="I151" s="2" t="s">
        <v>7</v>
      </c>
      <c r="J151" s="2" t="s">
        <v>8</v>
      </c>
      <c r="K151" s="2" t="s">
        <v>8</v>
      </c>
      <c r="L151" s="2" t="s">
        <v>9</v>
      </c>
      <c r="N151" s="1" t="s">
        <v>2005</v>
      </c>
      <c r="O151" s="2" t="s">
        <v>1060</v>
      </c>
      <c r="P151" s="1" t="s">
        <v>83</v>
      </c>
      <c r="Q151" s="2" t="s">
        <v>12</v>
      </c>
      <c r="R151" s="2" t="s">
        <v>628</v>
      </c>
      <c r="S151" s="1" t="s">
        <v>1992</v>
      </c>
      <c r="T151" s="2" t="s">
        <v>14</v>
      </c>
      <c r="U151" s="3">
        <v>22</v>
      </c>
      <c r="V151" s="3">
        <v>22</v>
      </c>
      <c r="W151" s="4" t="s">
        <v>2006</v>
      </c>
      <c r="X151" s="4" t="s">
        <v>2006</v>
      </c>
      <c r="Y151" s="4" t="s">
        <v>2007</v>
      </c>
      <c r="Z151" s="4" t="s">
        <v>2007</v>
      </c>
      <c r="AA151" s="3">
        <v>85</v>
      </c>
      <c r="AB151" s="3">
        <v>56</v>
      </c>
      <c r="AC151" s="3">
        <v>287</v>
      </c>
      <c r="AD151" s="3">
        <v>1</v>
      </c>
      <c r="AE151" s="3">
        <v>3</v>
      </c>
      <c r="AF151" s="3">
        <v>0</v>
      </c>
      <c r="AG151" s="3">
        <v>8</v>
      </c>
      <c r="AH151" s="3">
        <v>0</v>
      </c>
      <c r="AI151" s="3">
        <v>3</v>
      </c>
      <c r="AJ151" s="3">
        <v>0</v>
      </c>
      <c r="AK151" s="3">
        <v>2</v>
      </c>
      <c r="AL151" s="3">
        <v>0</v>
      </c>
      <c r="AM151" s="3">
        <v>3</v>
      </c>
      <c r="AN151" s="3">
        <v>0</v>
      </c>
      <c r="AO151" s="3">
        <v>2</v>
      </c>
      <c r="AP151" s="3">
        <v>0</v>
      </c>
      <c r="AQ151" s="3">
        <v>0</v>
      </c>
      <c r="AR151" s="2" t="s">
        <v>8</v>
      </c>
      <c r="AS151" s="2" t="s">
        <v>6</v>
      </c>
      <c r="AT151" s="5" t="str">
        <f>HYPERLINK("http://catalog.hathitrust.org/Record/003339483","HathiTrust Record")</f>
        <v>HathiTrust Record</v>
      </c>
      <c r="AU151" s="5" t="str">
        <f>HYPERLINK("https://creighton-primo.hosted.exlibrisgroup.com/primo-explore/search?tab=default_tab&amp;search_scope=EVERYTHING&amp;vid=01CRU&amp;lang=en_US&amp;offset=0&amp;query=any,contains,991001268089702656","Catalog Record")</f>
        <v>Catalog Record</v>
      </c>
      <c r="AV151" s="5" t="str">
        <f>HYPERLINK("http://www.worldcat.org/oclc/33838222","WorldCat Record")</f>
        <v>WorldCat Record</v>
      </c>
      <c r="AW151" s="2" t="s">
        <v>2008</v>
      </c>
      <c r="AX151" s="2" t="s">
        <v>2009</v>
      </c>
      <c r="AY151" s="2" t="s">
        <v>2010</v>
      </c>
      <c r="AZ151" s="2" t="s">
        <v>2010</v>
      </c>
      <c r="BA151" s="2" t="s">
        <v>2011</v>
      </c>
      <c r="BB151" s="2" t="s">
        <v>21</v>
      </c>
      <c r="BD151" s="2" t="s">
        <v>2012</v>
      </c>
      <c r="BE151" s="2" t="s">
        <v>2013</v>
      </c>
      <c r="BF151" s="2" t="s">
        <v>2014</v>
      </c>
    </row>
    <row r="152" spans="1:58" ht="42.75" customHeight="1" x14ac:dyDescent="0.25">
      <c r="A152" s="8" t="s">
        <v>8</v>
      </c>
      <c r="B152" s="1" t="s">
        <v>0</v>
      </c>
      <c r="C152" s="1" t="s">
        <v>1</v>
      </c>
      <c r="D152" s="1" t="s">
        <v>2015</v>
      </c>
      <c r="E152" s="1" t="s">
        <v>2016</v>
      </c>
      <c r="F152" s="1" t="s">
        <v>2017</v>
      </c>
      <c r="H152" s="2" t="s">
        <v>8</v>
      </c>
      <c r="I152" s="2" t="s">
        <v>7</v>
      </c>
      <c r="J152" s="2" t="s">
        <v>8</v>
      </c>
      <c r="K152" s="2" t="s">
        <v>6</v>
      </c>
      <c r="L152" s="2" t="s">
        <v>9</v>
      </c>
      <c r="N152" s="1" t="s">
        <v>2018</v>
      </c>
      <c r="O152" s="2" t="s">
        <v>907</v>
      </c>
      <c r="Q152" s="2" t="s">
        <v>12</v>
      </c>
      <c r="R152" s="2" t="s">
        <v>13</v>
      </c>
      <c r="T152" s="2" t="s">
        <v>14</v>
      </c>
      <c r="U152" s="3">
        <v>5</v>
      </c>
      <c r="V152" s="3">
        <v>5</v>
      </c>
      <c r="W152" s="4" t="s">
        <v>877</v>
      </c>
      <c r="X152" s="4" t="s">
        <v>877</v>
      </c>
      <c r="Y152" s="4" t="s">
        <v>2019</v>
      </c>
      <c r="Z152" s="4" t="s">
        <v>2019</v>
      </c>
      <c r="AA152" s="3">
        <v>177</v>
      </c>
      <c r="AB152" s="3">
        <v>143</v>
      </c>
      <c r="AC152" s="3">
        <v>873</v>
      </c>
      <c r="AD152" s="3">
        <v>1</v>
      </c>
      <c r="AE152" s="3">
        <v>4</v>
      </c>
      <c r="AF152" s="3">
        <v>2</v>
      </c>
      <c r="AG152" s="3">
        <v>11</v>
      </c>
      <c r="AH152" s="3">
        <v>1</v>
      </c>
      <c r="AI152" s="3">
        <v>3</v>
      </c>
      <c r="AJ152" s="3">
        <v>0</v>
      </c>
      <c r="AK152" s="3">
        <v>2</v>
      </c>
      <c r="AL152" s="3">
        <v>1</v>
      </c>
      <c r="AM152" s="3">
        <v>6</v>
      </c>
      <c r="AN152" s="3">
        <v>0</v>
      </c>
      <c r="AO152" s="3">
        <v>1</v>
      </c>
      <c r="AP152" s="3">
        <v>0</v>
      </c>
      <c r="AQ152" s="3">
        <v>0</v>
      </c>
      <c r="AR152" s="2" t="s">
        <v>8</v>
      </c>
      <c r="AS152" s="2" t="s">
        <v>6</v>
      </c>
      <c r="AT152" s="5" t="str">
        <f>HYPERLINK("http://catalog.hathitrust.org/Record/003538469","HathiTrust Record")</f>
        <v>HathiTrust Record</v>
      </c>
      <c r="AU152" s="5" t="str">
        <f>HYPERLINK("https://creighton-primo.hosted.exlibrisgroup.com/primo-explore/search?tab=default_tab&amp;search_scope=EVERYTHING&amp;vid=01CRU&amp;lang=en_US&amp;offset=0&amp;query=any,contains,991000351209702656","Catalog Record")</f>
        <v>Catalog Record</v>
      </c>
      <c r="AV152" s="5" t="str">
        <f>HYPERLINK("http://www.worldcat.org/oclc/46397444","WorldCat Record")</f>
        <v>WorldCat Record</v>
      </c>
      <c r="AW152" s="2" t="s">
        <v>2020</v>
      </c>
      <c r="AX152" s="2" t="s">
        <v>2021</v>
      </c>
      <c r="AY152" s="2" t="s">
        <v>2022</v>
      </c>
      <c r="AZ152" s="2" t="s">
        <v>2022</v>
      </c>
      <c r="BA152" s="2" t="s">
        <v>2023</v>
      </c>
      <c r="BB152" s="2" t="s">
        <v>21</v>
      </c>
      <c r="BD152" s="2" t="s">
        <v>2024</v>
      </c>
      <c r="BE152" s="2" t="s">
        <v>2025</v>
      </c>
      <c r="BF152" s="2" t="s">
        <v>2026</v>
      </c>
    </row>
    <row r="153" spans="1:58" ht="42.75" customHeight="1" x14ac:dyDescent="0.25">
      <c r="A153" s="8" t="s">
        <v>8</v>
      </c>
      <c r="B153" s="1" t="s">
        <v>0</v>
      </c>
      <c r="C153" s="1" t="s">
        <v>1</v>
      </c>
      <c r="D153" s="1" t="s">
        <v>2027</v>
      </c>
      <c r="E153" s="1" t="s">
        <v>2028</v>
      </c>
      <c r="F153" s="1" t="s">
        <v>2017</v>
      </c>
      <c r="H153" s="2" t="s">
        <v>8</v>
      </c>
      <c r="I153" s="2" t="s">
        <v>7</v>
      </c>
      <c r="J153" s="2" t="s">
        <v>8</v>
      </c>
      <c r="K153" s="2" t="s">
        <v>6</v>
      </c>
      <c r="L153" s="2" t="s">
        <v>9</v>
      </c>
      <c r="M153" s="1" t="s">
        <v>2029</v>
      </c>
      <c r="N153" s="1" t="s">
        <v>2030</v>
      </c>
      <c r="O153" s="2" t="s">
        <v>959</v>
      </c>
      <c r="P153" s="1" t="s">
        <v>2031</v>
      </c>
      <c r="Q153" s="2" t="s">
        <v>12</v>
      </c>
      <c r="R153" s="2" t="s">
        <v>13</v>
      </c>
      <c r="T153" s="2" t="s">
        <v>14</v>
      </c>
      <c r="U153" s="3">
        <v>74</v>
      </c>
      <c r="V153" s="3">
        <v>74</v>
      </c>
      <c r="W153" s="4" t="s">
        <v>2032</v>
      </c>
      <c r="X153" s="4" t="s">
        <v>2032</v>
      </c>
      <c r="Y153" s="4" t="s">
        <v>2033</v>
      </c>
      <c r="Z153" s="4" t="s">
        <v>2033</v>
      </c>
      <c r="AA153" s="3">
        <v>178</v>
      </c>
      <c r="AB153" s="3">
        <v>146</v>
      </c>
      <c r="AC153" s="3">
        <v>873</v>
      </c>
      <c r="AD153" s="3">
        <v>1</v>
      </c>
      <c r="AE153" s="3">
        <v>4</v>
      </c>
      <c r="AF153" s="3">
        <v>2</v>
      </c>
      <c r="AG153" s="3">
        <v>11</v>
      </c>
      <c r="AH153" s="3">
        <v>1</v>
      </c>
      <c r="AI153" s="3">
        <v>3</v>
      </c>
      <c r="AJ153" s="3">
        <v>1</v>
      </c>
      <c r="AK153" s="3">
        <v>2</v>
      </c>
      <c r="AL153" s="3">
        <v>1</v>
      </c>
      <c r="AM153" s="3">
        <v>6</v>
      </c>
      <c r="AN153" s="3">
        <v>0</v>
      </c>
      <c r="AO153" s="3">
        <v>1</v>
      </c>
      <c r="AP153" s="3">
        <v>0</v>
      </c>
      <c r="AQ153" s="3">
        <v>0</v>
      </c>
      <c r="AR153" s="2" t="s">
        <v>8</v>
      </c>
      <c r="AS153" s="2" t="s">
        <v>8</v>
      </c>
      <c r="AU153" s="5" t="str">
        <f>HYPERLINK("https://creighton-primo.hosted.exlibrisgroup.com/primo-explore/search?tab=default_tab&amp;search_scope=EVERYTHING&amp;vid=01CRU&amp;lang=en_US&amp;offset=0&amp;query=any,contains,991000443199702656","Catalog Record")</f>
        <v>Catalog Record</v>
      </c>
      <c r="AV153" s="5" t="str">
        <f>HYPERLINK("http://www.worldcat.org/oclc/55502628","WorldCat Record")</f>
        <v>WorldCat Record</v>
      </c>
      <c r="AW153" s="2" t="s">
        <v>2020</v>
      </c>
      <c r="AX153" s="2" t="s">
        <v>2034</v>
      </c>
      <c r="AY153" s="2" t="s">
        <v>2035</v>
      </c>
      <c r="AZ153" s="2" t="s">
        <v>2035</v>
      </c>
      <c r="BA153" s="2" t="s">
        <v>2036</v>
      </c>
      <c r="BB153" s="2" t="s">
        <v>21</v>
      </c>
      <c r="BD153" s="2" t="s">
        <v>2037</v>
      </c>
      <c r="BE153" s="2" t="s">
        <v>2038</v>
      </c>
      <c r="BF153" s="2" t="s">
        <v>2039</v>
      </c>
    </row>
    <row r="154" spans="1:58" ht="42.75" customHeight="1" x14ac:dyDescent="0.25">
      <c r="A154" s="8" t="s">
        <v>8</v>
      </c>
      <c r="B154" s="1" t="s">
        <v>0</v>
      </c>
      <c r="C154" s="1" t="s">
        <v>1</v>
      </c>
      <c r="D154" s="1" t="s">
        <v>2040</v>
      </c>
      <c r="E154" s="1" t="s">
        <v>2041</v>
      </c>
      <c r="F154" s="1" t="s">
        <v>2042</v>
      </c>
      <c r="H154" s="2" t="s">
        <v>8</v>
      </c>
      <c r="I154" s="2" t="s">
        <v>7</v>
      </c>
      <c r="J154" s="2" t="s">
        <v>8</v>
      </c>
      <c r="K154" s="2" t="s">
        <v>8</v>
      </c>
      <c r="L154" s="2" t="s">
        <v>9</v>
      </c>
      <c r="N154" s="1" t="s">
        <v>2043</v>
      </c>
      <c r="O154" s="2" t="s">
        <v>2044</v>
      </c>
      <c r="Q154" s="2" t="s">
        <v>12</v>
      </c>
      <c r="R154" s="2" t="s">
        <v>13</v>
      </c>
      <c r="T154" s="2" t="s">
        <v>14</v>
      </c>
      <c r="U154" s="3">
        <v>16</v>
      </c>
      <c r="V154" s="3">
        <v>16</v>
      </c>
      <c r="W154" s="4" t="s">
        <v>2045</v>
      </c>
      <c r="X154" s="4" t="s">
        <v>2045</v>
      </c>
      <c r="Y154" s="4" t="s">
        <v>2046</v>
      </c>
      <c r="Z154" s="4" t="s">
        <v>2046</v>
      </c>
      <c r="AA154" s="3">
        <v>64</v>
      </c>
      <c r="AB154" s="3">
        <v>52</v>
      </c>
      <c r="AC154" s="3">
        <v>165</v>
      </c>
      <c r="AD154" s="3">
        <v>1</v>
      </c>
      <c r="AE154" s="3">
        <v>2</v>
      </c>
      <c r="AF154" s="3">
        <v>0</v>
      </c>
      <c r="AG154" s="3">
        <v>5</v>
      </c>
      <c r="AH154" s="3">
        <v>0</v>
      </c>
      <c r="AI154" s="3">
        <v>1</v>
      </c>
      <c r="AJ154" s="3">
        <v>0</v>
      </c>
      <c r="AK154" s="3">
        <v>2</v>
      </c>
      <c r="AL154" s="3">
        <v>0</v>
      </c>
      <c r="AM154" s="3">
        <v>2</v>
      </c>
      <c r="AN154" s="3">
        <v>0</v>
      </c>
      <c r="AO154" s="3">
        <v>1</v>
      </c>
      <c r="AP154" s="3">
        <v>0</v>
      </c>
      <c r="AQ154" s="3">
        <v>0</v>
      </c>
      <c r="AR154" s="2" t="s">
        <v>8</v>
      </c>
      <c r="AS154" s="2" t="s">
        <v>8</v>
      </c>
      <c r="AU154" s="5" t="str">
        <f>HYPERLINK("https://creighton-primo.hosted.exlibrisgroup.com/primo-explore/search?tab=default_tab&amp;search_scope=EVERYTHING&amp;vid=01CRU&amp;lang=en_US&amp;offset=0&amp;query=any,contains,991000361599702656","Catalog Record")</f>
        <v>Catalog Record</v>
      </c>
      <c r="AV154" s="5" t="str">
        <f>HYPERLINK("http://www.worldcat.org/oclc/45880284","WorldCat Record")</f>
        <v>WorldCat Record</v>
      </c>
      <c r="AW154" s="2" t="s">
        <v>2047</v>
      </c>
      <c r="AX154" s="2" t="s">
        <v>2048</v>
      </c>
      <c r="AY154" s="2" t="s">
        <v>2049</v>
      </c>
      <c r="AZ154" s="2" t="s">
        <v>2049</v>
      </c>
      <c r="BA154" s="2" t="s">
        <v>2050</v>
      </c>
      <c r="BB154" s="2" t="s">
        <v>21</v>
      </c>
      <c r="BD154" s="2" t="s">
        <v>2051</v>
      </c>
      <c r="BE154" s="2" t="s">
        <v>2052</v>
      </c>
      <c r="BF154" s="2" t="s">
        <v>2053</v>
      </c>
    </row>
    <row r="155" spans="1:58" ht="42.75" customHeight="1" x14ac:dyDescent="0.25">
      <c r="A155" s="8" t="s">
        <v>8</v>
      </c>
      <c r="B155" s="1" t="s">
        <v>0</v>
      </c>
      <c r="C155" s="1" t="s">
        <v>1</v>
      </c>
      <c r="D155" s="1" t="s">
        <v>2054</v>
      </c>
      <c r="E155" s="1" t="s">
        <v>2055</v>
      </c>
      <c r="F155" s="1" t="s">
        <v>2056</v>
      </c>
      <c r="H155" s="2" t="s">
        <v>8</v>
      </c>
      <c r="I155" s="2" t="s">
        <v>7</v>
      </c>
      <c r="J155" s="2" t="s">
        <v>6</v>
      </c>
      <c r="K155" s="2" t="s">
        <v>6</v>
      </c>
      <c r="L155" s="2" t="s">
        <v>9</v>
      </c>
      <c r="M155" s="1" t="s">
        <v>1430</v>
      </c>
      <c r="N155" s="1" t="s">
        <v>2057</v>
      </c>
      <c r="O155" s="2" t="s">
        <v>959</v>
      </c>
      <c r="P155" s="1" t="s">
        <v>1537</v>
      </c>
      <c r="Q155" s="2" t="s">
        <v>12</v>
      </c>
      <c r="R155" s="2" t="s">
        <v>774</v>
      </c>
      <c r="T155" s="2" t="s">
        <v>14</v>
      </c>
      <c r="U155" s="3">
        <v>2</v>
      </c>
      <c r="V155" s="3">
        <v>5</v>
      </c>
      <c r="W155" s="4" t="s">
        <v>2058</v>
      </c>
      <c r="X155" s="4" t="s">
        <v>2058</v>
      </c>
      <c r="Y155" s="4" t="s">
        <v>2059</v>
      </c>
      <c r="Z155" s="4" t="s">
        <v>2059</v>
      </c>
      <c r="AA155" s="3">
        <v>126</v>
      </c>
      <c r="AB155" s="3">
        <v>100</v>
      </c>
      <c r="AC155" s="3">
        <v>663</v>
      </c>
      <c r="AD155" s="3">
        <v>1</v>
      </c>
      <c r="AE155" s="3">
        <v>4</v>
      </c>
      <c r="AF155" s="3">
        <v>1</v>
      </c>
      <c r="AG155" s="3">
        <v>11</v>
      </c>
      <c r="AH155" s="3">
        <v>0</v>
      </c>
      <c r="AI155" s="3">
        <v>2</v>
      </c>
      <c r="AJ155" s="3">
        <v>0</v>
      </c>
      <c r="AK155" s="3">
        <v>3</v>
      </c>
      <c r="AL155" s="3">
        <v>1</v>
      </c>
      <c r="AM155" s="3">
        <v>6</v>
      </c>
      <c r="AN155" s="3">
        <v>0</v>
      </c>
      <c r="AO155" s="3">
        <v>3</v>
      </c>
      <c r="AP155" s="3">
        <v>0</v>
      </c>
      <c r="AQ155" s="3">
        <v>0</v>
      </c>
      <c r="AR155" s="2" t="s">
        <v>8</v>
      </c>
      <c r="AS155" s="2" t="s">
        <v>6</v>
      </c>
      <c r="AT155" s="5" t="str">
        <f>HYPERLINK("http://catalog.hathitrust.org/Record/005615101","HathiTrust Record")</f>
        <v>HathiTrust Record</v>
      </c>
      <c r="AU155" s="5" t="str">
        <f>HYPERLINK("https://creighton-primo.hosted.exlibrisgroup.com/primo-explore/search?tab=default_tab&amp;search_scope=EVERYTHING&amp;vid=01CRU&amp;lang=en_US&amp;offset=0&amp;query=any,contains,991001737249702656","Catalog Record")</f>
        <v>Catalog Record</v>
      </c>
      <c r="AV155" s="5" t="str">
        <f>HYPERLINK("http://www.worldcat.org/oclc/58731708","WorldCat Record")</f>
        <v>WorldCat Record</v>
      </c>
      <c r="AW155" s="2" t="s">
        <v>1434</v>
      </c>
      <c r="AX155" s="2" t="s">
        <v>2060</v>
      </c>
      <c r="AY155" s="2" t="s">
        <v>2061</v>
      </c>
      <c r="AZ155" s="2" t="s">
        <v>2061</v>
      </c>
      <c r="BA155" s="2" t="s">
        <v>2062</v>
      </c>
      <c r="BB155" s="2" t="s">
        <v>21</v>
      </c>
      <c r="BD155" s="2" t="s">
        <v>2063</v>
      </c>
      <c r="BE155" s="2" t="s">
        <v>2064</v>
      </c>
      <c r="BF155" s="2" t="s">
        <v>2065</v>
      </c>
    </row>
    <row r="156" spans="1:58" ht="42.75" customHeight="1" x14ac:dyDescent="0.25">
      <c r="A156" s="8" t="s">
        <v>8</v>
      </c>
      <c r="B156" s="1" t="s">
        <v>0</v>
      </c>
      <c r="C156" s="1" t="s">
        <v>1</v>
      </c>
      <c r="D156" s="1" t="s">
        <v>2066</v>
      </c>
      <c r="E156" s="1" t="s">
        <v>2055</v>
      </c>
      <c r="F156" s="1" t="s">
        <v>2056</v>
      </c>
      <c r="H156" s="2" t="s">
        <v>8</v>
      </c>
      <c r="I156" s="2" t="s">
        <v>7</v>
      </c>
      <c r="J156" s="2" t="s">
        <v>6</v>
      </c>
      <c r="K156" s="2" t="s">
        <v>6</v>
      </c>
      <c r="L156" s="2" t="s">
        <v>9</v>
      </c>
      <c r="M156" s="1" t="s">
        <v>1430</v>
      </c>
      <c r="N156" s="1" t="s">
        <v>2057</v>
      </c>
      <c r="O156" s="2" t="s">
        <v>959</v>
      </c>
      <c r="P156" s="1" t="s">
        <v>1537</v>
      </c>
      <c r="Q156" s="2" t="s">
        <v>12</v>
      </c>
      <c r="R156" s="2" t="s">
        <v>774</v>
      </c>
      <c r="T156" s="2" t="s">
        <v>14</v>
      </c>
      <c r="U156" s="3">
        <v>3</v>
      </c>
      <c r="V156" s="3">
        <v>5</v>
      </c>
      <c r="W156" s="4" t="s">
        <v>2058</v>
      </c>
      <c r="X156" s="4" t="s">
        <v>2058</v>
      </c>
      <c r="Y156" s="4" t="s">
        <v>961</v>
      </c>
      <c r="Z156" s="4" t="s">
        <v>2059</v>
      </c>
      <c r="AA156" s="3">
        <v>126</v>
      </c>
      <c r="AB156" s="3">
        <v>100</v>
      </c>
      <c r="AC156" s="3">
        <v>663</v>
      </c>
      <c r="AD156" s="3">
        <v>1</v>
      </c>
      <c r="AE156" s="3">
        <v>4</v>
      </c>
      <c r="AF156" s="3">
        <v>1</v>
      </c>
      <c r="AG156" s="3">
        <v>11</v>
      </c>
      <c r="AH156" s="3">
        <v>0</v>
      </c>
      <c r="AI156" s="3">
        <v>2</v>
      </c>
      <c r="AJ156" s="3">
        <v>0</v>
      </c>
      <c r="AK156" s="3">
        <v>3</v>
      </c>
      <c r="AL156" s="3">
        <v>1</v>
      </c>
      <c r="AM156" s="3">
        <v>6</v>
      </c>
      <c r="AN156" s="3">
        <v>0</v>
      </c>
      <c r="AO156" s="3">
        <v>3</v>
      </c>
      <c r="AP156" s="3">
        <v>0</v>
      </c>
      <c r="AQ156" s="3">
        <v>0</v>
      </c>
      <c r="AR156" s="2" t="s">
        <v>8</v>
      </c>
      <c r="AS156" s="2" t="s">
        <v>6</v>
      </c>
      <c r="AT156" s="5" t="str">
        <f>HYPERLINK("http://catalog.hathitrust.org/Record/005615101","HathiTrust Record")</f>
        <v>HathiTrust Record</v>
      </c>
      <c r="AU156" s="5" t="str">
        <f>HYPERLINK("https://creighton-primo.hosted.exlibrisgroup.com/primo-explore/search?tab=default_tab&amp;search_scope=EVERYTHING&amp;vid=01CRU&amp;lang=en_US&amp;offset=0&amp;query=any,contains,991001737249702656","Catalog Record")</f>
        <v>Catalog Record</v>
      </c>
      <c r="AV156" s="5" t="str">
        <f>HYPERLINK("http://www.worldcat.org/oclc/58731708","WorldCat Record")</f>
        <v>WorldCat Record</v>
      </c>
      <c r="AW156" s="2" t="s">
        <v>1434</v>
      </c>
      <c r="AX156" s="2" t="s">
        <v>2060</v>
      </c>
      <c r="AY156" s="2" t="s">
        <v>2061</v>
      </c>
      <c r="AZ156" s="2" t="s">
        <v>2061</v>
      </c>
      <c r="BA156" s="2" t="s">
        <v>2062</v>
      </c>
      <c r="BB156" s="2" t="s">
        <v>21</v>
      </c>
      <c r="BD156" s="2" t="s">
        <v>2063</v>
      </c>
      <c r="BE156" s="2" t="s">
        <v>2067</v>
      </c>
      <c r="BF156" s="2" t="s">
        <v>2068</v>
      </c>
    </row>
    <row r="157" spans="1:58" ht="42.75" customHeight="1" x14ac:dyDescent="0.25">
      <c r="A157" s="8" t="s">
        <v>8</v>
      </c>
      <c r="B157" s="1" t="s">
        <v>0</v>
      </c>
      <c r="C157" s="1" t="s">
        <v>1</v>
      </c>
      <c r="D157" s="1" t="s">
        <v>2069</v>
      </c>
      <c r="E157" s="1" t="s">
        <v>2070</v>
      </c>
      <c r="F157" s="1" t="s">
        <v>2071</v>
      </c>
      <c r="H157" s="2" t="s">
        <v>8</v>
      </c>
      <c r="I157" s="2" t="s">
        <v>7</v>
      </c>
      <c r="J157" s="2" t="s">
        <v>8</v>
      </c>
      <c r="K157" s="2" t="s">
        <v>8</v>
      </c>
      <c r="L157" s="2" t="s">
        <v>9</v>
      </c>
      <c r="M157" s="1" t="s">
        <v>2072</v>
      </c>
      <c r="N157" s="1" t="s">
        <v>2073</v>
      </c>
      <c r="O157" s="2" t="s">
        <v>2074</v>
      </c>
      <c r="P157" s="1" t="s">
        <v>1537</v>
      </c>
      <c r="Q157" s="2" t="s">
        <v>12</v>
      </c>
      <c r="R157" s="2" t="s">
        <v>774</v>
      </c>
      <c r="T157" s="2" t="s">
        <v>14</v>
      </c>
      <c r="U157" s="3">
        <v>0</v>
      </c>
      <c r="V157" s="3">
        <v>0</v>
      </c>
      <c r="W157" s="4" t="s">
        <v>2075</v>
      </c>
      <c r="X157" s="4" t="s">
        <v>2075</v>
      </c>
      <c r="Y157" s="4" t="s">
        <v>2076</v>
      </c>
      <c r="Z157" s="4" t="s">
        <v>2076</v>
      </c>
      <c r="AA157" s="3">
        <v>168</v>
      </c>
      <c r="AB157" s="3">
        <v>147</v>
      </c>
      <c r="AC157" s="3">
        <v>517</v>
      </c>
      <c r="AD157" s="3">
        <v>1</v>
      </c>
      <c r="AE157" s="3">
        <v>3</v>
      </c>
      <c r="AF157" s="3">
        <v>2</v>
      </c>
      <c r="AG157" s="3">
        <v>7</v>
      </c>
      <c r="AH157" s="3">
        <v>1</v>
      </c>
      <c r="AI157" s="3">
        <v>2</v>
      </c>
      <c r="AJ157" s="3">
        <v>1</v>
      </c>
      <c r="AK157" s="3">
        <v>2</v>
      </c>
      <c r="AL157" s="3">
        <v>1</v>
      </c>
      <c r="AM157" s="3">
        <v>2</v>
      </c>
      <c r="AN157" s="3">
        <v>0</v>
      </c>
      <c r="AO157" s="3">
        <v>2</v>
      </c>
      <c r="AP157" s="3">
        <v>0</v>
      </c>
      <c r="AQ157" s="3">
        <v>0</v>
      </c>
      <c r="AR157" s="2" t="s">
        <v>8</v>
      </c>
      <c r="AS157" s="2" t="s">
        <v>6</v>
      </c>
      <c r="AT157" s="5" t="str">
        <f>HYPERLINK("http://catalog.hathitrust.org/Record/012265597","HathiTrust Record")</f>
        <v>HathiTrust Record</v>
      </c>
      <c r="AU157" s="5" t="str">
        <f>HYPERLINK("https://creighton-primo.hosted.exlibrisgroup.com/primo-explore/search?tab=default_tab&amp;search_scope=EVERYTHING&amp;vid=01CRU&amp;lang=en_US&amp;offset=0&amp;query=any,contains,991000042519702656","Catalog Record")</f>
        <v>Catalog Record</v>
      </c>
      <c r="AV157" s="5" t="str">
        <f>HYPERLINK("http://www.worldcat.org/oclc/460057384","WorldCat Record")</f>
        <v>WorldCat Record</v>
      </c>
      <c r="AW157" s="2" t="s">
        <v>2077</v>
      </c>
      <c r="AX157" s="2" t="s">
        <v>2078</v>
      </c>
      <c r="AY157" s="2" t="s">
        <v>2079</v>
      </c>
      <c r="AZ157" s="2" t="s">
        <v>2079</v>
      </c>
      <c r="BA157" s="2" t="s">
        <v>2080</v>
      </c>
      <c r="BB157" s="2" t="s">
        <v>21</v>
      </c>
      <c r="BD157" s="2" t="s">
        <v>2081</v>
      </c>
      <c r="BE157" s="2" t="s">
        <v>2082</v>
      </c>
      <c r="BF157" s="2" t="s">
        <v>2083</v>
      </c>
    </row>
    <row r="158" spans="1:58" ht="42.75" customHeight="1" x14ac:dyDescent="0.25">
      <c r="A158" s="8" t="s">
        <v>8</v>
      </c>
      <c r="B158" s="1" t="s">
        <v>0</v>
      </c>
      <c r="C158" s="1" t="s">
        <v>1</v>
      </c>
      <c r="D158" s="1" t="s">
        <v>2084</v>
      </c>
      <c r="E158" s="1" t="s">
        <v>2085</v>
      </c>
      <c r="F158" s="1" t="s">
        <v>2086</v>
      </c>
      <c r="H158" s="2" t="s">
        <v>8</v>
      </c>
      <c r="I158" s="2" t="s">
        <v>7</v>
      </c>
      <c r="J158" s="2" t="s">
        <v>8</v>
      </c>
      <c r="K158" s="2" t="s">
        <v>8</v>
      </c>
      <c r="L158" s="2" t="s">
        <v>9</v>
      </c>
      <c r="M158" s="1" t="s">
        <v>2087</v>
      </c>
      <c r="N158" s="1" t="s">
        <v>2088</v>
      </c>
      <c r="O158" s="2" t="s">
        <v>2089</v>
      </c>
      <c r="P158" s="1" t="s">
        <v>2090</v>
      </c>
      <c r="Q158" s="2" t="s">
        <v>12</v>
      </c>
      <c r="R158" s="2" t="s">
        <v>456</v>
      </c>
      <c r="S158" s="1" t="s">
        <v>2091</v>
      </c>
      <c r="T158" s="2" t="s">
        <v>14</v>
      </c>
      <c r="U158" s="3">
        <v>3</v>
      </c>
      <c r="V158" s="3">
        <v>3</v>
      </c>
      <c r="W158" s="4" t="s">
        <v>2092</v>
      </c>
      <c r="X158" s="4" t="s">
        <v>2092</v>
      </c>
      <c r="Y158" s="4" t="s">
        <v>2093</v>
      </c>
      <c r="Z158" s="4" t="s">
        <v>2093</v>
      </c>
      <c r="AA158" s="3">
        <v>102</v>
      </c>
      <c r="AB158" s="3">
        <v>77</v>
      </c>
      <c r="AC158" s="3">
        <v>178</v>
      </c>
      <c r="AD158" s="3">
        <v>1</v>
      </c>
      <c r="AE158" s="3">
        <v>1</v>
      </c>
      <c r="AF158" s="3">
        <v>2</v>
      </c>
      <c r="AG158" s="3">
        <v>5</v>
      </c>
      <c r="AH158" s="3">
        <v>1</v>
      </c>
      <c r="AI158" s="3">
        <v>2</v>
      </c>
      <c r="AJ158" s="3">
        <v>1</v>
      </c>
      <c r="AK158" s="3">
        <v>3</v>
      </c>
      <c r="AL158" s="3">
        <v>1</v>
      </c>
      <c r="AM158" s="3">
        <v>1</v>
      </c>
      <c r="AN158" s="3">
        <v>0</v>
      </c>
      <c r="AO158" s="3">
        <v>0</v>
      </c>
      <c r="AP158" s="3">
        <v>0</v>
      </c>
      <c r="AQ158" s="3">
        <v>0</v>
      </c>
      <c r="AR158" s="2" t="s">
        <v>8</v>
      </c>
      <c r="AS158" s="2" t="s">
        <v>8</v>
      </c>
      <c r="AU158" s="5" t="str">
        <f>HYPERLINK("https://creighton-primo.hosted.exlibrisgroup.com/primo-explore/search?tab=default_tab&amp;search_scope=EVERYTHING&amp;vid=01CRU&amp;lang=en_US&amp;offset=0&amp;query=any,contains,991000907449702656","Catalog Record")</f>
        <v>Catalog Record</v>
      </c>
      <c r="AV158" s="5" t="str">
        <f>HYPERLINK("http://www.worldcat.org/oclc/61167797","WorldCat Record")</f>
        <v>WorldCat Record</v>
      </c>
      <c r="AW158" s="2" t="s">
        <v>2094</v>
      </c>
      <c r="AX158" s="2" t="s">
        <v>2095</v>
      </c>
      <c r="AY158" s="2" t="s">
        <v>2096</v>
      </c>
      <c r="AZ158" s="2" t="s">
        <v>2096</v>
      </c>
      <c r="BA158" s="2" t="s">
        <v>2097</v>
      </c>
      <c r="BB158" s="2" t="s">
        <v>21</v>
      </c>
      <c r="BD158" s="2" t="s">
        <v>2098</v>
      </c>
      <c r="BE158" s="2" t="s">
        <v>2099</v>
      </c>
      <c r="BF158" s="2" t="s">
        <v>2100</v>
      </c>
    </row>
    <row r="159" spans="1:58" ht="42.75" customHeight="1" x14ac:dyDescent="0.25">
      <c r="A159" s="8" t="s">
        <v>8</v>
      </c>
      <c r="B159" s="1" t="s">
        <v>0</v>
      </c>
      <c r="C159" s="1" t="s">
        <v>1</v>
      </c>
      <c r="D159" s="1" t="s">
        <v>2101</v>
      </c>
      <c r="E159" s="1" t="s">
        <v>2102</v>
      </c>
      <c r="F159" s="1" t="s">
        <v>2103</v>
      </c>
      <c r="H159" s="2" t="s">
        <v>8</v>
      </c>
      <c r="I159" s="2" t="s">
        <v>7</v>
      </c>
      <c r="J159" s="2" t="s">
        <v>8</v>
      </c>
      <c r="K159" s="2" t="s">
        <v>8</v>
      </c>
      <c r="L159" s="2" t="s">
        <v>9</v>
      </c>
      <c r="N159" s="1" t="s">
        <v>2104</v>
      </c>
      <c r="O159" s="2" t="s">
        <v>814</v>
      </c>
      <c r="P159" s="1" t="s">
        <v>83</v>
      </c>
      <c r="Q159" s="2" t="s">
        <v>12</v>
      </c>
      <c r="R159" s="2" t="s">
        <v>456</v>
      </c>
      <c r="S159" s="1" t="s">
        <v>2105</v>
      </c>
      <c r="T159" s="2" t="s">
        <v>14</v>
      </c>
      <c r="U159" s="3">
        <v>26</v>
      </c>
      <c r="V159" s="3">
        <v>26</v>
      </c>
      <c r="W159" s="4" t="s">
        <v>2106</v>
      </c>
      <c r="X159" s="4" t="s">
        <v>2106</v>
      </c>
      <c r="Y159" s="4" t="s">
        <v>2107</v>
      </c>
      <c r="Z159" s="4" t="s">
        <v>2107</v>
      </c>
      <c r="AA159" s="3">
        <v>118</v>
      </c>
      <c r="AB159" s="3">
        <v>77</v>
      </c>
      <c r="AC159" s="3">
        <v>82</v>
      </c>
      <c r="AD159" s="3">
        <v>1</v>
      </c>
      <c r="AE159" s="3">
        <v>1</v>
      </c>
      <c r="AF159" s="3">
        <v>4</v>
      </c>
      <c r="AG159" s="3">
        <v>4</v>
      </c>
      <c r="AH159" s="3">
        <v>0</v>
      </c>
      <c r="AI159" s="3">
        <v>0</v>
      </c>
      <c r="AJ159" s="3">
        <v>2</v>
      </c>
      <c r="AK159" s="3">
        <v>2</v>
      </c>
      <c r="AL159" s="3">
        <v>3</v>
      </c>
      <c r="AM159" s="3">
        <v>3</v>
      </c>
      <c r="AN159" s="3">
        <v>0</v>
      </c>
      <c r="AO159" s="3">
        <v>0</v>
      </c>
      <c r="AP159" s="3">
        <v>0</v>
      </c>
      <c r="AQ159" s="3">
        <v>0</v>
      </c>
      <c r="AR159" s="2" t="s">
        <v>8</v>
      </c>
      <c r="AS159" s="2" t="s">
        <v>8</v>
      </c>
      <c r="AU159" s="5" t="str">
        <f>HYPERLINK("https://creighton-primo.hosted.exlibrisgroup.com/primo-explore/search?tab=default_tab&amp;search_scope=EVERYTHING&amp;vid=01CRU&amp;lang=en_US&amp;offset=0&amp;query=any,contains,991000325329702656","Catalog Record")</f>
        <v>Catalog Record</v>
      </c>
      <c r="AV159" s="5" t="str">
        <f>HYPERLINK("http://www.worldcat.org/oclc/39764102","WorldCat Record")</f>
        <v>WorldCat Record</v>
      </c>
      <c r="AW159" s="2" t="s">
        <v>2108</v>
      </c>
      <c r="AX159" s="2" t="s">
        <v>2109</v>
      </c>
      <c r="AY159" s="2" t="s">
        <v>2110</v>
      </c>
      <c r="AZ159" s="2" t="s">
        <v>2110</v>
      </c>
      <c r="BA159" s="2" t="s">
        <v>2111</v>
      </c>
      <c r="BB159" s="2" t="s">
        <v>21</v>
      </c>
      <c r="BD159" s="2" t="s">
        <v>2112</v>
      </c>
      <c r="BE159" s="2" t="s">
        <v>2113</v>
      </c>
      <c r="BF159" s="2" t="s">
        <v>2114</v>
      </c>
    </row>
    <row r="160" spans="1:58" ht="42.75" customHeight="1" x14ac:dyDescent="0.25">
      <c r="A160" s="8" t="s">
        <v>8</v>
      </c>
      <c r="B160" s="1" t="s">
        <v>0</v>
      </c>
      <c r="C160" s="1" t="s">
        <v>1</v>
      </c>
      <c r="D160" s="1" t="s">
        <v>2115</v>
      </c>
      <c r="E160" s="1" t="s">
        <v>2116</v>
      </c>
      <c r="F160" s="1" t="s">
        <v>2117</v>
      </c>
      <c r="H160" s="2" t="s">
        <v>8</v>
      </c>
      <c r="I160" s="2" t="s">
        <v>7</v>
      </c>
      <c r="J160" s="2" t="s">
        <v>8</v>
      </c>
      <c r="K160" s="2" t="s">
        <v>8</v>
      </c>
      <c r="L160" s="2" t="s">
        <v>9</v>
      </c>
      <c r="N160" s="1" t="s">
        <v>2118</v>
      </c>
      <c r="O160" s="2" t="s">
        <v>673</v>
      </c>
      <c r="P160" s="1" t="s">
        <v>732</v>
      </c>
      <c r="Q160" s="2" t="s">
        <v>12</v>
      </c>
      <c r="R160" s="2" t="s">
        <v>456</v>
      </c>
      <c r="S160" s="1" t="s">
        <v>2091</v>
      </c>
      <c r="T160" s="2" t="s">
        <v>14</v>
      </c>
      <c r="U160" s="3">
        <v>9</v>
      </c>
      <c r="V160" s="3">
        <v>9</v>
      </c>
      <c r="W160" s="4" t="s">
        <v>1979</v>
      </c>
      <c r="X160" s="4" t="s">
        <v>1979</v>
      </c>
      <c r="Y160" s="4" t="s">
        <v>2093</v>
      </c>
      <c r="Z160" s="4" t="s">
        <v>2093</v>
      </c>
      <c r="AA160" s="3">
        <v>68</v>
      </c>
      <c r="AB160" s="3">
        <v>53</v>
      </c>
      <c r="AC160" s="3">
        <v>53</v>
      </c>
      <c r="AD160" s="3">
        <v>1</v>
      </c>
      <c r="AE160" s="3">
        <v>1</v>
      </c>
      <c r="AF160" s="3">
        <v>1</v>
      </c>
      <c r="AG160" s="3">
        <v>1</v>
      </c>
      <c r="AH160" s="3">
        <v>1</v>
      </c>
      <c r="AI160" s="3">
        <v>1</v>
      </c>
      <c r="AJ160" s="3">
        <v>0</v>
      </c>
      <c r="AK160" s="3">
        <v>0</v>
      </c>
      <c r="AL160" s="3">
        <v>0</v>
      </c>
      <c r="AM160" s="3">
        <v>0</v>
      </c>
      <c r="AN160" s="3">
        <v>0</v>
      </c>
      <c r="AO160" s="3">
        <v>0</v>
      </c>
      <c r="AP160" s="3">
        <v>0</v>
      </c>
      <c r="AQ160" s="3">
        <v>0</v>
      </c>
      <c r="AR160" s="2" t="s">
        <v>8</v>
      </c>
      <c r="AS160" s="2" t="s">
        <v>8</v>
      </c>
      <c r="AU160" s="5" t="str">
        <f>HYPERLINK("https://creighton-primo.hosted.exlibrisgroup.com/primo-explore/search?tab=default_tab&amp;search_scope=EVERYTHING&amp;vid=01CRU&amp;lang=en_US&amp;offset=0&amp;query=any,contains,991000907409702656","Catalog Record")</f>
        <v>Catalog Record</v>
      </c>
      <c r="AV160" s="5" t="str">
        <f>HYPERLINK("http://www.worldcat.org/oclc/62342245","WorldCat Record")</f>
        <v>WorldCat Record</v>
      </c>
      <c r="AW160" s="2" t="s">
        <v>2119</v>
      </c>
      <c r="AX160" s="2" t="s">
        <v>2120</v>
      </c>
      <c r="AY160" s="2" t="s">
        <v>2121</v>
      </c>
      <c r="AZ160" s="2" t="s">
        <v>2121</v>
      </c>
      <c r="BA160" s="2" t="s">
        <v>2122</v>
      </c>
      <c r="BB160" s="2" t="s">
        <v>21</v>
      </c>
      <c r="BD160" s="2" t="s">
        <v>2123</v>
      </c>
      <c r="BE160" s="2" t="s">
        <v>2124</v>
      </c>
      <c r="BF160" s="2" t="s">
        <v>2125</v>
      </c>
    </row>
    <row r="161" spans="1:58" ht="42.75" customHeight="1" x14ac:dyDescent="0.25">
      <c r="A161" s="8" t="s">
        <v>8</v>
      </c>
      <c r="B161" s="1" t="s">
        <v>0</v>
      </c>
      <c r="C161" s="1" t="s">
        <v>1</v>
      </c>
      <c r="D161" s="1" t="s">
        <v>2126</v>
      </c>
      <c r="E161" s="1" t="s">
        <v>2127</v>
      </c>
      <c r="F161" s="1" t="s">
        <v>2128</v>
      </c>
      <c r="H161" s="2" t="s">
        <v>8</v>
      </c>
      <c r="I161" s="2" t="s">
        <v>7</v>
      </c>
      <c r="J161" s="2" t="s">
        <v>8</v>
      </c>
      <c r="K161" s="2" t="s">
        <v>8</v>
      </c>
      <c r="L161" s="2" t="s">
        <v>9</v>
      </c>
      <c r="N161" s="1" t="s">
        <v>2129</v>
      </c>
      <c r="O161" s="2" t="s">
        <v>657</v>
      </c>
      <c r="P161" s="1" t="s">
        <v>2130</v>
      </c>
      <c r="Q161" s="2" t="s">
        <v>12</v>
      </c>
      <c r="R161" s="2" t="s">
        <v>456</v>
      </c>
      <c r="T161" s="2" t="s">
        <v>14</v>
      </c>
      <c r="U161" s="3">
        <v>8</v>
      </c>
      <c r="V161" s="3">
        <v>8</v>
      </c>
      <c r="W161" s="4" t="s">
        <v>1765</v>
      </c>
      <c r="X161" s="4" t="s">
        <v>1765</v>
      </c>
      <c r="Y161" s="4" t="s">
        <v>2131</v>
      </c>
      <c r="Z161" s="4" t="s">
        <v>2131</v>
      </c>
      <c r="AA161" s="3">
        <v>116</v>
      </c>
      <c r="AB161" s="3">
        <v>83</v>
      </c>
      <c r="AC161" s="3">
        <v>83</v>
      </c>
      <c r="AD161" s="3">
        <v>1</v>
      </c>
      <c r="AE161" s="3">
        <v>1</v>
      </c>
      <c r="AF161" s="3">
        <v>1</v>
      </c>
      <c r="AG161" s="3">
        <v>1</v>
      </c>
      <c r="AH161" s="3">
        <v>0</v>
      </c>
      <c r="AI161" s="3">
        <v>0</v>
      </c>
      <c r="AJ161" s="3">
        <v>1</v>
      </c>
      <c r="AK161" s="3">
        <v>1</v>
      </c>
      <c r="AL161" s="3">
        <v>0</v>
      </c>
      <c r="AM161" s="3">
        <v>0</v>
      </c>
      <c r="AN161" s="3">
        <v>0</v>
      </c>
      <c r="AO161" s="3">
        <v>0</v>
      </c>
      <c r="AP161" s="3">
        <v>0</v>
      </c>
      <c r="AQ161" s="3">
        <v>0</v>
      </c>
      <c r="AR161" s="2" t="s">
        <v>8</v>
      </c>
      <c r="AS161" s="2" t="s">
        <v>8</v>
      </c>
      <c r="AU161" s="5" t="str">
        <f>HYPERLINK("https://creighton-primo.hosted.exlibrisgroup.com/primo-explore/search?tab=default_tab&amp;search_scope=EVERYTHING&amp;vid=01CRU&amp;lang=en_US&amp;offset=0&amp;query=any,contains,991000292089702656","Catalog Record")</f>
        <v>Catalog Record</v>
      </c>
      <c r="AV161" s="5" t="str">
        <f>HYPERLINK("http://www.worldcat.org/oclc/45661800","WorldCat Record")</f>
        <v>WorldCat Record</v>
      </c>
      <c r="AW161" s="2" t="s">
        <v>2132</v>
      </c>
      <c r="AX161" s="2" t="s">
        <v>2133</v>
      </c>
      <c r="AY161" s="2" t="s">
        <v>2134</v>
      </c>
      <c r="AZ161" s="2" t="s">
        <v>2134</v>
      </c>
      <c r="BA161" s="2" t="s">
        <v>2135</v>
      </c>
      <c r="BB161" s="2" t="s">
        <v>21</v>
      </c>
      <c r="BD161" s="2" t="s">
        <v>2136</v>
      </c>
      <c r="BE161" s="2" t="s">
        <v>2137</v>
      </c>
      <c r="BF161" s="2" t="s">
        <v>2138</v>
      </c>
    </row>
    <row r="162" spans="1:58" ht="42.75" customHeight="1" x14ac:dyDescent="0.25">
      <c r="A162" s="8" t="s">
        <v>8</v>
      </c>
      <c r="B162" s="1" t="s">
        <v>0</v>
      </c>
      <c r="C162" s="1" t="s">
        <v>1</v>
      </c>
      <c r="D162" s="1" t="s">
        <v>2139</v>
      </c>
      <c r="E162" s="1" t="s">
        <v>2140</v>
      </c>
      <c r="F162" s="1" t="s">
        <v>2141</v>
      </c>
      <c r="H162" s="2" t="s">
        <v>8</v>
      </c>
      <c r="I162" s="2" t="s">
        <v>7</v>
      </c>
      <c r="J162" s="2" t="s">
        <v>8</v>
      </c>
      <c r="K162" s="2" t="s">
        <v>8</v>
      </c>
      <c r="L162" s="2" t="s">
        <v>9</v>
      </c>
      <c r="M162" s="1" t="s">
        <v>2142</v>
      </c>
      <c r="N162" s="1" t="s">
        <v>2143</v>
      </c>
      <c r="O162" s="2" t="s">
        <v>2144</v>
      </c>
      <c r="P162" s="1" t="s">
        <v>2031</v>
      </c>
      <c r="Q162" s="2" t="s">
        <v>12</v>
      </c>
      <c r="R162" s="2" t="s">
        <v>1340</v>
      </c>
      <c r="T162" s="2" t="s">
        <v>14</v>
      </c>
      <c r="U162" s="3">
        <v>1</v>
      </c>
      <c r="V162" s="3">
        <v>1</v>
      </c>
      <c r="W162" s="4" t="s">
        <v>2145</v>
      </c>
      <c r="X162" s="4" t="s">
        <v>2145</v>
      </c>
      <c r="Y162" s="4" t="s">
        <v>2145</v>
      </c>
      <c r="Z162" s="4" t="s">
        <v>2145</v>
      </c>
      <c r="AA162" s="3">
        <v>24</v>
      </c>
      <c r="AB162" s="3">
        <v>20</v>
      </c>
      <c r="AC162" s="3">
        <v>27</v>
      </c>
      <c r="AD162" s="3">
        <v>1</v>
      </c>
      <c r="AE162" s="3">
        <v>1</v>
      </c>
      <c r="AF162" s="3">
        <v>0</v>
      </c>
      <c r="AG162" s="3">
        <v>0</v>
      </c>
      <c r="AH162" s="3">
        <v>0</v>
      </c>
      <c r="AI162" s="3">
        <v>0</v>
      </c>
      <c r="AJ162" s="3">
        <v>0</v>
      </c>
      <c r="AK162" s="3">
        <v>0</v>
      </c>
      <c r="AL162" s="3">
        <v>0</v>
      </c>
      <c r="AM162" s="3">
        <v>0</v>
      </c>
      <c r="AN162" s="3">
        <v>0</v>
      </c>
      <c r="AO162" s="3">
        <v>0</v>
      </c>
      <c r="AP162" s="3">
        <v>0</v>
      </c>
      <c r="AQ162" s="3">
        <v>0</v>
      </c>
      <c r="AR162" s="2" t="s">
        <v>8</v>
      </c>
      <c r="AS162" s="2" t="s">
        <v>8</v>
      </c>
      <c r="AU162" s="5" t="str">
        <f>HYPERLINK("https://creighton-primo.hosted.exlibrisgroup.com/primo-explore/search?tab=default_tab&amp;search_scope=EVERYTHING&amp;vid=01CRU&amp;lang=en_US&amp;offset=0&amp;query=any,contains,991000031489702656","Catalog Record")</f>
        <v>Catalog Record</v>
      </c>
      <c r="AV162" s="5" t="str">
        <f>HYPERLINK("http://www.worldcat.org/oclc/276229008","WorldCat Record")</f>
        <v>WorldCat Record</v>
      </c>
      <c r="AW162" s="2" t="s">
        <v>2146</v>
      </c>
      <c r="AX162" s="2" t="s">
        <v>2147</v>
      </c>
      <c r="AY162" s="2" t="s">
        <v>2148</v>
      </c>
      <c r="AZ162" s="2" t="s">
        <v>2148</v>
      </c>
      <c r="BA162" s="2" t="s">
        <v>2149</v>
      </c>
      <c r="BB162" s="2" t="s">
        <v>21</v>
      </c>
      <c r="BD162" s="2" t="s">
        <v>2150</v>
      </c>
      <c r="BE162" s="2" t="s">
        <v>2151</v>
      </c>
      <c r="BF162" s="2" t="s">
        <v>2152</v>
      </c>
    </row>
    <row r="163" spans="1:58" ht="42.75" customHeight="1" x14ac:dyDescent="0.25">
      <c r="A163" s="8" t="s">
        <v>8</v>
      </c>
      <c r="B163" s="1" t="s">
        <v>0</v>
      </c>
      <c r="C163" s="1" t="s">
        <v>1</v>
      </c>
      <c r="D163" s="1" t="s">
        <v>2153</v>
      </c>
      <c r="E163" s="1" t="s">
        <v>2154</v>
      </c>
      <c r="F163" s="1" t="s">
        <v>2155</v>
      </c>
      <c r="H163" s="2" t="s">
        <v>8</v>
      </c>
      <c r="I163" s="2" t="s">
        <v>7</v>
      </c>
      <c r="J163" s="2" t="s">
        <v>8</v>
      </c>
      <c r="K163" s="2" t="s">
        <v>8</v>
      </c>
      <c r="L163" s="2" t="s">
        <v>9</v>
      </c>
      <c r="N163" s="1" t="s">
        <v>2156</v>
      </c>
      <c r="O163" s="2" t="s">
        <v>2044</v>
      </c>
      <c r="Q163" s="2" t="s">
        <v>12</v>
      </c>
      <c r="R163" s="2" t="s">
        <v>774</v>
      </c>
      <c r="S163" s="1" t="s">
        <v>2157</v>
      </c>
      <c r="T163" s="2" t="s">
        <v>14</v>
      </c>
      <c r="U163" s="3">
        <v>6</v>
      </c>
      <c r="V163" s="3">
        <v>6</v>
      </c>
      <c r="W163" s="4" t="s">
        <v>2158</v>
      </c>
      <c r="X163" s="4" t="s">
        <v>2158</v>
      </c>
      <c r="Y163" s="4" t="s">
        <v>2159</v>
      </c>
      <c r="Z163" s="4" t="s">
        <v>2159</v>
      </c>
      <c r="AA163" s="3">
        <v>37</v>
      </c>
      <c r="AB163" s="3">
        <v>28</v>
      </c>
      <c r="AC163" s="3">
        <v>28</v>
      </c>
      <c r="AD163" s="3">
        <v>1</v>
      </c>
      <c r="AE163" s="3">
        <v>1</v>
      </c>
      <c r="AF163" s="3">
        <v>1</v>
      </c>
      <c r="AG163" s="3">
        <v>1</v>
      </c>
      <c r="AH163" s="3">
        <v>1</v>
      </c>
      <c r="AI163" s="3">
        <v>1</v>
      </c>
      <c r="AJ163" s="3">
        <v>0</v>
      </c>
      <c r="AK163" s="3">
        <v>0</v>
      </c>
      <c r="AL163" s="3">
        <v>1</v>
      </c>
      <c r="AM163" s="3">
        <v>1</v>
      </c>
      <c r="AN163" s="3">
        <v>0</v>
      </c>
      <c r="AO163" s="3">
        <v>0</v>
      </c>
      <c r="AP163" s="3">
        <v>0</v>
      </c>
      <c r="AQ163" s="3">
        <v>0</v>
      </c>
      <c r="AR163" s="2" t="s">
        <v>8</v>
      </c>
      <c r="AS163" s="2" t="s">
        <v>8</v>
      </c>
      <c r="AU163" s="5" t="str">
        <f>HYPERLINK("https://creighton-primo.hosted.exlibrisgroup.com/primo-explore/search?tab=default_tab&amp;search_scope=EVERYTHING&amp;vid=01CRU&amp;lang=en_US&amp;offset=0&amp;query=any,contains,991000336109702656","Catalog Record")</f>
        <v>Catalog Record</v>
      </c>
      <c r="AV163" s="5" t="str">
        <f>HYPERLINK("http://www.worldcat.org/oclc/49550569","WorldCat Record")</f>
        <v>WorldCat Record</v>
      </c>
      <c r="AW163" s="2" t="s">
        <v>2160</v>
      </c>
      <c r="AX163" s="2" t="s">
        <v>2161</v>
      </c>
      <c r="AY163" s="2" t="s">
        <v>2162</v>
      </c>
      <c r="AZ163" s="2" t="s">
        <v>2162</v>
      </c>
      <c r="BA163" s="2" t="s">
        <v>2163</v>
      </c>
      <c r="BB163" s="2" t="s">
        <v>21</v>
      </c>
      <c r="BD163" s="2" t="s">
        <v>2164</v>
      </c>
      <c r="BE163" s="2" t="s">
        <v>2165</v>
      </c>
      <c r="BF163" s="2" t="s">
        <v>2166</v>
      </c>
    </row>
    <row r="164" spans="1:58" ht="42.75" customHeight="1" x14ac:dyDescent="0.25">
      <c r="A164" s="8" t="s">
        <v>8</v>
      </c>
      <c r="B164" s="1" t="s">
        <v>0</v>
      </c>
      <c r="C164" s="1" t="s">
        <v>1</v>
      </c>
      <c r="D164" s="1" t="s">
        <v>2167</v>
      </c>
      <c r="E164" s="1" t="s">
        <v>2168</v>
      </c>
      <c r="F164" s="1" t="s">
        <v>2169</v>
      </c>
      <c r="H164" s="2" t="s">
        <v>8</v>
      </c>
      <c r="I164" s="2" t="s">
        <v>7</v>
      </c>
      <c r="J164" s="2" t="s">
        <v>8</v>
      </c>
      <c r="K164" s="2" t="s">
        <v>8</v>
      </c>
      <c r="L164" s="2" t="s">
        <v>9</v>
      </c>
      <c r="M164" s="1" t="s">
        <v>2170</v>
      </c>
      <c r="N164" s="1" t="s">
        <v>2171</v>
      </c>
      <c r="O164" s="2" t="s">
        <v>144</v>
      </c>
      <c r="Q164" s="2" t="s">
        <v>12</v>
      </c>
      <c r="R164" s="2" t="s">
        <v>674</v>
      </c>
      <c r="T164" s="2" t="s">
        <v>14</v>
      </c>
      <c r="U164" s="3">
        <v>2</v>
      </c>
      <c r="V164" s="3">
        <v>2</v>
      </c>
      <c r="W164" s="4" t="s">
        <v>2172</v>
      </c>
      <c r="X164" s="4" t="s">
        <v>2172</v>
      </c>
      <c r="Y164" s="4" t="s">
        <v>1254</v>
      </c>
      <c r="Z164" s="4" t="s">
        <v>1254</v>
      </c>
      <c r="AA164" s="3">
        <v>209</v>
      </c>
      <c r="AB164" s="3">
        <v>199</v>
      </c>
      <c r="AC164" s="3">
        <v>206</v>
      </c>
      <c r="AD164" s="3">
        <v>1</v>
      </c>
      <c r="AE164" s="3">
        <v>1</v>
      </c>
      <c r="AF164" s="3">
        <v>1</v>
      </c>
      <c r="AG164" s="3">
        <v>1</v>
      </c>
      <c r="AH164" s="3">
        <v>0</v>
      </c>
      <c r="AI164" s="3">
        <v>0</v>
      </c>
      <c r="AJ164" s="3">
        <v>1</v>
      </c>
      <c r="AK164" s="3">
        <v>1</v>
      </c>
      <c r="AL164" s="3">
        <v>0</v>
      </c>
      <c r="AM164" s="3">
        <v>0</v>
      </c>
      <c r="AN164" s="3">
        <v>0</v>
      </c>
      <c r="AO164" s="3">
        <v>0</v>
      </c>
      <c r="AP164" s="3">
        <v>0</v>
      </c>
      <c r="AQ164" s="3">
        <v>0</v>
      </c>
      <c r="AR164" s="2" t="s">
        <v>8</v>
      </c>
      <c r="AS164" s="2" t="s">
        <v>6</v>
      </c>
      <c r="AT164" s="5" t="str">
        <f>HYPERLINK("http://catalog.hathitrust.org/Record/001558073","HathiTrust Record")</f>
        <v>HathiTrust Record</v>
      </c>
      <c r="AU164" s="5" t="str">
        <f>HYPERLINK("https://creighton-primo.hosted.exlibrisgroup.com/primo-explore/search?tab=default_tab&amp;search_scope=EVERYTHING&amp;vid=01CRU&amp;lang=en_US&amp;offset=0&amp;query=any,contains,991001171619702656","Catalog Record")</f>
        <v>Catalog Record</v>
      </c>
      <c r="AV164" s="5" t="str">
        <f>HYPERLINK("http://www.worldcat.org/oclc/108584","WorldCat Record")</f>
        <v>WorldCat Record</v>
      </c>
      <c r="AW164" s="2" t="s">
        <v>2173</v>
      </c>
      <c r="AX164" s="2" t="s">
        <v>2174</v>
      </c>
      <c r="AY164" s="2" t="s">
        <v>2175</v>
      </c>
      <c r="AZ164" s="2" t="s">
        <v>2175</v>
      </c>
      <c r="BA164" s="2" t="s">
        <v>2176</v>
      </c>
      <c r="BB164" s="2" t="s">
        <v>21</v>
      </c>
      <c r="BD164" s="2" t="s">
        <v>2177</v>
      </c>
      <c r="BE164" s="2" t="s">
        <v>2178</v>
      </c>
      <c r="BF164" s="2" t="s">
        <v>2179</v>
      </c>
    </row>
    <row r="165" spans="1:58" ht="42.75" customHeight="1" x14ac:dyDescent="0.25">
      <c r="A165" s="8" t="s">
        <v>8</v>
      </c>
      <c r="B165" s="1" t="s">
        <v>0</v>
      </c>
      <c r="C165" s="1" t="s">
        <v>1</v>
      </c>
      <c r="D165" s="1" t="s">
        <v>2180</v>
      </c>
      <c r="E165" s="1" t="s">
        <v>2181</v>
      </c>
      <c r="F165" s="1" t="s">
        <v>2182</v>
      </c>
      <c r="H165" s="2" t="s">
        <v>8</v>
      </c>
      <c r="I165" s="2" t="s">
        <v>7</v>
      </c>
      <c r="J165" s="2" t="s">
        <v>8</v>
      </c>
      <c r="K165" s="2" t="s">
        <v>8</v>
      </c>
      <c r="L165" s="2" t="s">
        <v>9</v>
      </c>
      <c r="N165" s="1" t="s">
        <v>2183</v>
      </c>
      <c r="O165" s="2" t="s">
        <v>844</v>
      </c>
      <c r="Q165" s="2" t="s">
        <v>12</v>
      </c>
      <c r="R165" s="2" t="s">
        <v>13</v>
      </c>
      <c r="T165" s="2" t="s">
        <v>14</v>
      </c>
      <c r="U165" s="3">
        <v>2</v>
      </c>
      <c r="V165" s="3">
        <v>2</v>
      </c>
      <c r="W165" s="4" t="s">
        <v>2184</v>
      </c>
      <c r="X165" s="4" t="s">
        <v>2184</v>
      </c>
      <c r="Y165" s="4" t="s">
        <v>1605</v>
      </c>
      <c r="Z165" s="4" t="s">
        <v>1605</v>
      </c>
      <c r="AA165" s="3">
        <v>99</v>
      </c>
      <c r="AB165" s="3">
        <v>95</v>
      </c>
      <c r="AC165" s="3">
        <v>101</v>
      </c>
      <c r="AD165" s="3">
        <v>1</v>
      </c>
      <c r="AE165" s="3">
        <v>1</v>
      </c>
      <c r="AF165" s="3">
        <v>2</v>
      </c>
      <c r="AG165" s="3">
        <v>2</v>
      </c>
      <c r="AH165" s="3">
        <v>0</v>
      </c>
      <c r="AI165" s="3">
        <v>0</v>
      </c>
      <c r="AJ165" s="3">
        <v>1</v>
      </c>
      <c r="AK165" s="3">
        <v>1</v>
      </c>
      <c r="AL165" s="3">
        <v>2</v>
      </c>
      <c r="AM165" s="3">
        <v>2</v>
      </c>
      <c r="AN165" s="3">
        <v>0</v>
      </c>
      <c r="AO165" s="3">
        <v>0</v>
      </c>
      <c r="AP165" s="3">
        <v>0</v>
      </c>
      <c r="AQ165" s="3">
        <v>0</v>
      </c>
      <c r="AR165" s="2" t="s">
        <v>8</v>
      </c>
      <c r="AS165" s="2" t="s">
        <v>6</v>
      </c>
      <c r="AT165" s="5" t="str">
        <f>HYPERLINK("http://catalog.hathitrust.org/Record/003143803","HathiTrust Record")</f>
        <v>HathiTrust Record</v>
      </c>
      <c r="AU165" s="5" t="str">
        <f>HYPERLINK("https://creighton-primo.hosted.exlibrisgroup.com/primo-explore/search?tab=default_tab&amp;search_scope=EVERYTHING&amp;vid=01CRU&amp;lang=en_US&amp;offset=0&amp;query=any,contains,991001496629702656","Catalog Record")</f>
        <v>Catalog Record</v>
      </c>
      <c r="AV165" s="5" t="str">
        <f>HYPERLINK("http://www.worldcat.org/oclc/33337635","WorldCat Record")</f>
        <v>WorldCat Record</v>
      </c>
      <c r="AW165" s="2" t="s">
        <v>2185</v>
      </c>
      <c r="AX165" s="2" t="s">
        <v>2186</v>
      </c>
      <c r="AY165" s="2" t="s">
        <v>2187</v>
      </c>
      <c r="AZ165" s="2" t="s">
        <v>2187</v>
      </c>
      <c r="BA165" s="2" t="s">
        <v>2188</v>
      </c>
      <c r="BB165" s="2" t="s">
        <v>21</v>
      </c>
      <c r="BE165" s="2" t="s">
        <v>2189</v>
      </c>
      <c r="BF165" s="2" t="s">
        <v>2190</v>
      </c>
    </row>
    <row r="166" spans="1:58" ht="42.75" customHeight="1" x14ac:dyDescent="0.25">
      <c r="A166" s="8" t="s">
        <v>8</v>
      </c>
      <c r="B166" s="1" t="s">
        <v>0</v>
      </c>
      <c r="C166" s="1" t="s">
        <v>1</v>
      </c>
      <c r="D166" s="1" t="s">
        <v>2191</v>
      </c>
      <c r="E166" s="1" t="s">
        <v>2192</v>
      </c>
      <c r="F166" s="1" t="s">
        <v>2193</v>
      </c>
      <c r="H166" s="2" t="s">
        <v>8</v>
      </c>
      <c r="I166" s="2" t="s">
        <v>7</v>
      </c>
      <c r="J166" s="2" t="s">
        <v>8</v>
      </c>
      <c r="K166" s="2" t="s">
        <v>8</v>
      </c>
      <c r="L166" s="2" t="s">
        <v>9</v>
      </c>
      <c r="M166" s="1" t="s">
        <v>2194</v>
      </c>
      <c r="N166" s="1" t="s">
        <v>2195</v>
      </c>
      <c r="O166" s="2" t="s">
        <v>1327</v>
      </c>
      <c r="Q166" s="2" t="s">
        <v>12</v>
      </c>
      <c r="R166" s="2" t="s">
        <v>1211</v>
      </c>
      <c r="T166" s="2" t="s">
        <v>14</v>
      </c>
      <c r="U166" s="3">
        <v>3</v>
      </c>
      <c r="V166" s="3">
        <v>3</v>
      </c>
      <c r="W166" s="4" t="s">
        <v>2196</v>
      </c>
      <c r="X166" s="4" t="s">
        <v>2196</v>
      </c>
      <c r="Y166" s="4" t="s">
        <v>2197</v>
      </c>
      <c r="Z166" s="4" t="s">
        <v>2197</v>
      </c>
      <c r="AA166" s="3">
        <v>16</v>
      </c>
      <c r="AB166" s="3">
        <v>16</v>
      </c>
      <c r="AC166" s="3">
        <v>18</v>
      </c>
      <c r="AD166" s="3">
        <v>1</v>
      </c>
      <c r="AE166" s="3">
        <v>1</v>
      </c>
      <c r="AF166" s="3">
        <v>0</v>
      </c>
      <c r="AG166" s="3">
        <v>0</v>
      </c>
      <c r="AH166" s="3">
        <v>0</v>
      </c>
      <c r="AI166" s="3">
        <v>0</v>
      </c>
      <c r="AJ166" s="3">
        <v>0</v>
      </c>
      <c r="AK166" s="3">
        <v>0</v>
      </c>
      <c r="AL166" s="3">
        <v>0</v>
      </c>
      <c r="AM166" s="3">
        <v>0</v>
      </c>
      <c r="AN166" s="3">
        <v>0</v>
      </c>
      <c r="AO166" s="3">
        <v>0</v>
      </c>
      <c r="AP166" s="3">
        <v>0</v>
      </c>
      <c r="AQ166" s="3">
        <v>0</v>
      </c>
      <c r="AR166" s="2" t="s">
        <v>8</v>
      </c>
      <c r="AS166" s="2" t="s">
        <v>6</v>
      </c>
      <c r="AT166" s="5" t="str">
        <f>HYPERLINK("http://catalog.hathitrust.org/Record/010517316","HathiTrust Record")</f>
        <v>HathiTrust Record</v>
      </c>
      <c r="AU166" s="5" t="str">
        <f>HYPERLINK("https://creighton-primo.hosted.exlibrisgroup.com/primo-explore/search?tab=default_tab&amp;search_scope=EVERYTHING&amp;vid=01CRU&amp;lang=en_US&amp;offset=0&amp;query=any,contains,991001326369702656","Catalog Record")</f>
        <v>Catalog Record</v>
      </c>
      <c r="AV166" s="5" t="str">
        <f>HYPERLINK("http://www.worldcat.org/oclc/14177751","WorldCat Record")</f>
        <v>WorldCat Record</v>
      </c>
      <c r="AW166" s="2" t="s">
        <v>2198</v>
      </c>
      <c r="AX166" s="2" t="s">
        <v>2199</v>
      </c>
      <c r="AY166" s="2" t="s">
        <v>2200</v>
      </c>
      <c r="AZ166" s="2" t="s">
        <v>2200</v>
      </c>
      <c r="BA166" s="2" t="s">
        <v>2201</v>
      </c>
      <c r="BB166" s="2" t="s">
        <v>21</v>
      </c>
      <c r="BE166" s="2" t="s">
        <v>2202</v>
      </c>
      <c r="BF166" s="2" t="s">
        <v>2203</v>
      </c>
    </row>
    <row r="167" spans="1:58" ht="42.75" customHeight="1" x14ac:dyDescent="0.25">
      <c r="A167" s="8" t="s">
        <v>8</v>
      </c>
      <c r="B167" s="1" t="s">
        <v>0</v>
      </c>
      <c r="C167" s="1" t="s">
        <v>1</v>
      </c>
      <c r="D167" s="1" t="s">
        <v>2204</v>
      </c>
      <c r="E167" s="1" t="s">
        <v>2205</v>
      </c>
      <c r="F167" s="1" t="s">
        <v>2206</v>
      </c>
      <c r="H167" s="2" t="s">
        <v>8</v>
      </c>
      <c r="I167" s="2" t="s">
        <v>7</v>
      </c>
      <c r="J167" s="2" t="s">
        <v>8</v>
      </c>
      <c r="K167" s="2" t="s">
        <v>8</v>
      </c>
      <c r="L167" s="2" t="s">
        <v>9</v>
      </c>
      <c r="M167" s="1" t="s">
        <v>2207</v>
      </c>
      <c r="N167" s="1" t="s">
        <v>2208</v>
      </c>
      <c r="O167" s="2" t="s">
        <v>440</v>
      </c>
      <c r="Q167" s="2" t="s">
        <v>12</v>
      </c>
      <c r="R167" s="2" t="s">
        <v>520</v>
      </c>
      <c r="T167" s="2" t="s">
        <v>14</v>
      </c>
      <c r="U167" s="3">
        <v>4</v>
      </c>
      <c r="V167" s="3">
        <v>4</v>
      </c>
      <c r="W167" s="4" t="s">
        <v>2209</v>
      </c>
      <c r="X167" s="4" t="s">
        <v>2209</v>
      </c>
      <c r="Y167" s="4" t="s">
        <v>1254</v>
      </c>
      <c r="Z167" s="4" t="s">
        <v>1254</v>
      </c>
      <c r="AA167" s="3">
        <v>184</v>
      </c>
      <c r="AB167" s="3">
        <v>160</v>
      </c>
      <c r="AC167" s="3">
        <v>169</v>
      </c>
      <c r="AD167" s="3">
        <v>1</v>
      </c>
      <c r="AE167" s="3">
        <v>1</v>
      </c>
      <c r="AF167" s="3">
        <v>2</v>
      </c>
      <c r="AG167" s="3">
        <v>2</v>
      </c>
      <c r="AH167" s="3">
        <v>1</v>
      </c>
      <c r="AI167" s="3">
        <v>1</v>
      </c>
      <c r="AJ167" s="3">
        <v>0</v>
      </c>
      <c r="AK167" s="3">
        <v>0</v>
      </c>
      <c r="AL167" s="3">
        <v>1</v>
      </c>
      <c r="AM167" s="3">
        <v>1</v>
      </c>
      <c r="AN167" s="3">
        <v>0</v>
      </c>
      <c r="AO167" s="3">
        <v>0</v>
      </c>
      <c r="AP167" s="3">
        <v>0</v>
      </c>
      <c r="AQ167" s="3">
        <v>0</v>
      </c>
      <c r="AR167" s="2" t="s">
        <v>6</v>
      </c>
      <c r="AS167" s="2" t="s">
        <v>8</v>
      </c>
      <c r="AT167" s="5" t="str">
        <f>HYPERLINK("http://catalog.hathitrust.org/Record/001557250","HathiTrust Record")</f>
        <v>HathiTrust Record</v>
      </c>
      <c r="AU167" s="5" t="str">
        <f>HYPERLINK("https://creighton-primo.hosted.exlibrisgroup.com/primo-explore/search?tab=default_tab&amp;search_scope=EVERYTHING&amp;vid=01CRU&amp;lang=en_US&amp;offset=0&amp;query=any,contains,991001172039702656","Catalog Record")</f>
        <v>Catalog Record</v>
      </c>
      <c r="AV167" s="5" t="str">
        <f>HYPERLINK("http://www.worldcat.org/oclc/3191287","WorldCat Record")</f>
        <v>WorldCat Record</v>
      </c>
      <c r="AW167" s="2" t="s">
        <v>2210</v>
      </c>
      <c r="AX167" s="2" t="s">
        <v>2211</v>
      </c>
      <c r="AY167" s="2" t="s">
        <v>2212</v>
      </c>
      <c r="AZ167" s="2" t="s">
        <v>2212</v>
      </c>
      <c r="BA167" s="2" t="s">
        <v>2213</v>
      </c>
      <c r="BB167" s="2" t="s">
        <v>21</v>
      </c>
      <c r="BE167" s="2" t="s">
        <v>2214</v>
      </c>
      <c r="BF167" s="2" t="s">
        <v>2215</v>
      </c>
    </row>
    <row r="168" spans="1:58" ht="42.75" customHeight="1" x14ac:dyDescent="0.25">
      <c r="A168" s="8" t="s">
        <v>8</v>
      </c>
      <c r="B168" s="1" t="s">
        <v>0</v>
      </c>
      <c r="C168" s="1" t="s">
        <v>1</v>
      </c>
      <c r="D168" s="1" t="s">
        <v>2216</v>
      </c>
      <c r="E168" s="1" t="s">
        <v>2217</v>
      </c>
      <c r="F168" s="1" t="s">
        <v>2218</v>
      </c>
      <c r="H168" s="2" t="s">
        <v>8</v>
      </c>
      <c r="I168" s="2" t="s">
        <v>7</v>
      </c>
      <c r="J168" s="2" t="s">
        <v>8</v>
      </c>
      <c r="K168" s="2" t="s">
        <v>8</v>
      </c>
      <c r="L168" s="2" t="s">
        <v>9</v>
      </c>
      <c r="M168" s="1" t="s">
        <v>2219</v>
      </c>
      <c r="N168" s="1" t="s">
        <v>2220</v>
      </c>
      <c r="O168" s="2" t="s">
        <v>830</v>
      </c>
      <c r="Q168" s="2" t="s">
        <v>12</v>
      </c>
      <c r="R168" s="2" t="s">
        <v>590</v>
      </c>
      <c r="T168" s="2" t="s">
        <v>14</v>
      </c>
      <c r="U168" s="3">
        <v>2</v>
      </c>
      <c r="V168" s="3">
        <v>2</v>
      </c>
      <c r="W168" s="4" t="s">
        <v>1805</v>
      </c>
      <c r="X168" s="4" t="s">
        <v>1805</v>
      </c>
      <c r="Y168" s="4" t="s">
        <v>2221</v>
      </c>
      <c r="Z168" s="4" t="s">
        <v>2221</v>
      </c>
      <c r="AA168" s="3">
        <v>50</v>
      </c>
      <c r="AB168" s="3">
        <v>47</v>
      </c>
      <c r="AC168" s="3">
        <v>47</v>
      </c>
      <c r="AD168" s="3">
        <v>1</v>
      </c>
      <c r="AE168" s="3">
        <v>1</v>
      </c>
      <c r="AF168" s="3">
        <v>1</v>
      </c>
      <c r="AG168" s="3">
        <v>1</v>
      </c>
      <c r="AH168" s="3">
        <v>1</v>
      </c>
      <c r="AI168" s="3">
        <v>1</v>
      </c>
      <c r="AJ168" s="3">
        <v>0</v>
      </c>
      <c r="AK168" s="3">
        <v>0</v>
      </c>
      <c r="AL168" s="3">
        <v>0</v>
      </c>
      <c r="AM168" s="3">
        <v>0</v>
      </c>
      <c r="AN168" s="3">
        <v>0</v>
      </c>
      <c r="AO168" s="3">
        <v>0</v>
      </c>
      <c r="AP168" s="3">
        <v>0</v>
      </c>
      <c r="AQ168" s="3">
        <v>0</v>
      </c>
      <c r="AR168" s="2" t="s">
        <v>8</v>
      </c>
      <c r="AS168" s="2" t="s">
        <v>8</v>
      </c>
      <c r="AU168" s="5" t="str">
        <f>HYPERLINK("https://creighton-primo.hosted.exlibrisgroup.com/primo-explore/search?tab=default_tab&amp;search_scope=EVERYTHING&amp;vid=01CRU&amp;lang=en_US&amp;offset=0&amp;query=any,contains,991000398189702656","Catalog Record")</f>
        <v>Catalog Record</v>
      </c>
      <c r="AV168" s="5" t="str">
        <f>HYPERLINK("http://www.worldcat.org/oclc/54058236","WorldCat Record")</f>
        <v>WorldCat Record</v>
      </c>
      <c r="AW168" s="2" t="s">
        <v>2222</v>
      </c>
      <c r="AX168" s="2" t="s">
        <v>2223</v>
      </c>
      <c r="AY168" s="2" t="s">
        <v>2224</v>
      </c>
      <c r="AZ168" s="2" t="s">
        <v>2224</v>
      </c>
      <c r="BA168" s="2" t="s">
        <v>2225</v>
      </c>
      <c r="BB168" s="2" t="s">
        <v>21</v>
      </c>
      <c r="BD168" s="2" t="s">
        <v>2226</v>
      </c>
      <c r="BE168" s="2" t="s">
        <v>2227</v>
      </c>
      <c r="BF168" s="2" t="s">
        <v>2228</v>
      </c>
    </row>
    <row r="169" spans="1:58" ht="42.75" customHeight="1" x14ac:dyDescent="0.25">
      <c r="A169" s="8" t="s">
        <v>8</v>
      </c>
      <c r="B169" s="1" t="s">
        <v>0</v>
      </c>
      <c r="C169" s="1" t="s">
        <v>1</v>
      </c>
      <c r="D169" s="1" t="s">
        <v>2229</v>
      </c>
      <c r="E169" s="1" t="s">
        <v>2230</v>
      </c>
      <c r="F169" s="1" t="s">
        <v>2231</v>
      </c>
      <c r="H169" s="2" t="s">
        <v>8</v>
      </c>
      <c r="I169" s="2" t="s">
        <v>7</v>
      </c>
      <c r="J169" s="2" t="s">
        <v>8</v>
      </c>
      <c r="K169" s="2" t="s">
        <v>8</v>
      </c>
      <c r="L169" s="2" t="s">
        <v>9</v>
      </c>
      <c r="M169" s="1" t="s">
        <v>2232</v>
      </c>
      <c r="N169" s="1" t="s">
        <v>2233</v>
      </c>
      <c r="O169" s="2" t="s">
        <v>1629</v>
      </c>
      <c r="P169" s="1" t="s">
        <v>1225</v>
      </c>
      <c r="Q169" s="2" t="s">
        <v>12</v>
      </c>
      <c r="R169" s="2" t="s">
        <v>34</v>
      </c>
      <c r="S169" s="1" t="s">
        <v>2234</v>
      </c>
      <c r="T169" s="2" t="s">
        <v>14</v>
      </c>
      <c r="U169" s="3">
        <v>3</v>
      </c>
      <c r="V169" s="3">
        <v>3</v>
      </c>
      <c r="W169" s="4" t="s">
        <v>2235</v>
      </c>
      <c r="X169" s="4" t="s">
        <v>2235</v>
      </c>
      <c r="Y169" s="4" t="s">
        <v>1485</v>
      </c>
      <c r="Z169" s="4" t="s">
        <v>1485</v>
      </c>
      <c r="AA169" s="3">
        <v>225</v>
      </c>
      <c r="AB169" s="3">
        <v>207</v>
      </c>
      <c r="AC169" s="3">
        <v>210</v>
      </c>
      <c r="AD169" s="3">
        <v>1</v>
      </c>
      <c r="AE169" s="3">
        <v>1</v>
      </c>
      <c r="AF169" s="3">
        <v>4</v>
      </c>
      <c r="AG169" s="3">
        <v>4</v>
      </c>
      <c r="AH169" s="3">
        <v>3</v>
      </c>
      <c r="AI169" s="3">
        <v>3</v>
      </c>
      <c r="AJ169" s="3">
        <v>0</v>
      </c>
      <c r="AK169" s="3">
        <v>0</v>
      </c>
      <c r="AL169" s="3">
        <v>1</v>
      </c>
      <c r="AM169" s="3">
        <v>1</v>
      </c>
      <c r="AN169" s="3">
        <v>0</v>
      </c>
      <c r="AO169" s="3">
        <v>0</v>
      </c>
      <c r="AP169" s="3">
        <v>0</v>
      </c>
      <c r="AQ169" s="3">
        <v>0</v>
      </c>
      <c r="AR169" s="2" t="s">
        <v>8</v>
      </c>
      <c r="AS169" s="2" t="s">
        <v>6</v>
      </c>
      <c r="AT169" s="5" t="str">
        <f>HYPERLINK("http://catalog.hathitrust.org/Record/000601380","HathiTrust Record")</f>
        <v>HathiTrust Record</v>
      </c>
      <c r="AU169" s="5" t="str">
        <f>HYPERLINK("https://creighton-primo.hosted.exlibrisgroup.com/primo-explore/search?tab=default_tab&amp;search_scope=EVERYTHING&amp;vid=01CRU&amp;lang=en_US&amp;offset=0&amp;query=any,contains,991001172549702656","Catalog Record")</f>
        <v>Catalog Record</v>
      </c>
      <c r="AV169" s="5" t="str">
        <f>HYPERLINK("http://www.worldcat.org/oclc/10850445","WorldCat Record")</f>
        <v>WorldCat Record</v>
      </c>
      <c r="AW169" s="2" t="s">
        <v>2236</v>
      </c>
      <c r="AX169" s="2" t="s">
        <v>2237</v>
      </c>
      <c r="AY169" s="2" t="s">
        <v>2238</v>
      </c>
      <c r="AZ169" s="2" t="s">
        <v>2238</v>
      </c>
      <c r="BA169" s="2" t="s">
        <v>2239</v>
      </c>
      <c r="BB169" s="2" t="s">
        <v>21</v>
      </c>
      <c r="BD169" s="2" t="s">
        <v>2240</v>
      </c>
      <c r="BE169" s="2" t="s">
        <v>2241</v>
      </c>
      <c r="BF169" s="2" t="s">
        <v>2242</v>
      </c>
    </row>
    <row r="170" spans="1:58" ht="42.75" customHeight="1" x14ac:dyDescent="0.25">
      <c r="A170" s="8" t="s">
        <v>8</v>
      </c>
      <c r="B170" s="1" t="s">
        <v>0</v>
      </c>
      <c r="C170" s="1" t="s">
        <v>1</v>
      </c>
      <c r="D170" s="1" t="s">
        <v>2243</v>
      </c>
      <c r="E170" s="1" t="s">
        <v>2244</v>
      </c>
      <c r="F170" s="1" t="s">
        <v>2245</v>
      </c>
      <c r="H170" s="2" t="s">
        <v>8</v>
      </c>
      <c r="I170" s="2" t="s">
        <v>7</v>
      </c>
      <c r="J170" s="2" t="s">
        <v>8</v>
      </c>
      <c r="K170" s="2" t="s">
        <v>8</v>
      </c>
      <c r="L170" s="2" t="s">
        <v>9</v>
      </c>
      <c r="M170" s="1" t="s">
        <v>2246</v>
      </c>
      <c r="N170" s="1" t="s">
        <v>2247</v>
      </c>
      <c r="O170" s="2" t="s">
        <v>480</v>
      </c>
      <c r="Q170" s="2" t="s">
        <v>12</v>
      </c>
      <c r="R170" s="2" t="s">
        <v>520</v>
      </c>
      <c r="T170" s="2" t="s">
        <v>14</v>
      </c>
      <c r="U170" s="3">
        <v>1</v>
      </c>
      <c r="V170" s="3">
        <v>1</v>
      </c>
      <c r="W170" s="4" t="s">
        <v>2248</v>
      </c>
      <c r="X170" s="4" t="s">
        <v>2248</v>
      </c>
      <c r="Y170" s="4" t="s">
        <v>1254</v>
      </c>
      <c r="Z170" s="4" t="s">
        <v>1254</v>
      </c>
      <c r="AA170" s="3">
        <v>20</v>
      </c>
      <c r="AB170" s="3">
        <v>18</v>
      </c>
      <c r="AC170" s="3">
        <v>272</v>
      </c>
      <c r="AD170" s="3">
        <v>1</v>
      </c>
      <c r="AE170" s="3">
        <v>2</v>
      </c>
      <c r="AF170" s="3">
        <v>0</v>
      </c>
      <c r="AG170" s="3">
        <v>11</v>
      </c>
      <c r="AH170" s="3">
        <v>0</v>
      </c>
      <c r="AI170" s="3">
        <v>2</v>
      </c>
      <c r="AJ170" s="3">
        <v>0</v>
      </c>
      <c r="AK170" s="3">
        <v>1</v>
      </c>
      <c r="AL170" s="3">
        <v>0</v>
      </c>
      <c r="AM170" s="3">
        <v>8</v>
      </c>
      <c r="AN170" s="3">
        <v>0</v>
      </c>
      <c r="AO170" s="3">
        <v>1</v>
      </c>
      <c r="AP170" s="3">
        <v>0</v>
      </c>
      <c r="AQ170" s="3">
        <v>0</v>
      </c>
      <c r="AR170" s="2" t="s">
        <v>8</v>
      </c>
      <c r="AS170" s="2" t="s">
        <v>8</v>
      </c>
      <c r="AU170" s="5" t="str">
        <f>HYPERLINK("https://creighton-primo.hosted.exlibrisgroup.com/primo-explore/search?tab=default_tab&amp;search_scope=EVERYTHING&amp;vid=01CRU&amp;lang=en_US&amp;offset=0&amp;query=any,contains,991001172619702656","Catalog Record")</f>
        <v>Catalog Record</v>
      </c>
      <c r="AV170" s="5" t="str">
        <f>HYPERLINK("http://www.worldcat.org/oclc/7493663","WorldCat Record")</f>
        <v>WorldCat Record</v>
      </c>
      <c r="AW170" s="2" t="s">
        <v>2249</v>
      </c>
      <c r="AX170" s="2" t="s">
        <v>2250</v>
      </c>
      <c r="AY170" s="2" t="s">
        <v>2251</v>
      </c>
      <c r="AZ170" s="2" t="s">
        <v>2251</v>
      </c>
      <c r="BA170" s="2" t="s">
        <v>2252</v>
      </c>
      <c r="BB170" s="2" t="s">
        <v>21</v>
      </c>
      <c r="BE170" s="2" t="s">
        <v>2253</v>
      </c>
      <c r="BF170" s="2" t="s">
        <v>2254</v>
      </c>
    </row>
    <row r="171" spans="1:58" ht="42.75" customHeight="1" x14ac:dyDescent="0.25">
      <c r="A171" s="8" t="s">
        <v>8</v>
      </c>
      <c r="B171" s="1" t="s">
        <v>0</v>
      </c>
      <c r="C171" s="1" t="s">
        <v>1</v>
      </c>
      <c r="D171" s="1" t="s">
        <v>2255</v>
      </c>
      <c r="E171" s="1" t="s">
        <v>2256</v>
      </c>
      <c r="F171" s="1" t="s">
        <v>2257</v>
      </c>
      <c r="H171" s="2" t="s">
        <v>8</v>
      </c>
      <c r="I171" s="2" t="s">
        <v>7</v>
      </c>
      <c r="J171" s="2" t="s">
        <v>8</v>
      </c>
      <c r="K171" s="2" t="s">
        <v>8</v>
      </c>
      <c r="L171" s="2" t="s">
        <v>9</v>
      </c>
      <c r="M171" s="1" t="s">
        <v>2258</v>
      </c>
      <c r="N171" s="1" t="s">
        <v>2259</v>
      </c>
      <c r="O171" s="2" t="s">
        <v>627</v>
      </c>
      <c r="P171" s="1" t="s">
        <v>1225</v>
      </c>
      <c r="Q171" s="2" t="s">
        <v>12</v>
      </c>
      <c r="R171" s="2" t="s">
        <v>2260</v>
      </c>
      <c r="T171" s="2" t="s">
        <v>14</v>
      </c>
      <c r="U171" s="3">
        <v>5</v>
      </c>
      <c r="V171" s="3">
        <v>5</v>
      </c>
      <c r="W171" s="4" t="s">
        <v>2261</v>
      </c>
      <c r="X171" s="4" t="s">
        <v>2261</v>
      </c>
      <c r="Y171" s="4" t="s">
        <v>1405</v>
      </c>
      <c r="Z171" s="4" t="s">
        <v>1405</v>
      </c>
      <c r="AA171" s="3">
        <v>34</v>
      </c>
      <c r="AB171" s="3">
        <v>31</v>
      </c>
      <c r="AC171" s="3">
        <v>50</v>
      </c>
      <c r="AD171" s="3">
        <v>1</v>
      </c>
      <c r="AE171" s="3">
        <v>1</v>
      </c>
      <c r="AF171" s="3">
        <v>1</v>
      </c>
      <c r="AG171" s="3">
        <v>2</v>
      </c>
      <c r="AH171" s="3">
        <v>0</v>
      </c>
      <c r="AI171" s="3">
        <v>0</v>
      </c>
      <c r="AJ171" s="3">
        <v>1</v>
      </c>
      <c r="AK171" s="3">
        <v>2</v>
      </c>
      <c r="AL171" s="3">
        <v>1</v>
      </c>
      <c r="AM171" s="3">
        <v>1</v>
      </c>
      <c r="AN171" s="3">
        <v>0</v>
      </c>
      <c r="AO171" s="3">
        <v>0</v>
      </c>
      <c r="AP171" s="3">
        <v>0</v>
      </c>
      <c r="AQ171" s="3">
        <v>0</v>
      </c>
      <c r="AR171" s="2" t="s">
        <v>8</v>
      </c>
      <c r="AS171" s="2" t="s">
        <v>8</v>
      </c>
      <c r="AU171" s="5" t="str">
        <f>HYPERLINK("https://creighton-primo.hosted.exlibrisgroup.com/primo-explore/search?tab=default_tab&amp;search_scope=EVERYTHING&amp;vid=01CRU&amp;lang=en_US&amp;offset=0&amp;query=any,contains,991001361419702656","Catalog Record")</f>
        <v>Catalog Record</v>
      </c>
      <c r="AV171" s="5" t="str">
        <f>HYPERLINK("http://www.worldcat.org/oclc/20848746","WorldCat Record")</f>
        <v>WorldCat Record</v>
      </c>
      <c r="AW171" s="2" t="s">
        <v>2262</v>
      </c>
      <c r="AX171" s="2" t="s">
        <v>2263</v>
      </c>
      <c r="AY171" s="2" t="s">
        <v>2264</v>
      </c>
      <c r="AZ171" s="2" t="s">
        <v>2264</v>
      </c>
      <c r="BA171" s="2" t="s">
        <v>2265</v>
      </c>
      <c r="BB171" s="2" t="s">
        <v>21</v>
      </c>
      <c r="BE171" s="2" t="s">
        <v>2266</v>
      </c>
      <c r="BF171" s="2" t="s">
        <v>2267</v>
      </c>
    </row>
    <row r="172" spans="1:58" ht="42.75" customHeight="1" x14ac:dyDescent="0.25">
      <c r="A172" s="8" t="s">
        <v>8</v>
      </c>
      <c r="B172" s="1" t="s">
        <v>0</v>
      </c>
      <c r="C172" s="1" t="s">
        <v>1</v>
      </c>
      <c r="D172" s="1" t="s">
        <v>2268</v>
      </c>
      <c r="E172" s="1" t="s">
        <v>2269</v>
      </c>
      <c r="F172" s="1" t="s">
        <v>2270</v>
      </c>
      <c r="H172" s="2" t="s">
        <v>8</v>
      </c>
      <c r="I172" s="2" t="s">
        <v>7</v>
      </c>
      <c r="J172" s="2" t="s">
        <v>8</v>
      </c>
      <c r="K172" s="2" t="s">
        <v>8</v>
      </c>
      <c r="L172" s="2" t="s">
        <v>9</v>
      </c>
      <c r="M172" s="1" t="s">
        <v>2271</v>
      </c>
      <c r="N172" s="1" t="s">
        <v>2272</v>
      </c>
      <c r="O172" s="2" t="s">
        <v>1327</v>
      </c>
      <c r="P172" s="1" t="s">
        <v>732</v>
      </c>
      <c r="Q172" s="2" t="s">
        <v>12</v>
      </c>
      <c r="R172" s="2" t="s">
        <v>933</v>
      </c>
      <c r="T172" s="2" t="s">
        <v>14</v>
      </c>
      <c r="U172" s="3">
        <v>3</v>
      </c>
      <c r="V172" s="3">
        <v>3</v>
      </c>
      <c r="W172" s="4" t="s">
        <v>2273</v>
      </c>
      <c r="X172" s="4" t="s">
        <v>2273</v>
      </c>
      <c r="Y172" s="4" t="s">
        <v>2274</v>
      </c>
      <c r="Z172" s="4" t="s">
        <v>2274</v>
      </c>
      <c r="AA172" s="3">
        <v>13</v>
      </c>
      <c r="AB172" s="3">
        <v>13</v>
      </c>
      <c r="AC172" s="3">
        <v>44</v>
      </c>
      <c r="AD172" s="3">
        <v>1</v>
      </c>
      <c r="AE172" s="3">
        <v>1</v>
      </c>
      <c r="AF172" s="3">
        <v>0</v>
      </c>
      <c r="AG172" s="3">
        <v>0</v>
      </c>
      <c r="AH172" s="3">
        <v>0</v>
      </c>
      <c r="AI172" s="3">
        <v>0</v>
      </c>
      <c r="AJ172" s="3">
        <v>0</v>
      </c>
      <c r="AK172" s="3">
        <v>0</v>
      </c>
      <c r="AL172" s="3">
        <v>0</v>
      </c>
      <c r="AM172" s="3">
        <v>0</v>
      </c>
      <c r="AN172" s="3">
        <v>0</v>
      </c>
      <c r="AO172" s="3">
        <v>0</v>
      </c>
      <c r="AP172" s="3">
        <v>0</v>
      </c>
      <c r="AQ172" s="3">
        <v>0</v>
      </c>
      <c r="AR172" s="2" t="s">
        <v>8</v>
      </c>
      <c r="AS172" s="2" t="s">
        <v>8</v>
      </c>
      <c r="AU172" s="5" t="str">
        <f>HYPERLINK("https://creighton-primo.hosted.exlibrisgroup.com/primo-explore/search?tab=default_tab&amp;search_scope=EVERYTHING&amp;vid=01CRU&amp;lang=en_US&amp;offset=0&amp;query=any,contains,991001355109702656","Catalog Record")</f>
        <v>Catalog Record</v>
      </c>
      <c r="AV172" s="5" t="str">
        <f>HYPERLINK("http://www.worldcat.org/oclc/17960528","WorldCat Record")</f>
        <v>WorldCat Record</v>
      </c>
      <c r="AW172" s="2" t="s">
        <v>2275</v>
      </c>
      <c r="AX172" s="2" t="s">
        <v>2276</v>
      </c>
      <c r="AY172" s="2" t="s">
        <v>2277</v>
      </c>
      <c r="AZ172" s="2" t="s">
        <v>2277</v>
      </c>
      <c r="BA172" s="2" t="s">
        <v>2278</v>
      </c>
      <c r="BB172" s="2" t="s">
        <v>21</v>
      </c>
      <c r="BE172" s="2" t="s">
        <v>2279</v>
      </c>
      <c r="BF172" s="2" t="s">
        <v>2280</v>
      </c>
    </row>
    <row r="173" spans="1:58" ht="42.75" customHeight="1" x14ac:dyDescent="0.25">
      <c r="A173" s="8" t="s">
        <v>8</v>
      </c>
      <c r="B173" s="1" t="s">
        <v>0</v>
      </c>
      <c r="C173" s="1" t="s">
        <v>1</v>
      </c>
      <c r="D173" s="1" t="s">
        <v>2281</v>
      </c>
      <c r="E173" s="1" t="s">
        <v>2282</v>
      </c>
      <c r="F173" s="1" t="s">
        <v>2283</v>
      </c>
      <c r="H173" s="2" t="s">
        <v>8</v>
      </c>
      <c r="I173" s="2" t="s">
        <v>7</v>
      </c>
      <c r="J173" s="2" t="s">
        <v>8</v>
      </c>
      <c r="K173" s="2" t="s">
        <v>8</v>
      </c>
      <c r="L173" s="2" t="s">
        <v>9</v>
      </c>
      <c r="M173" s="1" t="s">
        <v>2284</v>
      </c>
      <c r="N173" s="1" t="s">
        <v>2285</v>
      </c>
      <c r="O173" s="2" t="s">
        <v>51</v>
      </c>
      <c r="Q173" s="2" t="s">
        <v>12</v>
      </c>
      <c r="R173" s="2" t="s">
        <v>34</v>
      </c>
      <c r="T173" s="2" t="s">
        <v>14</v>
      </c>
      <c r="U173" s="3">
        <v>34</v>
      </c>
      <c r="V173" s="3">
        <v>34</v>
      </c>
      <c r="W173" s="4" t="s">
        <v>2286</v>
      </c>
      <c r="X173" s="4" t="s">
        <v>2286</v>
      </c>
      <c r="Y173" s="4" t="s">
        <v>2287</v>
      </c>
      <c r="Z173" s="4" t="s">
        <v>2287</v>
      </c>
      <c r="AA173" s="3">
        <v>130</v>
      </c>
      <c r="AB173" s="3">
        <v>112</v>
      </c>
      <c r="AC173" s="3">
        <v>136</v>
      </c>
      <c r="AD173" s="3">
        <v>2</v>
      </c>
      <c r="AE173" s="3">
        <v>2</v>
      </c>
      <c r="AF173" s="3">
        <v>2</v>
      </c>
      <c r="AG173" s="3">
        <v>2</v>
      </c>
      <c r="AH173" s="3">
        <v>0</v>
      </c>
      <c r="AI173" s="3">
        <v>0</v>
      </c>
      <c r="AJ173" s="3">
        <v>0</v>
      </c>
      <c r="AK173" s="3">
        <v>0</v>
      </c>
      <c r="AL173" s="3">
        <v>1</v>
      </c>
      <c r="AM173" s="3">
        <v>1</v>
      </c>
      <c r="AN173" s="3">
        <v>1</v>
      </c>
      <c r="AO173" s="3">
        <v>1</v>
      </c>
      <c r="AP173" s="3">
        <v>0</v>
      </c>
      <c r="AQ173" s="3">
        <v>0</v>
      </c>
      <c r="AR173" s="2" t="s">
        <v>8</v>
      </c>
      <c r="AS173" s="2" t="s">
        <v>6</v>
      </c>
      <c r="AT173" s="5" t="str">
        <f>HYPERLINK("http://catalog.hathitrust.org/Record/000929555","HathiTrust Record")</f>
        <v>HathiTrust Record</v>
      </c>
      <c r="AU173" s="5" t="str">
        <f>HYPERLINK("https://creighton-primo.hosted.exlibrisgroup.com/primo-explore/search?tab=default_tab&amp;search_scope=EVERYTHING&amp;vid=01CRU&amp;lang=en_US&amp;offset=0&amp;query=any,contains,991001382299702656","Catalog Record")</f>
        <v>Catalog Record</v>
      </c>
      <c r="AV173" s="5" t="str">
        <f>HYPERLINK("http://www.worldcat.org/oclc/18051500","WorldCat Record")</f>
        <v>WorldCat Record</v>
      </c>
      <c r="AW173" s="2" t="s">
        <v>2288</v>
      </c>
      <c r="AX173" s="2" t="s">
        <v>2289</v>
      </c>
      <c r="AY173" s="2" t="s">
        <v>2290</v>
      </c>
      <c r="AZ173" s="2" t="s">
        <v>2290</v>
      </c>
      <c r="BA173" s="2" t="s">
        <v>2291</v>
      </c>
      <c r="BB173" s="2" t="s">
        <v>21</v>
      </c>
      <c r="BD173" s="2" t="s">
        <v>2292</v>
      </c>
      <c r="BE173" s="2" t="s">
        <v>2293</v>
      </c>
      <c r="BF173" s="2" t="s">
        <v>2294</v>
      </c>
    </row>
    <row r="174" spans="1:58" ht="42.75" customHeight="1" x14ac:dyDescent="0.25">
      <c r="A174" s="8" t="s">
        <v>8</v>
      </c>
      <c r="B174" s="1" t="s">
        <v>0</v>
      </c>
      <c r="C174" s="1" t="s">
        <v>1</v>
      </c>
      <c r="D174" s="1" t="s">
        <v>2295</v>
      </c>
      <c r="E174" s="1" t="s">
        <v>2296</v>
      </c>
      <c r="F174" s="1" t="s">
        <v>2297</v>
      </c>
      <c r="H174" s="2" t="s">
        <v>8</v>
      </c>
      <c r="I174" s="2" t="s">
        <v>7</v>
      </c>
      <c r="J174" s="2" t="s">
        <v>8</v>
      </c>
      <c r="K174" s="2" t="s">
        <v>8</v>
      </c>
      <c r="L174" s="2" t="s">
        <v>9</v>
      </c>
      <c r="N174" s="1" t="s">
        <v>2298</v>
      </c>
      <c r="O174" s="2" t="s">
        <v>410</v>
      </c>
      <c r="Q174" s="2" t="s">
        <v>12</v>
      </c>
      <c r="R174" s="2" t="s">
        <v>520</v>
      </c>
      <c r="T174" s="2" t="s">
        <v>14</v>
      </c>
      <c r="U174" s="3">
        <v>4</v>
      </c>
      <c r="V174" s="3">
        <v>4</v>
      </c>
      <c r="W174" s="4" t="s">
        <v>2299</v>
      </c>
      <c r="X174" s="4" t="s">
        <v>2299</v>
      </c>
      <c r="Y174" s="4" t="s">
        <v>2300</v>
      </c>
      <c r="Z174" s="4" t="s">
        <v>2300</v>
      </c>
      <c r="AA174" s="3">
        <v>14</v>
      </c>
      <c r="AB174" s="3">
        <v>14</v>
      </c>
      <c r="AC174" s="3">
        <v>14</v>
      </c>
      <c r="AD174" s="3">
        <v>1</v>
      </c>
      <c r="AE174" s="3">
        <v>1</v>
      </c>
      <c r="AF174" s="3">
        <v>0</v>
      </c>
      <c r="AG174" s="3">
        <v>0</v>
      </c>
      <c r="AH174" s="3">
        <v>0</v>
      </c>
      <c r="AI174" s="3">
        <v>0</v>
      </c>
      <c r="AJ174" s="3">
        <v>0</v>
      </c>
      <c r="AK174" s="3">
        <v>0</v>
      </c>
      <c r="AL174" s="3">
        <v>0</v>
      </c>
      <c r="AM174" s="3">
        <v>0</v>
      </c>
      <c r="AN174" s="3">
        <v>0</v>
      </c>
      <c r="AO174" s="3">
        <v>0</v>
      </c>
      <c r="AP174" s="3">
        <v>0</v>
      </c>
      <c r="AQ174" s="3">
        <v>0</v>
      </c>
      <c r="AR174" s="2" t="s">
        <v>8</v>
      </c>
      <c r="AS174" s="2" t="s">
        <v>8</v>
      </c>
      <c r="AU174" s="5" t="str">
        <f>HYPERLINK("https://creighton-primo.hosted.exlibrisgroup.com/primo-explore/search?tab=default_tab&amp;search_scope=EVERYTHING&amp;vid=01CRU&amp;lang=en_US&amp;offset=0&amp;query=any,contains,991001481059702656","Catalog Record")</f>
        <v>Catalog Record</v>
      </c>
      <c r="AV174" s="5" t="str">
        <f>HYPERLINK("http://www.worldcat.org/oclc/28537866","WorldCat Record")</f>
        <v>WorldCat Record</v>
      </c>
      <c r="AW174" s="2" t="s">
        <v>2301</v>
      </c>
      <c r="AX174" s="2" t="s">
        <v>2302</v>
      </c>
      <c r="AY174" s="2" t="s">
        <v>2303</v>
      </c>
      <c r="AZ174" s="2" t="s">
        <v>2303</v>
      </c>
      <c r="BA174" s="2" t="s">
        <v>2304</v>
      </c>
      <c r="BB174" s="2" t="s">
        <v>21</v>
      </c>
      <c r="BE174" s="2" t="s">
        <v>2305</v>
      </c>
      <c r="BF174" s="2" t="s">
        <v>2306</v>
      </c>
    </row>
    <row r="175" spans="1:58" ht="42.75" customHeight="1" x14ac:dyDescent="0.25">
      <c r="A175" s="8" t="s">
        <v>8</v>
      </c>
      <c r="B175" s="1" t="s">
        <v>0</v>
      </c>
      <c r="C175" s="1" t="s">
        <v>1</v>
      </c>
      <c r="D175" s="1" t="s">
        <v>2307</v>
      </c>
      <c r="E175" s="1" t="s">
        <v>2308</v>
      </c>
      <c r="F175" s="1" t="s">
        <v>2309</v>
      </c>
      <c r="H175" s="2" t="s">
        <v>8</v>
      </c>
      <c r="I175" s="2" t="s">
        <v>7</v>
      </c>
      <c r="J175" s="2" t="s">
        <v>8</v>
      </c>
      <c r="K175" s="2" t="s">
        <v>8</v>
      </c>
      <c r="L175" s="2" t="s">
        <v>9</v>
      </c>
      <c r="M175" s="1" t="s">
        <v>2310</v>
      </c>
      <c r="N175" s="1" t="s">
        <v>2311</v>
      </c>
      <c r="O175" s="2" t="s">
        <v>1060</v>
      </c>
      <c r="Q175" s="2" t="s">
        <v>12</v>
      </c>
      <c r="R175" s="2" t="s">
        <v>13</v>
      </c>
      <c r="T175" s="2" t="s">
        <v>14</v>
      </c>
      <c r="U175" s="3">
        <v>28</v>
      </c>
      <c r="V175" s="3">
        <v>28</v>
      </c>
      <c r="W175" s="4" t="s">
        <v>2312</v>
      </c>
      <c r="X175" s="4" t="s">
        <v>2312</v>
      </c>
      <c r="Y175" s="4" t="s">
        <v>2313</v>
      </c>
      <c r="Z175" s="4" t="s">
        <v>2313</v>
      </c>
      <c r="AA175" s="3">
        <v>280</v>
      </c>
      <c r="AB175" s="3">
        <v>258</v>
      </c>
      <c r="AC175" s="3">
        <v>263</v>
      </c>
      <c r="AD175" s="3">
        <v>1</v>
      </c>
      <c r="AE175" s="3">
        <v>1</v>
      </c>
      <c r="AF175" s="3">
        <v>6</v>
      </c>
      <c r="AG175" s="3">
        <v>6</v>
      </c>
      <c r="AH175" s="3">
        <v>3</v>
      </c>
      <c r="AI175" s="3">
        <v>3</v>
      </c>
      <c r="AJ175" s="3">
        <v>0</v>
      </c>
      <c r="AK175" s="3">
        <v>0</v>
      </c>
      <c r="AL175" s="3">
        <v>5</v>
      </c>
      <c r="AM175" s="3">
        <v>5</v>
      </c>
      <c r="AN175" s="3">
        <v>0</v>
      </c>
      <c r="AO175" s="3">
        <v>0</v>
      </c>
      <c r="AP175" s="3">
        <v>0</v>
      </c>
      <c r="AQ175" s="3">
        <v>0</v>
      </c>
      <c r="AR175" s="2" t="s">
        <v>8</v>
      </c>
      <c r="AS175" s="2" t="s">
        <v>8</v>
      </c>
      <c r="AU175" s="5" t="str">
        <f>HYPERLINK("https://creighton-primo.hosted.exlibrisgroup.com/primo-explore/search?tab=default_tab&amp;search_scope=EVERYTHING&amp;vid=01CRU&amp;lang=en_US&amp;offset=0&amp;query=any,contains,991000834619702656","Catalog Record")</f>
        <v>Catalog Record</v>
      </c>
      <c r="AV175" s="5" t="str">
        <f>HYPERLINK("http://www.worldcat.org/oclc/34474192","WorldCat Record")</f>
        <v>WorldCat Record</v>
      </c>
      <c r="AW175" s="2" t="s">
        <v>2314</v>
      </c>
      <c r="AX175" s="2" t="s">
        <v>2315</v>
      </c>
      <c r="AY175" s="2" t="s">
        <v>2316</v>
      </c>
      <c r="AZ175" s="2" t="s">
        <v>2316</v>
      </c>
      <c r="BA175" s="2" t="s">
        <v>2317</v>
      </c>
      <c r="BB175" s="2" t="s">
        <v>21</v>
      </c>
      <c r="BD175" s="2" t="s">
        <v>2318</v>
      </c>
      <c r="BE175" s="2" t="s">
        <v>2319</v>
      </c>
      <c r="BF175" s="2" t="s">
        <v>2320</v>
      </c>
    </row>
    <row r="176" spans="1:58" ht="42.75" customHeight="1" x14ac:dyDescent="0.25">
      <c r="A176" s="8" t="s">
        <v>8</v>
      </c>
      <c r="B176" s="1" t="s">
        <v>0</v>
      </c>
      <c r="C176" s="1" t="s">
        <v>1</v>
      </c>
      <c r="D176" s="1" t="s">
        <v>2321</v>
      </c>
      <c r="E176" s="1" t="s">
        <v>2322</v>
      </c>
      <c r="F176" s="1" t="s">
        <v>2323</v>
      </c>
      <c r="H176" s="2" t="s">
        <v>8</v>
      </c>
      <c r="I176" s="2" t="s">
        <v>7</v>
      </c>
      <c r="J176" s="2" t="s">
        <v>8</v>
      </c>
      <c r="K176" s="2" t="s">
        <v>8</v>
      </c>
      <c r="L176" s="2" t="s">
        <v>9</v>
      </c>
      <c r="M176" s="1" t="s">
        <v>2324</v>
      </c>
      <c r="N176" s="1" t="s">
        <v>2325</v>
      </c>
      <c r="O176" s="2" t="s">
        <v>1629</v>
      </c>
      <c r="Q176" s="2" t="s">
        <v>12</v>
      </c>
      <c r="R176" s="2" t="s">
        <v>1211</v>
      </c>
      <c r="T176" s="2" t="s">
        <v>14</v>
      </c>
      <c r="U176" s="3">
        <v>2</v>
      </c>
      <c r="V176" s="3">
        <v>2</v>
      </c>
      <c r="W176" s="4" t="s">
        <v>2326</v>
      </c>
      <c r="X176" s="4" t="s">
        <v>2326</v>
      </c>
      <c r="Y176" s="4" t="s">
        <v>2327</v>
      </c>
      <c r="Z176" s="4" t="s">
        <v>2327</v>
      </c>
      <c r="AA176" s="3">
        <v>51</v>
      </c>
      <c r="AB176" s="3">
        <v>43</v>
      </c>
      <c r="AC176" s="3">
        <v>46</v>
      </c>
      <c r="AD176" s="3">
        <v>1</v>
      </c>
      <c r="AE176" s="3">
        <v>1</v>
      </c>
      <c r="AF176" s="3">
        <v>0</v>
      </c>
      <c r="AG176" s="3">
        <v>0</v>
      </c>
      <c r="AH176" s="3">
        <v>0</v>
      </c>
      <c r="AI176" s="3">
        <v>0</v>
      </c>
      <c r="AJ176" s="3">
        <v>0</v>
      </c>
      <c r="AK176" s="3">
        <v>0</v>
      </c>
      <c r="AL176" s="3">
        <v>0</v>
      </c>
      <c r="AM176" s="3">
        <v>0</v>
      </c>
      <c r="AN176" s="3">
        <v>0</v>
      </c>
      <c r="AO176" s="3">
        <v>0</v>
      </c>
      <c r="AP176" s="3">
        <v>0</v>
      </c>
      <c r="AQ176" s="3">
        <v>0</v>
      </c>
      <c r="AR176" s="2" t="s">
        <v>8</v>
      </c>
      <c r="AS176" s="2" t="s">
        <v>8</v>
      </c>
      <c r="AU176" s="5" t="str">
        <f>HYPERLINK("https://creighton-primo.hosted.exlibrisgroup.com/primo-explore/search?tab=default_tab&amp;search_scope=EVERYTHING&amp;vid=01CRU&amp;lang=en_US&amp;offset=0&amp;query=any,contains,991001173199702656","Catalog Record")</f>
        <v>Catalog Record</v>
      </c>
      <c r="AV176" s="5" t="str">
        <f>HYPERLINK("http://www.worldcat.org/oclc/15520794","WorldCat Record")</f>
        <v>WorldCat Record</v>
      </c>
      <c r="AW176" s="2" t="s">
        <v>2328</v>
      </c>
      <c r="AX176" s="2" t="s">
        <v>2329</v>
      </c>
      <c r="AY176" s="2" t="s">
        <v>2330</v>
      </c>
      <c r="AZ176" s="2" t="s">
        <v>2330</v>
      </c>
      <c r="BA176" s="2" t="s">
        <v>2331</v>
      </c>
      <c r="BB176" s="2" t="s">
        <v>21</v>
      </c>
      <c r="BE176" s="2" t="s">
        <v>2332</v>
      </c>
      <c r="BF176" s="2" t="s">
        <v>2333</v>
      </c>
    </row>
    <row r="177" spans="1:58" ht="42.75" customHeight="1" x14ac:dyDescent="0.25">
      <c r="A177" s="8" t="s">
        <v>8</v>
      </c>
      <c r="B177" s="1" t="s">
        <v>0</v>
      </c>
      <c r="C177" s="1" t="s">
        <v>1</v>
      </c>
      <c r="D177" s="1" t="s">
        <v>2334</v>
      </c>
      <c r="E177" s="1" t="s">
        <v>2335</v>
      </c>
      <c r="F177" s="1" t="s">
        <v>2336</v>
      </c>
      <c r="H177" s="2" t="s">
        <v>8</v>
      </c>
      <c r="I177" s="2" t="s">
        <v>7</v>
      </c>
      <c r="J177" s="2" t="s">
        <v>8</v>
      </c>
      <c r="K177" s="2" t="s">
        <v>8</v>
      </c>
      <c r="L177" s="2" t="s">
        <v>9</v>
      </c>
      <c r="N177" s="1" t="s">
        <v>2337</v>
      </c>
      <c r="O177" s="2" t="s">
        <v>224</v>
      </c>
      <c r="Q177" s="2" t="s">
        <v>12</v>
      </c>
      <c r="R177" s="2" t="s">
        <v>13</v>
      </c>
      <c r="T177" s="2" t="s">
        <v>14</v>
      </c>
      <c r="U177" s="3">
        <v>4</v>
      </c>
      <c r="V177" s="3">
        <v>4</v>
      </c>
      <c r="W177" s="4" t="s">
        <v>2326</v>
      </c>
      <c r="X177" s="4" t="s">
        <v>2326</v>
      </c>
      <c r="Y177" s="4" t="s">
        <v>1485</v>
      </c>
      <c r="Z177" s="4" t="s">
        <v>1485</v>
      </c>
      <c r="AA177" s="3">
        <v>98</v>
      </c>
      <c r="AB177" s="3">
        <v>84</v>
      </c>
      <c r="AC177" s="3">
        <v>86</v>
      </c>
      <c r="AD177" s="3">
        <v>1</v>
      </c>
      <c r="AE177" s="3">
        <v>1</v>
      </c>
      <c r="AF177" s="3">
        <v>1</v>
      </c>
      <c r="AG177" s="3">
        <v>1</v>
      </c>
      <c r="AH177" s="3">
        <v>0</v>
      </c>
      <c r="AI177" s="3">
        <v>0</v>
      </c>
      <c r="AJ177" s="3">
        <v>0</v>
      </c>
      <c r="AK177" s="3">
        <v>0</v>
      </c>
      <c r="AL177" s="3">
        <v>1</v>
      </c>
      <c r="AM177" s="3">
        <v>1</v>
      </c>
      <c r="AN177" s="3">
        <v>0</v>
      </c>
      <c r="AO177" s="3">
        <v>0</v>
      </c>
      <c r="AP177" s="3">
        <v>0</v>
      </c>
      <c r="AQ177" s="3">
        <v>0</v>
      </c>
      <c r="AR177" s="2" t="s">
        <v>8</v>
      </c>
      <c r="AS177" s="2" t="s">
        <v>6</v>
      </c>
      <c r="AT177" s="5" t="str">
        <f>HYPERLINK("http://catalog.hathitrust.org/Record/000281116","HathiTrust Record")</f>
        <v>HathiTrust Record</v>
      </c>
      <c r="AU177" s="5" t="str">
        <f>HYPERLINK("https://creighton-primo.hosted.exlibrisgroup.com/primo-explore/search?tab=default_tab&amp;search_scope=EVERYTHING&amp;vid=01CRU&amp;lang=en_US&amp;offset=0&amp;query=any,contains,991001173369702656","Catalog Record")</f>
        <v>Catalog Record</v>
      </c>
      <c r="AV177" s="5" t="str">
        <f>HYPERLINK("http://www.worldcat.org/oclc/6986738","WorldCat Record")</f>
        <v>WorldCat Record</v>
      </c>
      <c r="AW177" s="2" t="s">
        <v>2338</v>
      </c>
      <c r="AX177" s="2" t="s">
        <v>2339</v>
      </c>
      <c r="AY177" s="2" t="s">
        <v>2340</v>
      </c>
      <c r="AZ177" s="2" t="s">
        <v>2340</v>
      </c>
      <c r="BA177" s="2" t="s">
        <v>2341</v>
      </c>
      <c r="BB177" s="2" t="s">
        <v>21</v>
      </c>
      <c r="BD177" s="2" t="s">
        <v>2342</v>
      </c>
      <c r="BE177" s="2" t="s">
        <v>2343</v>
      </c>
      <c r="BF177" s="2" t="s">
        <v>2344</v>
      </c>
    </row>
    <row r="178" spans="1:58" ht="42.75" customHeight="1" x14ac:dyDescent="0.25">
      <c r="A178" s="8" t="s">
        <v>8</v>
      </c>
      <c r="B178" s="1" t="s">
        <v>0</v>
      </c>
      <c r="C178" s="1" t="s">
        <v>1</v>
      </c>
      <c r="D178" s="1" t="s">
        <v>2345</v>
      </c>
      <c r="E178" s="1" t="s">
        <v>2346</v>
      </c>
      <c r="F178" s="1" t="s">
        <v>2347</v>
      </c>
      <c r="H178" s="2" t="s">
        <v>8</v>
      </c>
      <c r="I178" s="2" t="s">
        <v>7</v>
      </c>
      <c r="J178" s="2" t="s">
        <v>8</v>
      </c>
      <c r="K178" s="2" t="s">
        <v>8</v>
      </c>
      <c r="L178" s="2" t="s">
        <v>9</v>
      </c>
      <c r="M178" s="1" t="s">
        <v>2348</v>
      </c>
      <c r="N178" s="1" t="s">
        <v>2349</v>
      </c>
      <c r="O178" s="2" t="s">
        <v>67</v>
      </c>
      <c r="P178" s="1" t="s">
        <v>1225</v>
      </c>
      <c r="Q178" s="2" t="s">
        <v>12</v>
      </c>
      <c r="R178" s="2" t="s">
        <v>13</v>
      </c>
      <c r="T178" s="2" t="s">
        <v>14</v>
      </c>
      <c r="U178" s="3">
        <v>5</v>
      </c>
      <c r="V178" s="3">
        <v>5</v>
      </c>
      <c r="W178" s="4" t="s">
        <v>2350</v>
      </c>
      <c r="X178" s="4" t="s">
        <v>2350</v>
      </c>
      <c r="Y178" s="4" t="s">
        <v>2351</v>
      </c>
      <c r="Z178" s="4" t="s">
        <v>2351</v>
      </c>
      <c r="AA178" s="3">
        <v>522</v>
      </c>
      <c r="AB178" s="3">
        <v>494</v>
      </c>
      <c r="AC178" s="3">
        <v>638</v>
      </c>
      <c r="AD178" s="3">
        <v>1</v>
      </c>
      <c r="AE178" s="3">
        <v>1</v>
      </c>
      <c r="AF178" s="3">
        <v>9</v>
      </c>
      <c r="AG178" s="3">
        <v>13</v>
      </c>
      <c r="AH178" s="3">
        <v>4</v>
      </c>
      <c r="AI178" s="3">
        <v>7</v>
      </c>
      <c r="AJ178" s="3">
        <v>3</v>
      </c>
      <c r="AK178" s="3">
        <v>5</v>
      </c>
      <c r="AL178" s="3">
        <v>4</v>
      </c>
      <c r="AM178" s="3">
        <v>4</v>
      </c>
      <c r="AN178" s="3">
        <v>0</v>
      </c>
      <c r="AO178" s="3">
        <v>0</v>
      </c>
      <c r="AP178" s="3">
        <v>0</v>
      </c>
      <c r="AQ178" s="3">
        <v>0</v>
      </c>
      <c r="AR178" s="2" t="s">
        <v>8</v>
      </c>
      <c r="AS178" s="2" t="s">
        <v>6</v>
      </c>
      <c r="AT178" s="5" t="str">
        <f>HYPERLINK("http://catalog.hathitrust.org/Record/003794828","HathiTrust Record")</f>
        <v>HathiTrust Record</v>
      </c>
      <c r="AU178" s="5" t="str">
        <f>HYPERLINK("https://creighton-primo.hosted.exlibrisgroup.com/primo-explore/search?tab=default_tab&amp;search_scope=EVERYTHING&amp;vid=01CRU&amp;lang=en_US&amp;offset=0&amp;query=any,contains,991001490259702656","Catalog Record")</f>
        <v>Catalog Record</v>
      </c>
      <c r="AV178" s="5" t="str">
        <f>HYPERLINK("http://www.worldcat.org/oclc/12369997","WorldCat Record")</f>
        <v>WorldCat Record</v>
      </c>
      <c r="AW178" s="2" t="s">
        <v>2352</v>
      </c>
      <c r="AX178" s="2" t="s">
        <v>2353</v>
      </c>
      <c r="AY178" s="2" t="s">
        <v>2354</v>
      </c>
      <c r="AZ178" s="2" t="s">
        <v>2354</v>
      </c>
      <c r="BA178" s="2" t="s">
        <v>2355</v>
      </c>
      <c r="BB178" s="2" t="s">
        <v>21</v>
      </c>
      <c r="BD178" s="2" t="s">
        <v>2356</v>
      </c>
      <c r="BE178" s="2" t="s">
        <v>2357</v>
      </c>
      <c r="BF178" s="2" t="s">
        <v>2358</v>
      </c>
    </row>
    <row r="179" spans="1:58" ht="42.75" customHeight="1" x14ac:dyDescent="0.25">
      <c r="A179" s="8" t="s">
        <v>8</v>
      </c>
      <c r="B179" s="1" t="s">
        <v>0</v>
      </c>
      <c r="C179" s="1" t="s">
        <v>1</v>
      </c>
      <c r="D179" s="1" t="s">
        <v>2359</v>
      </c>
      <c r="E179" s="1" t="s">
        <v>2360</v>
      </c>
      <c r="F179" s="1" t="s">
        <v>2361</v>
      </c>
      <c r="H179" s="2" t="s">
        <v>8</v>
      </c>
      <c r="I179" s="2" t="s">
        <v>885</v>
      </c>
      <c r="J179" s="2" t="s">
        <v>6</v>
      </c>
      <c r="K179" s="2" t="s">
        <v>6</v>
      </c>
      <c r="L179" s="2" t="s">
        <v>9</v>
      </c>
      <c r="M179" s="1" t="s">
        <v>2362</v>
      </c>
      <c r="N179" s="1" t="s">
        <v>1991</v>
      </c>
      <c r="O179" s="2" t="s">
        <v>874</v>
      </c>
      <c r="P179" s="1" t="s">
        <v>1225</v>
      </c>
      <c r="Q179" s="2" t="s">
        <v>12</v>
      </c>
      <c r="R179" s="2" t="s">
        <v>628</v>
      </c>
      <c r="T179" s="2" t="s">
        <v>14</v>
      </c>
      <c r="U179" s="3">
        <v>14</v>
      </c>
      <c r="V179" s="3">
        <v>58</v>
      </c>
      <c r="W179" s="4" t="s">
        <v>2363</v>
      </c>
      <c r="X179" s="4" t="s">
        <v>2363</v>
      </c>
      <c r="Y179" s="4" t="s">
        <v>2364</v>
      </c>
      <c r="Z179" s="4" t="s">
        <v>2365</v>
      </c>
      <c r="AA179" s="3">
        <v>65</v>
      </c>
      <c r="AB179" s="3">
        <v>50</v>
      </c>
      <c r="AC179" s="3">
        <v>317</v>
      </c>
      <c r="AD179" s="3">
        <v>1</v>
      </c>
      <c r="AE179" s="3">
        <v>3</v>
      </c>
      <c r="AF179" s="3">
        <v>2</v>
      </c>
      <c r="AG179" s="3">
        <v>11</v>
      </c>
      <c r="AH179" s="3">
        <v>0</v>
      </c>
      <c r="AI179" s="3">
        <v>3</v>
      </c>
      <c r="AJ179" s="3">
        <v>1</v>
      </c>
      <c r="AK179" s="3">
        <v>4</v>
      </c>
      <c r="AL179" s="3">
        <v>1</v>
      </c>
      <c r="AM179" s="3">
        <v>3</v>
      </c>
      <c r="AN179" s="3">
        <v>0</v>
      </c>
      <c r="AO179" s="3">
        <v>2</v>
      </c>
      <c r="AP179" s="3">
        <v>0</v>
      </c>
      <c r="AQ179" s="3">
        <v>0</v>
      </c>
      <c r="AR179" s="2" t="s">
        <v>8</v>
      </c>
      <c r="AS179" s="2" t="s">
        <v>6</v>
      </c>
      <c r="AT179" s="5" t="str">
        <f>HYPERLINK("http://catalog.hathitrust.org/Record/003112597","HathiTrust Record")</f>
        <v>HathiTrust Record</v>
      </c>
      <c r="AU179" s="5" t="str">
        <f>HYPERLINK("https://creighton-primo.hosted.exlibrisgroup.com/primo-explore/search?tab=default_tab&amp;search_scope=EVERYTHING&amp;vid=01CRU&amp;lang=en_US&amp;offset=0&amp;query=any,contains,991000902129702656","Catalog Record")</f>
        <v>Catalog Record</v>
      </c>
      <c r="AV179" s="5" t="str">
        <f>HYPERLINK("http://www.worldcat.org/oclc/35824576","WorldCat Record")</f>
        <v>WorldCat Record</v>
      </c>
      <c r="AW179" s="2" t="s">
        <v>2366</v>
      </c>
      <c r="AX179" s="2" t="s">
        <v>2367</v>
      </c>
      <c r="AY179" s="2" t="s">
        <v>2368</v>
      </c>
      <c r="AZ179" s="2" t="s">
        <v>2368</v>
      </c>
      <c r="BA179" s="2" t="s">
        <v>2369</v>
      </c>
      <c r="BB179" s="2" t="s">
        <v>21</v>
      </c>
      <c r="BD179" s="2" t="s">
        <v>2370</v>
      </c>
      <c r="BE179" s="2" t="s">
        <v>2371</v>
      </c>
      <c r="BF179" s="2" t="s">
        <v>2372</v>
      </c>
    </row>
    <row r="180" spans="1:58" ht="42.75" customHeight="1" x14ac:dyDescent="0.25">
      <c r="A180" s="8" t="s">
        <v>8</v>
      </c>
      <c r="B180" s="1" t="s">
        <v>0</v>
      </c>
      <c r="C180" s="1" t="s">
        <v>1</v>
      </c>
      <c r="D180" s="1" t="s">
        <v>2359</v>
      </c>
      <c r="E180" s="1" t="s">
        <v>2360</v>
      </c>
      <c r="F180" s="1" t="s">
        <v>2361</v>
      </c>
      <c r="H180" s="2" t="s">
        <v>8</v>
      </c>
      <c r="I180" s="2" t="s">
        <v>7</v>
      </c>
      <c r="J180" s="2" t="s">
        <v>6</v>
      </c>
      <c r="K180" s="2" t="s">
        <v>6</v>
      </c>
      <c r="L180" s="2" t="s">
        <v>9</v>
      </c>
      <c r="M180" s="1" t="s">
        <v>2362</v>
      </c>
      <c r="N180" s="1" t="s">
        <v>1991</v>
      </c>
      <c r="O180" s="2" t="s">
        <v>874</v>
      </c>
      <c r="P180" s="1" t="s">
        <v>1225</v>
      </c>
      <c r="Q180" s="2" t="s">
        <v>12</v>
      </c>
      <c r="R180" s="2" t="s">
        <v>628</v>
      </c>
      <c r="T180" s="2" t="s">
        <v>14</v>
      </c>
      <c r="U180" s="3">
        <v>44</v>
      </c>
      <c r="V180" s="3">
        <v>58</v>
      </c>
      <c r="W180" s="4" t="s">
        <v>2373</v>
      </c>
      <c r="X180" s="4" t="s">
        <v>2363</v>
      </c>
      <c r="Y180" s="4" t="s">
        <v>2365</v>
      </c>
      <c r="Z180" s="4" t="s">
        <v>2365</v>
      </c>
      <c r="AA180" s="3">
        <v>65</v>
      </c>
      <c r="AB180" s="3">
        <v>50</v>
      </c>
      <c r="AC180" s="3">
        <v>317</v>
      </c>
      <c r="AD180" s="3">
        <v>1</v>
      </c>
      <c r="AE180" s="3">
        <v>3</v>
      </c>
      <c r="AF180" s="3">
        <v>2</v>
      </c>
      <c r="AG180" s="3">
        <v>11</v>
      </c>
      <c r="AH180" s="3">
        <v>0</v>
      </c>
      <c r="AI180" s="3">
        <v>3</v>
      </c>
      <c r="AJ180" s="3">
        <v>1</v>
      </c>
      <c r="AK180" s="3">
        <v>4</v>
      </c>
      <c r="AL180" s="3">
        <v>1</v>
      </c>
      <c r="AM180" s="3">
        <v>3</v>
      </c>
      <c r="AN180" s="3">
        <v>0</v>
      </c>
      <c r="AO180" s="3">
        <v>2</v>
      </c>
      <c r="AP180" s="3">
        <v>0</v>
      </c>
      <c r="AQ180" s="3">
        <v>0</v>
      </c>
      <c r="AR180" s="2" t="s">
        <v>8</v>
      </c>
      <c r="AS180" s="2" t="s">
        <v>6</v>
      </c>
      <c r="AT180" s="5" t="str">
        <f>HYPERLINK("http://catalog.hathitrust.org/Record/003112597","HathiTrust Record")</f>
        <v>HathiTrust Record</v>
      </c>
      <c r="AU180" s="5" t="str">
        <f>HYPERLINK("https://creighton-primo.hosted.exlibrisgroup.com/primo-explore/search?tab=default_tab&amp;search_scope=EVERYTHING&amp;vid=01CRU&amp;lang=en_US&amp;offset=0&amp;query=any,contains,991000902129702656","Catalog Record")</f>
        <v>Catalog Record</v>
      </c>
      <c r="AV180" s="5" t="str">
        <f>HYPERLINK("http://www.worldcat.org/oclc/35824576","WorldCat Record")</f>
        <v>WorldCat Record</v>
      </c>
      <c r="AW180" s="2" t="s">
        <v>2366</v>
      </c>
      <c r="AX180" s="2" t="s">
        <v>2367</v>
      </c>
      <c r="AY180" s="2" t="s">
        <v>2368</v>
      </c>
      <c r="AZ180" s="2" t="s">
        <v>2368</v>
      </c>
      <c r="BA180" s="2" t="s">
        <v>2369</v>
      </c>
      <c r="BB180" s="2" t="s">
        <v>21</v>
      </c>
      <c r="BD180" s="2" t="s">
        <v>2370</v>
      </c>
      <c r="BE180" s="2" t="s">
        <v>2374</v>
      </c>
      <c r="BF180" s="2" t="s">
        <v>2375</v>
      </c>
    </row>
    <row r="181" spans="1:58" ht="42.75" customHeight="1" x14ac:dyDescent="0.25">
      <c r="A181" s="8" t="s">
        <v>8</v>
      </c>
      <c r="B181" s="1" t="s">
        <v>0</v>
      </c>
      <c r="C181" s="1" t="s">
        <v>1</v>
      </c>
      <c r="D181" s="1" t="s">
        <v>2376</v>
      </c>
      <c r="E181" s="1" t="s">
        <v>2377</v>
      </c>
      <c r="F181" s="1" t="s">
        <v>2378</v>
      </c>
      <c r="H181" s="2" t="s">
        <v>8</v>
      </c>
      <c r="I181" s="2" t="s">
        <v>7</v>
      </c>
      <c r="J181" s="2" t="s">
        <v>8</v>
      </c>
      <c r="K181" s="2" t="s">
        <v>6</v>
      </c>
      <c r="L181" s="2" t="s">
        <v>9</v>
      </c>
      <c r="M181" s="1" t="s">
        <v>2379</v>
      </c>
      <c r="N181" s="1" t="s">
        <v>2380</v>
      </c>
      <c r="O181" s="2" t="s">
        <v>830</v>
      </c>
      <c r="P181" s="1" t="s">
        <v>732</v>
      </c>
      <c r="Q181" s="2" t="s">
        <v>12</v>
      </c>
      <c r="R181" s="2" t="s">
        <v>13</v>
      </c>
      <c r="T181" s="2" t="s">
        <v>14</v>
      </c>
      <c r="U181" s="3">
        <v>38</v>
      </c>
      <c r="V181" s="3">
        <v>38</v>
      </c>
      <c r="W181" s="4" t="s">
        <v>2381</v>
      </c>
      <c r="X181" s="4" t="s">
        <v>2381</v>
      </c>
      <c r="Y181" s="4" t="s">
        <v>2382</v>
      </c>
      <c r="Z181" s="4" t="s">
        <v>2382</v>
      </c>
      <c r="AA181" s="3">
        <v>102</v>
      </c>
      <c r="AB181" s="3">
        <v>86</v>
      </c>
      <c r="AC181" s="3">
        <v>317</v>
      </c>
      <c r="AD181" s="3">
        <v>1</v>
      </c>
      <c r="AE181" s="3">
        <v>3</v>
      </c>
      <c r="AF181" s="3">
        <v>2</v>
      </c>
      <c r="AG181" s="3">
        <v>11</v>
      </c>
      <c r="AH181" s="3">
        <v>0</v>
      </c>
      <c r="AI181" s="3">
        <v>3</v>
      </c>
      <c r="AJ181" s="3">
        <v>1</v>
      </c>
      <c r="AK181" s="3">
        <v>4</v>
      </c>
      <c r="AL181" s="3">
        <v>1</v>
      </c>
      <c r="AM181" s="3">
        <v>3</v>
      </c>
      <c r="AN181" s="3">
        <v>0</v>
      </c>
      <c r="AO181" s="3">
        <v>2</v>
      </c>
      <c r="AP181" s="3">
        <v>0</v>
      </c>
      <c r="AQ181" s="3">
        <v>0</v>
      </c>
      <c r="AR181" s="2" t="s">
        <v>8</v>
      </c>
      <c r="AS181" s="2" t="s">
        <v>8</v>
      </c>
      <c r="AU181" s="5" t="str">
        <f>HYPERLINK("https://creighton-primo.hosted.exlibrisgroup.com/primo-explore/search?tab=default_tab&amp;search_scope=EVERYTHING&amp;vid=01CRU&amp;lang=en_US&amp;offset=0&amp;query=any,contains,991000362069702656","Catalog Record")</f>
        <v>Catalog Record</v>
      </c>
      <c r="AV181" s="5" t="str">
        <f>HYPERLINK("http://www.worldcat.org/oclc/54034816","WorldCat Record")</f>
        <v>WorldCat Record</v>
      </c>
      <c r="AW181" s="2" t="s">
        <v>2366</v>
      </c>
      <c r="AX181" s="2" t="s">
        <v>2383</v>
      </c>
      <c r="AY181" s="2" t="s">
        <v>2384</v>
      </c>
      <c r="AZ181" s="2" t="s">
        <v>2384</v>
      </c>
      <c r="BA181" s="2" t="s">
        <v>2385</v>
      </c>
      <c r="BB181" s="2" t="s">
        <v>21</v>
      </c>
      <c r="BD181" s="2" t="s">
        <v>2386</v>
      </c>
      <c r="BE181" s="2" t="s">
        <v>2387</v>
      </c>
      <c r="BF181" s="2" t="s">
        <v>2388</v>
      </c>
    </row>
    <row r="182" spans="1:58" ht="42.75" customHeight="1" x14ac:dyDescent="0.25">
      <c r="A182" s="8" t="s">
        <v>8</v>
      </c>
      <c r="B182" s="1" t="s">
        <v>0</v>
      </c>
      <c r="C182" s="1" t="s">
        <v>1</v>
      </c>
      <c r="D182" s="1" t="s">
        <v>2389</v>
      </c>
      <c r="E182" s="1" t="s">
        <v>2390</v>
      </c>
      <c r="F182" s="1" t="s">
        <v>2391</v>
      </c>
      <c r="H182" s="2" t="s">
        <v>8</v>
      </c>
      <c r="I182" s="2" t="s">
        <v>7</v>
      </c>
      <c r="J182" s="2" t="s">
        <v>8</v>
      </c>
      <c r="K182" s="2" t="s">
        <v>8</v>
      </c>
      <c r="L182" s="2" t="s">
        <v>9</v>
      </c>
      <c r="N182" s="1" t="s">
        <v>2392</v>
      </c>
      <c r="O182" s="2" t="s">
        <v>657</v>
      </c>
      <c r="Q182" s="2" t="s">
        <v>12</v>
      </c>
      <c r="R182" s="2" t="s">
        <v>456</v>
      </c>
      <c r="T182" s="2" t="s">
        <v>14</v>
      </c>
      <c r="U182" s="3">
        <v>0</v>
      </c>
      <c r="V182" s="3">
        <v>0</v>
      </c>
      <c r="W182" s="4" t="s">
        <v>2393</v>
      </c>
      <c r="X182" s="4" t="s">
        <v>2393</v>
      </c>
      <c r="Y182" s="4" t="s">
        <v>2394</v>
      </c>
      <c r="Z182" s="4" t="s">
        <v>2394</v>
      </c>
      <c r="AA182" s="3">
        <v>123</v>
      </c>
      <c r="AB182" s="3">
        <v>101</v>
      </c>
      <c r="AC182" s="3">
        <v>186</v>
      </c>
      <c r="AD182" s="3">
        <v>1</v>
      </c>
      <c r="AE182" s="3">
        <v>2</v>
      </c>
      <c r="AF182" s="3">
        <v>1</v>
      </c>
      <c r="AG182" s="3">
        <v>4</v>
      </c>
      <c r="AH182" s="3">
        <v>1</v>
      </c>
      <c r="AI182" s="3">
        <v>1</v>
      </c>
      <c r="AJ182" s="3">
        <v>0</v>
      </c>
      <c r="AK182" s="3">
        <v>1</v>
      </c>
      <c r="AL182" s="3">
        <v>0</v>
      </c>
      <c r="AM182" s="3">
        <v>1</v>
      </c>
      <c r="AN182" s="3">
        <v>0</v>
      </c>
      <c r="AO182" s="3">
        <v>1</v>
      </c>
      <c r="AP182" s="3">
        <v>0</v>
      </c>
      <c r="AQ182" s="3">
        <v>0</v>
      </c>
      <c r="AR182" s="2" t="s">
        <v>8</v>
      </c>
      <c r="AS182" s="2" t="s">
        <v>6</v>
      </c>
      <c r="AT182" s="5" t="str">
        <f>HYPERLINK("http://catalog.hathitrust.org/Record/004136015","HathiTrust Record")</f>
        <v>HathiTrust Record</v>
      </c>
      <c r="AU182" s="5" t="str">
        <f>HYPERLINK("https://creighton-primo.hosted.exlibrisgroup.com/primo-explore/search?tab=default_tab&amp;search_scope=EVERYTHING&amp;vid=01CRU&amp;lang=en_US&amp;offset=0&amp;query=any,contains,991000341399702656","Catalog Record")</f>
        <v>Catalog Record</v>
      </c>
      <c r="AV182" s="5" t="str">
        <f>HYPERLINK("http://www.worldcat.org/oclc/44040394","WorldCat Record")</f>
        <v>WorldCat Record</v>
      </c>
      <c r="AW182" s="2" t="s">
        <v>2395</v>
      </c>
      <c r="AX182" s="2" t="s">
        <v>2396</v>
      </c>
      <c r="AY182" s="2" t="s">
        <v>2397</v>
      </c>
      <c r="AZ182" s="2" t="s">
        <v>2397</v>
      </c>
      <c r="BA182" s="2" t="s">
        <v>2398</v>
      </c>
      <c r="BB182" s="2" t="s">
        <v>21</v>
      </c>
      <c r="BD182" s="2" t="s">
        <v>2399</v>
      </c>
      <c r="BE182" s="2" t="s">
        <v>2400</v>
      </c>
      <c r="BF182" s="2" t="s">
        <v>2401</v>
      </c>
    </row>
    <row r="183" spans="1:58" ht="42.75" customHeight="1" x14ac:dyDescent="0.25">
      <c r="A183" s="8" t="s">
        <v>8</v>
      </c>
      <c r="B183" s="1" t="s">
        <v>0</v>
      </c>
      <c r="C183" s="1" t="s">
        <v>1</v>
      </c>
      <c r="D183" s="1" t="s">
        <v>2402</v>
      </c>
      <c r="E183" s="1" t="s">
        <v>2403</v>
      </c>
      <c r="F183" s="1" t="s">
        <v>2404</v>
      </c>
      <c r="H183" s="2" t="s">
        <v>8</v>
      </c>
      <c r="I183" s="2" t="s">
        <v>7</v>
      </c>
      <c r="J183" s="2" t="s">
        <v>8</v>
      </c>
      <c r="K183" s="2" t="s">
        <v>8</v>
      </c>
      <c r="L183" s="2" t="s">
        <v>9</v>
      </c>
      <c r="M183" s="1" t="s">
        <v>2405</v>
      </c>
      <c r="N183" s="1" t="s">
        <v>2406</v>
      </c>
      <c r="O183" s="2" t="s">
        <v>298</v>
      </c>
      <c r="Q183" s="2" t="s">
        <v>12</v>
      </c>
      <c r="R183" s="2" t="s">
        <v>13</v>
      </c>
      <c r="T183" s="2" t="s">
        <v>14</v>
      </c>
      <c r="U183" s="3">
        <v>3</v>
      </c>
      <c r="V183" s="3">
        <v>3</v>
      </c>
      <c r="W183" s="4" t="s">
        <v>2407</v>
      </c>
      <c r="X183" s="4" t="s">
        <v>2407</v>
      </c>
      <c r="Y183" s="4" t="s">
        <v>2408</v>
      </c>
      <c r="Z183" s="4" t="s">
        <v>2408</v>
      </c>
      <c r="AA183" s="3">
        <v>211</v>
      </c>
      <c r="AB183" s="3">
        <v>179</v>
      </c>
      <c r="AC183" s="3">
        <v>203</v>
      </c>
      <c r="AD183" s="3">
        <v>1</v>
      </c>
      <c r="AE183" s="3">
        <v>1</v>
      </c>
      <c r="AF183" s="3">
        <v>1</v>
      </c>
      <c r="AG183" s="3">
        <v>1</v>
      </c>
      <c r="AH183" s="3">
        <v>0</v>
      </c>
      <c r="AI183" s="3">
        <v>0</v>
      </c>
      <c r="AJ183" s="3">
        <v>0</v>
      </c>
      <c r="AK183" s="3">
        <v>0</v>
      </c>
      <c r="AL183" s="3">
        <v>1</v>
      </c>
      <c r="AM183" s="3">
        <v>1</v>
      </c>
      <c r="AN183" s="3">
        <v>0</v>
      </c>
      <c r="AO183" s="3">
        <v>0</v>
      </c>
      <c r="AP183" s="3">
        <v>0</v>
      </c>
      <c r="AQ183" s="3">
        <v>0</v>
      </c>
      <c r="AR183" s="2" t="s">
        <v>8</v>
      </c>
      <c r="AS183" s="2" t="s">
        <v>6</v>
      </c>
      <c r="AT183" s="5" t="str">
        <f>HYPERLINK("http://catalog.hathitrust.org/Record/000858862","HathiTrust Record")</f>
        <v>HathiTrust Record</v>
      </c>
      <c r="AU183" s="5" t="str">
        <f>HYPERLINK("https://creighton-primo.hosted.exlibrisgroup.com/primo-explore/search?tab=default_tab&amp;search_scope=EVERYTHING&amp;vid=01CRU&amp;lang=en_US&amp;offset=0&amp;query=any,contains,991001175459702656","Catalog Record")</f>
        <v>Catalog Record</v>
      </c>
      <c r="AV183" s="5" t="str">
        <f>HYPERLINK("http://www.worldcat.org/oclc/13580831","WorldCat Record")</f>
        <v>WorldCat Record</v>
      </c>
      <c r="AW183" s="2" t="s">
        <v>2409</v>
      </c>
      <c r="AX183" s="2" t="s">
        <v>2410</v>
      </c>
      <c r="AY183" s="2" t="s">
        <v>2411</v>
      </c>
      <c r="AZ183" s="2" t="s">
        <v>2411</v>
      </c>
      <c r="BA183" s="2" t="s">
        <v>2412</v>
      </c>
      <c r="BB183" s="2" t="s">
        <v>21</v>
      </c>
      <c r="BD183" s="2" t="s">
        <v>2413</v>
      </c>
      <c r="BE183" s="2" t="s">
        <v>2414</v>
      </c>
      <c r="BF183" s="2" t="s">
        <v>2415</v>
      </c>
    </row>
    <row r="184" spans="1:58" ht="42.75" customHeight="1" x14ac:dyDescent="0.25">
      <c r="A184" s="8" t="s">
        <v>8</v>
      </c>
      <c r="B184" s="1" t="s">
        <v>0</v>
      </c>
      <c r="C184" s="1" t="s">
        <v>1</v>
      </c>
      <c r="D184" s="1" t="s">
        <v>2416</v>
      </c>
      <c r="E184" s="1" t="s">
        <v>2417</v>
      </c>
      <c r="F184" s="1" t="s">
        <v>2418</v>
      </c>
      <c r="H184" s="2" t="s">
        <v>8</v>
      </c>
      <c r="I184" s="2" t="s">
        <v>7</v>
      </c>
      <c r="J184" s="2" t="s">
        <v>8</v>
      </c>
      <c r="K184" s="2" t="s">
        <v>8</v>
      </c>
      <c r="L184" s="2" t="s">
        <v>9</v>
      </c>
      <c r="M184" s="1" t="s">
        <v>2419</v>
      </c>
      <c r="N184" s="1" t="s">
        <v>1059</v>
      </c>
      <c r="O184" s="2" t="s">
        <v>1060</v>
      </c>
      <c r="Q184" s="2" t="s">
        <v>12</v>
      </c>
      <c r="R184" s="2" t="s">
        <v>815</v>
      </c>
      <c r="T184" s="2" t="s">
        <v>14</v>
      </c>
      <c r="U184" s="3">
        <v>10</v>
      </c>
      <c r="V184" s="3">
        <v>10</v>
      </c>
      <c r="W184" s="4" t="s">
        <v>2420</v>
      </c>
      <c r="X184" s="4" t="s">
        <v>2420</v>
      </c>
      <c r="Y184" s="4" t="s">
        <v>2421</v>
      </c>
      <c r="Z184" s="4" t="s">
        <v>2421</v>
      </c>
      <c r="AA184" s="3">
        <v>29</v>
      </c>
      <c r="AB184" s="3">
        <v>26</v>
      </c>
      <c r="AC184" s="3">
        <v>26</v>
      </c>
      <c r="AD184" s="3">
        <v>1</v>
      </c>
      <c r="AE184" s="3">
        <v>1</v>
      </c>
      <c r="AF184" s="3">
        <v>1</v>
      </c>
      <c r="AG184" s="3">
        <v>1</v>
      </c>
      <c r="AH184" s="3">
        <v>0</v>
      </c>
      <c r="AI184" s="3">
        <v>0</v>
      </c>
      <c r="AJ184" s="3">
        <v>0</v>
      </c>
      <c r="AK184" s="3">
        <v>0</v>
      </c>
      <c r="AL184" s="3">
        <v>1</v>
      </c>
      <c r="AM184" s="3">
        <v>1</v>
      </c>
      <c r="AN184" s="3">
        <v>0</v>
      </c>
      <c r="AO184" s="3">
        <v>0</v>
      </c>
      <c r="AP184" s="3">
        <v>0</v>
      </c>
      <c r="AQ184" s="3">
        <v>0</v>
      </c>
      <c r="AR184" s="2" t="s">
        <v>8</v>
      </c>
      <c r="AS184" s="2" t="s">
        <v>8</v>
      </c>
      <c r="AU184" s="5" t="str">
        <f>HYPERLINK("https://creighton-primo.hosted.exlibrisgroup.com/primo-explore/search?tab=default_tab&amp;search_scope=EVERYTHING&amp;vid=01CRU&amp;lang=en_US&amp;offset=0&amp;query=any,contains,991000836869702656","Catalog Record")</f>
        <v>Catalog Record</v>
      </c>
      <c r="AV184" s="5" t="str">
        <f>HYPERLINK("http://www.worldcat.org/oclc/34575173","WorldCat Record")</f>
        <v>WorldCat Record</v>
      </c>
      <c r="AW184" s="2" t="s">
        <v>2422</v>
      </c>
      <c r="AX184" s="2" t="s">
        <v>2423</v>
      </c>
      <c r="AY184" s="2" t="s">
        <v>2424</v>
      </c>
      <c r="AZ184" s="2" t="s">
        <v>2424</v>
      </c>
      <c r="BA184" s="2" t="s">
        <v>2425</v>
      </c>
      <c r="BB184" s="2" t="s">
        <v>21</v>
      </c>
      <c r="BD184" s="2" t="s">
        <v>2426</v>
      </c>
      <c r="BE184" s="2" t="s">
        <v>2427</v>
      </c>
      <c r="BF184" s="2" t="s">
        <v>2428</v>
      </c>
    </row>
    <row r="185" spans="1:58" ht="42.75" customHeight="1" x14ac:dyDescent="0.25">
      <c r="A185" s="8" t="s">
        <v>8</v>
      </c>
      <c r="B185" s="1" t="s">
        <v>0</v>
      </c>
      <c r="C185" s="1" t="s">
        <v>1</v>
      </c>
      <c r="D185" s="1" t="s">
        <v>2429</v>
      </c>
      <c r="E185" s="1" t="s">
        <v>2430</v>
      </c>
      <c r="F185" s="1" t="s">
        <v>2431</v>
      </c>
      <c r="H185" s="2" t="s">
        <v>8</v>
      </c>
      <c r="I185" s="2" t="s">
        <v>7</v>
      </c>
      <c r="J185" s="2" t="s">
        <v>6</v>
      </c>
      <c r="K185" s="2" t="s">
        <v>8</v>
      </c>
      <c r="L185" s="2" t="s">
        <v>9</v>
      </c>
      <c r="M185" s="1" t="s">
        <v>2419</v>
      </c>
      <c r="N185" s="1" t="s">
        <v>2104</v>
      </c>
      <c r="O185" s="2" t="s">
        <v>814</v>
      </c>
      <c r="Q185" s="2" t="s">
        <v>12</v>
      </c>
      <c r="R185" s="2" t="s">
        <v>456</v>
      </c>
      <c r="T185" s="2" t="s">
        <v>14</v>
      </c>
      <c r="U185" s="3">
        <v>24</v>
      </c>
      <c r="V185" s="3">
        <v>27</v>
      </c>
      <c r="W185" s="4" t="s">
        <v>2432</v>
      </c>
      <c r="X185" s="4" t="s">
        <v>2381</v>
      </c>
      <c r="Y185" s="4" t="s">
        <v>2433</v>
      </c>
      <c r="Z185" s="4" t="s">
        <v>2433</v>
      </c>
      <c r="AA185" s="3">
        <v>23</v>
      </c>
      <c r="AB185" s="3">
        <v>22</v>
      </c>
      <c r="AC185" s="3">
        <v>24</v>
      </c>
      <c r="AD185" s="3">
        <v>1</v>
      </c>
      <c r="AE185" s="3">
        <v>1</v>
      </c>
      <c r="AF185" s="3">
        <v>0</v>
      </c>
      <c r="AG185" s="3">
        <v>0</v>
      </c>
      <c r="AH185" s="3">
        <v>0</v>
      </c>
      <c r="AI185" s="3">
        <v>0</v>
      </c>
      <c r="AJ185" s="3">
        <v>0</v>
      </c>
      <c r="AK185" s="3">
        <v>0</v>
      </c>
      <c r="AL185" s="3">
        <v>0</v>
      </c>
      <c r="AM185" s="3">
        <v>0</v>
      </c>
      <c r="AN185" s="3">
        <v>0</v>
      </c>
      <c r="AO185" s="3">
        <v>0</v>
      </c>
      <c r="AP185" s="3">
        <v>0</v>
      </c>
      <c r="AQ185" s="3">
        <v>0</v>
      </c>
      <c r="AR185" s="2" t="s">
        <v>8</v>
      </c>
      <c r="AS185" s="2" t="s">
        <v>6</v>
      </c>
      <c r="AT185" s="5" t="str">
        <f>HYPERLINK("http://catalog.hathitrust.org/Record/010662339","HathiTrust Record")</f>
        <v>HathiTrust Record</v>
      </c>
      <c r="AU185" s="5" t="str">
        <f>HYPERLINK("https://creighton-primo.hosted.exlibrisgroup.com/primo-explore/search?tab=default_tab&amp;search_scope=EVERYTHING&amp;vid=01CRU&amp;lang=en_US&amp;offset=0&amp;query=any,contains,991001409269702656","Catalog Record")</f>
        <v>Catalog Record</v>
      </c>
      <c r="AV185" s="5" t="str">
        <f>HYPERLINK("http://www.worldcat.org/oclc/41512129","WorldCat Record")</f>
        <v>WorldCat Record</v>
      </c>
      <c r="AW185" s="2" t="s">
        <v>2434</v>
      </c>
      <c r="AX185" s="2" t="s">
        <v>2435</v>
      </c>
      <c r="AY185" s="2" t="s">
        <v>2436</v>
      </c>
      <c r="AZ185" s="2" t="s">
        <v>2436</v>
      </c>
      <c r="BA185" s="2" t="s">
        <v>2437</v>
      </c>
      <c r="BB185" s="2" t="s">
        <v>21</v>
      </c>
      <c r="BD185" s="2" t="s">
        <v>2438</v>
      </c>
      <c r="BE185" s="2" t="s">
        <v>2439</v>
      </c>
      <c r="BF185" s="2" t="s">
        <v>2440</v>
      </c>
    </row>
    <row r="186" spans="1:58" ht="42.75" customHeight="1" x14ac:dyDescent="0.25">
      <c r="A186" s="8" t="s">
        <v>8</v>
      </c>
      <c r="B186" s="1" t="s">
        <v>0</v>
      </c>
      <c r="C186" s="1" t="s">
        <v>1</v>
      </c>
      <c r="D186" s="1" t="s">
        <v>2429</v>
      </c>
      <c r="E186" s="1" t="s">
        <v>2430</v>
      </c>
      <c r="F186" s="1" t="s">
        <v>2431</v>
      </c>
      <c r="H186" s="2" t="s">
        <v>8</v>
      </c>
      <c r="I186" s="2" t="s">
        <v>885</v>
      </c>
      <c r="J186" s="2" t="s">
        <v>6</v>
      </c>
      <c r="K186" s="2" t="s">
        <v>8</v>
      </c>
      <c r="L186" s="2" t="s">
        <v>9</v>
      </c>
      <c r="M186" s="1" t="s">
        <v>2419</v>
      </c>
      <c r="N186" s="1" t="s">
        <v>2104</v>
      </c>
      <c r="O186" s="2" t="s">
        <v>814</v>
      </c>
      <c r="Q186" s="2" t="s">
        <v>12</v>
      </c>
      <c r="R186" s="2" t="s">
        <v>456</v>
      </c>
      <c r="T186" s="2" t="s">
        <v>14</v>
      </c>
      <c r="U186" s="3">
        <v>3</v>
      </c>
      <c r="V186" s="3">
        <v>27</v>
      </c>
      <c r="W186" s="4" t="s">
        <v>2381</v>
      </c>
      <c r="X186" s="4" t="s">
        <v>2381</v>
      </c>
      <c r="Y186" s="4" t="s">
        <v>2433</v>
      </c>
      <c r="Z186" s="4" t="s">
        <v>2433</v>
      </c>
      <c r="AA186" s="3">
        <v>23</v>
      </c>
      <c r="AB186" s="3">
        <v>22</v>
      </c>
      <c r="AC186" s="3">
        <v>24</v>
      </c>
      <c r="AD186" s="3">
        <v>1</v>
      </c>
      <c r="AE186" s="3">
        <v>1</v>
      </c>
      <c r="AF186" s="3">
        <v>0</v>
      </c>
      <c r="AG186" s="3">
        <v>0</v>
      </c>
      <c r="AH186" s="3">
        <v>0</v>
      </c>
      <c r="AI186" s="3">
        <v>0</v>
      </c>
      <c r="AJ186" s="3">
        <v>0</v>
      </c>
      <c r="AK186" s="3">
        <v>0</v>
      </c>
      <c r="AL186" s="3">
        <v>0</v>
      </c>
      <c r="AM186" s="3">
        <v>0</v>
      </c>
      <c r="AN186" s="3">
        <v>0</v>
      </c>
      <c r="AO186" s="3">
        <v>0</v>
      </c>
      <c r="AP186" s="3">
        <v>0</v>
      </c>
      <c r="AQ186" s="3">
        <v>0</v>
      </c>
      <c r="AR186" s="2" t="s">
        <v>8</v>
      </c>
      <c r="AS186" s="2" t="s">
        <v>6</v>
      </c>
      <c r="AT186" s="5" t="str">
        <f>HYPERLINK("http://catalog.hathitrust.org/Record/010662339","HathiTrust Record")</f>
        <v>HathiTrust Record</v>
      </c>
      <c r="AU186" s="5" t="str">
        <f>HYPERLINK("https://creighton-primo.hosted.exlibrisgroup.com/primo-explore/search?tab=default_tab&amp;search_scope=EVERYTHING&amp;vid=01CRU&amp;lang=en_US&amp;offset=0&amp;query=any,contains,991001409269702656","Catalog Record")</f>
        <v>Catalog Record</v>
      </c>
      <c r="AV186" s="5" t="str">
        <f>HYPERLINK("http://www.worldcat.org/oclc/41512129","WorldCat Record")</f>
        <v>WorldCat Record</v>
      </c>
      <c r="AW186" s="2" t="s">
        <v>2434</v>
      </c>
      <c r="AX186" s="2" t="s">
        <v>2435</v>
      </c>
      <c r="AY186" s="2" t="s">
        <v>2436</v>
      </c>
      <c r="AZ186" s="2" t="s">
        <v>2436</v>
      </c>
      <c r="BA186" s="2" t="s">
        <v>2437</v>
      </c>
      <c r="BB186" s="2" t="s">
        <v>21</v>
      </c>
      <c r="BD186" s="2" t="s">
        <v>2438</v>
      </c>
      <c r="BE186" s="2" t="s">
        <v>2441</v>
      </c>
      <c r="BF186" s="2" t="s">
        <v>2442</v>
      </c>
    </row>
    <row r="187" spans="1:58" ht="42.75" customHeight="1" x14ac:dyDescent="0.25">
      <c r="A187" s="8" t="s">
        <v>8</v>
      </c>
      <c r="B187" s="1" t="s">
        <v>0</v>
      </c>
      <c r="C187" s="1" t="s">
        <v>1</v>
      </c>
      <c r="D187" s="1" t="s">
        <v>2443</v>
      </c>
      <c r="E187" s="1" t="s">
        <v>2444</v>
      </c>
      <c r="F187" s="1" t="s">
        <v>2445</v>
      </c>
      <c r="H187" s="2" t="s">
        <v>8</v>
      </c>
      <c r="I187" s="2" t="s">
        <v>7</v>
      </c>
      <c r="J187" s="2" t="s">
        <v>8</v>
      </c>
      <c r="K187" s="2" t="s">
        <v>8</v>
      </c>
      <c r="L187" s="2" t="s">
        <v>9</v>
      </c>
      <c r="N187" s="1" t="s">
        <v>2446</v>
      </c>
      <c r="O187" s="2" t="s">
        <v>410</v>
      </c>
      <c r="Q187" s="2" t="s">
        <v>12</v>
      </c>
      <c r="R187" s="2" t="s">
        <v>13</v>
      </c>
      <c r="T187" s="2" t="s">
        <v>14</v>
      </c>
      <c r="U187" s="3">
        <v>2</v>
      </c>
      <c r="V187" s="3">
        <v>2</v>
      </c>
      <c r="W187" s="4" t="s">
        <v>2447</v>
      </c>
      <c r="X187" s="4" t="s">
        <v>2447</v>
      </c>
      <c r="Y187" s="4" t="s">
        <v>2447</v>
      </c>
      <c r="Z187" s="4" t="s">
        <v>2447</v>
      </c>
      <c r="AA187" s="3">
        <v>88</v>
      </c>
      <c r="AB187" s="3">
        <v>84</v>
      </c>
      <c r="AC187" s="3">
        <v>86</v>
      </c>
      <c r="AD187" s="3">
        <v>1</v>
      </c>
      <c r="AE187" s="3">
        <v>1</v>
      </c>
      <c r="AF187" s="3">
        <v>1</v>
      </c>
      <c r="AG187" s="3">
        <v>1</v>
      </c>
      <c r="AH187" s="3">
        <v>0</v>
      </c>
      <c r="AI187" s="3">
        <v>0</v>
      </c>
      <c r="AJ187" s="3">
        <v>1</v>
      </c>
      <c r="AK187" s="3">
        <v>1</v>
      </c>
      <c r="AL187" s="3">
        <v>0</v>
      </c>
      <c r="AM187" s="3">
        <v>0</v>
      </c>
      <c r="AN187" s="3">
        <v>0</v>
      </c>
      <c r="AO187" s="3">
        <v>0</v>
      </c>
      <c r="AP187" s="3">
        <v>0</v>
      </c>
      <c r="AQ187" s="3">
        <v>0</v>
      </c>
      <c r="AR187" s="2" t="s">
        <v>8</v>
      </c>
      <c r="AS187" s="2" t="s">
        <v>6</v>
      </c>
      <c r="AT187" s="5" t="str">
        <f>HYPERLINK("http://catalog.hathitrust.org/Record/002644034","HathiTrust Record")</f>
        <v>HathiTrust Record</v>
      </c>
      <c r="AU187" s="5" t="str">
        <f>HYPERLINK("https://creighton-primo.hosted.exlibrisgroup.com/primo-explore/search?tab=default_tab&amp;search_scope=EVERYTHING&amp;vid=01CRU&amp;lang=en_US&amp;offset=0&amp;query=any,contains,991001509009702656","Catalog Record")</f>
        <v>Catalog Record</v>
      </c>
      <c r="AV187" s="5" t="str">
        <f>HYPERLINK("http://www.worldcat.org/oclc/28185674","WorldCat Record")</f>
        <v>WorldCat Record</v>
      </c>
      <c r="AW187" s="2" t="s">
        <v>2448</v>
      </c>
      <c r="AX187" s="2" t="s">
        <v>2449</v>
      </c>
      <c r="AY187" s="2" t="s">
        <v>2450</v>
      </c>
      <c r="AZ187" s="2" t="s">
        <v>2450</v>
      </c>
      <c r="BA187" s="2" t="s">
        <v>2451</v>
      </c>
      <c r="BB187" s="2" t="s">
        <v>21</v>
      </c>
      <c r="BE187" s="2" t="s">
        <v>2452</v>
      </c>
      <c r="BF187" s="2" t="s">
        <v>2453</v>
      </c>
    </row>
    <row r="188" spans="1:58" ht="42.75" customHeight="1" x14ac:dyDescent="0.25">
      <c r="A188" s="8" t="s">
        <v>8</v>
      </c>
      <c r="B188" s="1" t="s">
        <v>0</v>
      </c>
      <c r="C188" s="1" t="s">
        <v>1</v>
      </c>
      <c r="D188" s="1" t="s">
        <v>2454</v>
      </c>
      <c r="E188" s="1" t="s">
        <v>2455</v>
      </c>
      <c r="F188" s="1" t="s">
        <v>2456</v>
      </c>
      <c r="H188" s="2" t="s">
        <v>8</v>
      </c>
      <c r="I188" s="2" t="s">
        <v>7</v>
      </c>
      <c r="J188" s="2" t="s">
        <v>8</v>
      </c>
      <c r="K188" s="2" t="s">
        <v>8</v>
      </c>
      <c r="L188" s="2" t="s">
        <v>9</v>
      </c>
      <c r="M188" s="1" t="s">
        <v>2258</v>
      </c>
      <c r="N188" s="1" t="s">
        <v>2457</v>
      </c>
      <c r="O188" s="2" t="s">
        <v>51</v>
      </c>
      <c r="Q188" s="2" t="s">
        <v>12</v>
      </c>
      <c r="R188" s="2" t="s">
        <v>2260</v>
      </c>
      <c r="T188" s="2" t="s">
        <v>14</v>
      </c>
      <c r="U188" s="3">
        <v>5</v>
      </c>
      <c r="V188" s="3">
        <v>5</v>
      </c>
      <c r="W188" s="4" t="s">
        <v>2458</v>
      </c>
      <c r="X188" s="4" t="s">
        <v>2458</v>
      </c>
      <c r="Y188" s="4" t="s">
        <v>2459</v>
      </c>
      <c r="Z188" s="4" t="s">
        <v>2459</v>
      </c>
      <c r="AA188" s="3">
        <v>38</v>
      </c>
      <c r="AB188" s="3">
        <v>37</v>
      </c>
      <c r="AC188" s="3">
        <v>55</v>
      </c>
      <c r="AD188" s="3">
        <v>1</v>
      </c>
      <c r="AE188" s="3">
        <v>1</v>
      </c>
      <c r="AF188" s="3">
        <v>0</v>
      </c>
      <c r="AG188" s="3">
        <v>0</v>
      </c>
      <c r="AH188" s="3">
        <v>0</v>
      </c>
      <c r="AI188" s="3">
        <v>0</v>
      </c>
      <c r="AJ188" s="3">
        <v>0</v>
      </c>
      <c r="AK188" s="3">
        <v>0</v>
      </c>
      <c r="AL188" s="3">
        <v>0</v>
      </c>
      <c r="AM188" s="3">
        <v>0</v>
      </c>
      <c r="AN188" s="3">
        <v>0</v>
      </c>
      <c r="AO188" s="3">
        <v>0</v>
      </c>
      <c r="AP188" s="3">
        <v>0</v>
      </c>
      <c r="AQ188" s="3">
        <v>0</v>
      </c>
      <c r="AR188" s="2" t="s">
        <v>8</v>
      </c>
      <c r="AS188" s="2" t="s">
        <v>6</v>
      </c>
      <c r="AT188" s="5" t="str">
        <f>HYPERLINK("http://catalog.hathitrust.org/Record/001540353","HathiTrust Record")</f>
        <v>HathiTrust Record</v>
      </c>
      <c r="AU188" s="5" t="str">
        <f>HYPERLINK("https://creighton-primo.hosted.exlibrisgroup.com/primo-explore/search?tab=default_tab&amp;search_scope=EVERYTHING&amp;vid=01CRU&amp;lang=en_US&amp;offset=0&amp;query=any,contains,991001190439702656","Catalog Record")</f>
        <v>Catalog Record</v>
      </c>
      <c r="AV188" s="5" t="str">
        <f>HYPERLINK("http://www.worldcat.org/oclc/18133203","WorldCat Record")</f>
        <v>WorldCat Record</v>
      </c>
      <c r="AW188" s="2" t="s">
        <v>2460</v>
      </c>
      <c r="AX188" s="2" t="s">
        <v>2461</v>
      </c>
      <c r="AY188" s="2" t="s">
        <v>2462</v>
      </c>
      <c r="AZ188" s="2" t="s">
        <v>2462</v>
      </c>
      <c r="BA188" s="2" t="s">
        <v>2463</v>
      </c>
      <c r="BB188" s="2" t="s">
        <v>21</v>
      </c>
      <c r="BE188" s="2" t="s">
        <v>2464</v>
      </c>
      <c r="BF188" s="2" t="s">
        <v>2465</v>
      </c>
    </row>
    <row r="189" spans="1:58" ht="42.75" customHeight="1" x14ac:dyDescent="0.25">
      <c r="A189" s="8" t="s">
        <v>8</v>
      </c>
      <c r="B189" s="1" t="s">
        <v>0</v>
      </c>
      <c r="C189" s="1" t="s">
        <v>1</v>
      </c>
      <c r="D189" s="1" t="s">
        <v>2466</v>
      </c>
      <c r="E189" s="1" t="s">
        <v>2467</v>
      </c>
      <c r="F189" s="1" t="s">
        <v>2468</v>
      </c>
      <c r="H189" s="2" t="s">
        <v>8</v>
      </c>
      <c r="I189" s="2" t="s">
        <v>7</v>
      </c>
      <c r="J189" s="2" t="s">
        <v>8</v>
      </c>
      <c r="K189" s="2" t="s">
        <v>8</v>
      </c>
      <c r="L189" s="2" t="s">
        <v>9</v>
      </c>
      <c r="M189" s="1" t="s">
        <v>2469</v>
      </c>
      <c r="N189" s="1" t="s">
        <v>2470</v>
      </c>
      <c r="O189" s="2" t="s">
        <v>2044</v>
      </c>
      <c r="Q189" s="2" t="s">
        <v>12</v>
      </c>
      <c r="R189" s="2" t="s">
        <v>643</v>
      </c>
      <c r="T189" s="2" t="s">
        <v>14</v>
      </c>
      <c r="U189" s="3">
        <v>4</v>
      </c>
      <c r="V189" s="3">
        <v>4</v>
      </c>
      <c r="W189" s="4" t="s">
        <v>2471</v>
      </c>
      <c r="X189" s="4" t="s">
        <v>2471</v>
      </c>
      <c r="Y189" s="4" t="s">
        <v>2472</v>
      </c>
      <c r="Z189" s="4" t="s">
        <v>2472</v>
      </c>
      <c r="AA189" s="3">
        <v>190</v>
      </c>
      <c r="AB189" s="3">
        <v>68</v>
      </c>
      <c r="AC189" s="3">
        <v>97</v>
      </c>
      <c r="AD189" s="3">
        <v>1</v>
      </c>
      <c r="AE189" s="3">
        <v>1</v>
      </c>
      <c r="AF189" s="3">
        <v>1</v>
      </c>
      <c r="AG189" s="3">
        <v>1</v>
      </c>
      <c r="AH189" s="3">
        <v>0</v>
      </c>
      <c r="AI189" s="3">
        <v>0</v>
      </c>
      <c r="AJ189" s="3">
        <v>0</v>
      </c>
      <c r="AK189" s="3">
        <v>0</v>
      </c>
      <c r="AL189" s="3">
        <v>1</v>
      </c>
      <c r="AM189" s="3">
        <v>1</v>
      </c>
      <c r="AN189" s="3">
        <v>0</v>
      </c>
      <c r="AO189" s="3">
        <v>0</v>
      </c>
      <c r="AP189" s="3">
        <v>0</v>
      </c>
      <c r="AQ189" s="3">
        <v>0</v>
      </c>
      <c r="AR189" s="2" t="s">
        <v>8</v>
      </c>
      <c r="AS189" s="2" t="s">
        <v>8</v>
      </c>
      <c r="AU189" s="5" t="str">
        <f>HYPERLINK("https://creighton-primo.hosted.exlibrisgroup.com/primo-explore/search?tab=default_tab&amp;search_scope=EVERYTHING&amp;vid=01CRU&amp;lang=en_US&amp;offset=0&amp;query=any,contains,991000338029702656","Catalog Record")</f>
        <v>Catalog Record</v>
      </c>
      <c r="AV189" s="5" t="str">
        <f>HYPERLINK("http://www.worldcat.org/oclc/52086251","WorldCat Record")</f>
        <v>WorldCat Record</v>
      </c>
      <c r="AW189" s="2" t="s">
        <v>2473</v>
      </c>
      <c r="AX189" s="2" t="s">
        <v>2474</v>
      </c>
      <c r="AY189" s="2" t="s">
        <v>2475</v>
      </c>
      <c r="AZ189" s="2" t="s">
        <v>2475</v>
      </c>
      <c r="BA189" s="2" t="s">
        <v>2476</v>
      </c>
      <c r="BB189" s="2" t="s">
        <v>21</v>
      </c>
      <c r="BD189" s="2" t="s">
        <v>2477</v>
      </c>
      <c r="BE189" s="2" t="s">
        <v>2478</v>
      </c>
      <c r="BF189" s="2" t="s">
        <v>2479</v>
      </c>
    </row>
    <row r="190" spans="1:58" ht="42.75" customHeight="1" x14ac:dyDescent="0.25">
      <c r="A190" s="8" t="s">
        <v>8</v>
      </c>
      <c r="B190" s="1" t="s">
        <v>0</v>
      </c>
      <c r="C190" s="1" t="s">
        <v>1</v>
      </c>
      <c r="D190" s="1" t="s">
        <v>2480</v>
      </c>
      <c r="E190" s="1" t="s">
        <v>2481</v>
      </c>
      <c r="F190" s="1" t="s">
        <v>2482</v>
      </c>
      <c r="H190" s="2" t="s">
        <v>8</v>
      </c>
      <c r="I190" s="2" t="s">
        <v>7</v>
      </c>
      <c r="J190" s="2" t="s">
        <v>8</v>
      </c>
      <c r="K190" s="2" t="s">
        <v>8</v>
      </c>
      <c r="L190" s="2" t="s">
        <v>9</v>
      </c>
      <c r="M190" s="1" t="s">
        <v>2483</v>
      </c>
      <c r="N190" s="1" t="s">
        <v>2484</v>
      </c>
      <c r="O190" s="2" t="s">
        <v>589</v>
      </c>
      <c r="Q190" s="2" t="s">
        <v>12</v>
      </c>
      <c r="R190" s="2" t="s">
        <v>34</v>
      </c>
      <c r="S190" s="1" t="s">
        <v>2485</v>
      </c>
      <c r="T190" s="2" t="s">
        <v>14</v>
      </c>
      <c r="U190" s="3">
        <v>16</v>
      </c>
      <c r="V190" s="3">
        <v>16</v>
      </c>
      <c r="W190" s="4" t="s">
        <v>2486</v>
      </c>
      <c r="X190" s="4" t="s">
        <v>2486</v>
      </c>
      <c r="Y190" s="4" t="s">
        <v>2487</v>
      </c>
      <c r="Z190" s="4" t="s">
        <v>2487</v>
      </c>
      <c r="AA190" s="3">
        <v>91</v>
      </c>
      <c r="AB190" s="3">
        <v>43</v>
      </c>
      <c r="AC190" s="3">
        <v>45</v>
      </c>
      <c r="AD190" s="3">
        <v>1</v>
      </c>
      <c r="AE190" s="3">
        <v>1</v>
      </c>
      <c r="AF190" s="3">
        <v>1</v>
      </c>
      <c r="AG190" s="3">
        <v>1</v>
      </c>
      <c r="AH190" s="3">
        <v>0</v>
      </c>
      <c r="AI190" s="3">
        <v>0</v>
      </c>
      <c r="AJ190" s="3">
        <v>1</v>
      </c>
      <c r="AK190" s="3">
        <v>1</v>
      </c>
      <c r="AL190" s="3">
        <v>1</v>
      </c>
      <c r="AM190" s="3">
        <v>1</v>
      </c>
      <c r="AN190" s="3">
        <v>0</v>
      </c>
      <c r="AO190" s="3">
        <v>0</v>
      </c>
      <c r="AP190" s="3">
        <v>0</v>
      </c>
      <c r="AQ190" s="3">
        <v>0</v>
      </c>
      <c r="AR190" s="2" t="s">
        <v>8</v>
      </c>
      <c r="AS190" s="2" t="s">
        <v>6</v>
      </c>
      <c r="AT190" s="5" t="str">
        <f>HYPERLINK("http://catalog.hathitrust.org/Record/001956614","HathiTrust Record")</f>
        <v>HathiTrust Record</v>
      </c>
      <c r="AU190" s="5" t="str">
        <f>HYPERLINK("https://creighton-primo.hosted.exlibrisgroup.com/primo-explore/search?tab=default_tab&amp;search_scope=EVERYTHING&amp;vid=01CRU&amp;lang=en_US&amp;offset=0&amp;query=any,contains,991000760969702656","Catalog Record")</f>
        <v>Catalog Record</v>
      </c>
      <c r="AV190" s="5" t="str">
        <f>HYPERLINK("http://www.worldcat.org/oclc/19982677","WorldCat Record")</f>
        <v>WorldCat Record</v>
      </c>
      <c r="AW190" s="2" t="s">
        <v>2488</v>
      </c>
      <c r="AX190" s="2" t="s">
        <v>2489</v>
      </c>
      <c r="AY190" s="2" t="s">
        <v>2490</v>
      </c>
      <c r="AZ190" s="2" t="s">
        <v>2490</v>
      </c>
      <c r="BA190" s="2" t="s">
        <v>2491</v>
      </c>
      <c r="BB190" s="2" t="s">
        <v>21</v>
      </c>
      <c r="BD190" s="2" t="s">
        <v>2492</v>
      </c>
      <c r="BE190" s="2" t="s">
        <v>2493</v>
      </c>
      <c r="BF190" s="2" t="s">
        <v>2494</v>
      </c>
    </row>
    <row r="191" spans="1:58" ht="42.75" customHeight="1" x14ac:dyDescent="0.25">
      <c r="A191" s="8" t="s">
        <v>8</v>
      </c>
      <c r="B191" s="1" t="s">
        <v>0</v>
      </c>
      <c r="C191" s="1" t="s">
        <v>1</v>
      </c>
      <c r="D191" s="1" t="s">
        <v>2495</v>
      </c>
      <c r="E191" s="1" t="s">
        <v>2496</v>
      </c>
      <c r="F191" s="1" t="s">
        <v>2497</v>
      </c>
      <c r="H191" s="2" t="s">
        <v>8</v>
      </c>
      <c r="I191" s="2" t="s">
        <v>7</v>
      </c>
      <c r="J191" s="2" t="s">
        <v>8</v>
      </c>
      <c r="K191" s="2" t="s">
        <v>8</v>
      </c>
      <c r="L191" s="2" t="s">
        <v>9</v>
      </c>
      <c r="N191" s="1" t="s">
        <v>2498</v>
      </c>
      <c r="O191" s="2" t="s">
        <v>614</v>
      </c>
      <c r="Q191" s="2" t="s">
        <v>12</v>
      </c>
      <c r="R191" s="2" t="s">
        <v>1170</v>
      </c>
      <c r="S191" s="1" t="s">
        <v>2499</v>
      </c>
      <c r="T191" s="2" t="s">
        <v>14</v>
      </c>
      <c r="U191" s="3">
        <v>6</v>
      </c>
      <c r="V191" s="3">
        <v>6</v>
      </c>
      <c r="W191" s="4" t="s">
        <v>2500</v>
      </c>
      <c r="X191" s="4" t="s">
        <v>2500</v>
      </c>
      <c r="Y191" s="4" t="s">
        <v>2501</v>
      </c>
      <c r="Z191" s="4" t="s">
        <v>2501</v>
      </c>
      <c r="AA191" s="3">
        <v>225</v>
      </c>
      <c r="AB191" s="3">
        <v>157</v>
      </c>
      <c r="AC191" s="3">
        <v>165</v>
      </c>
      <c r="AD191" s="3">
        <v>2</v>
      </c>
      <c r="AE191" s="3">
        <v>2</v>
      </c>
      <c r="AF191" s="3">
        <v>11</v>
      </c>
      <c r="AG191" s="3">
        <v>11</v>
      </c>
      <c r="AH191" s="3">
        <v>4</v>
      </c>
      <c r="AI191" s="3">
        <v>4</v>
      </c>
      <c r="AJ191" s="3">
        <v>2</v>
      </c>
      <c r="AK191" s="3">
        <v>2</v>
      </c>
      <c r="AL191" s="3">
        <v>9</v>
      </c>
      <c r="AM191" s="3">
        <v>9</v>
      </c>
      <c r="AN191" s="3">
        <v>1</v>
      </c>
      <c r="AO191" s="3">
        <v>1</v>
      </c>
      <c r="AP191" s="3">
        <v>0</v>
      </c>
      <c r="AQ191" s="3">
        <v>0</v>
      </c>
      <c r="AR191" s="2" t="s">
        <v>8</v>
      </c>
      <c r="AS191" s="2" t="s">
        <v>6</v>
      </c>
      <c r="AT191" s="5" t="str">
        <f>HYPERLINK("http://catalog.hathitrust.org/Record/002575266","HathiTrust Record")</f>
        <v>HathiTrust Record</v>
      </c>
      <c r="AU191" s="5" t="str">
        <f>HYPERLINK("https://creighton-primo.hosted.exlibrisgroup.com/primo-explore/search?tab=default_tab&amp;search_scope=EVERYTHING&amp;vid=01CRU&amp;lang=en_US&amp;offset=0&amp;query=any,contains,991001343069702656","Catalog Record")</f>
        <v>Catalog Record</v>
      </c>
      <c r="AV191" s="5" t="str">
        <f>HYPERLINK("http://www.worldcat.org/oclc/26014764","WorldCat Record")</f>
        <v>WorldCat Record</v>
      </c>
      <c r="AW191" s="2" t="s">
        <v>2502</v>
      </c>
      <c r="AX191" s="2" t="s">
        <v>2503</v>
      </c>
      <c r="AY191" s="2" t="s">
        <v>2504</v>
      </c>
      <c r="AZ191" s="2" t="s">
        <v>2504</v>
      </c>
      <c r="BA191" s="2" t="s">
        <v>2505</v>
      </c>
      <c r="BB191" s="2" t="s">
        <v>21</v>
      </c>
      <c r="BD191" s="2" t="s">
        <v>2506</v>
      </c>
      <c r="BE191" s="2" t="s">
        <v>2507</v>
      </c>
      <c r="BF191" s="2" t="s">
        <v>2508</v>
      </c>
    </row>
    <row r="192" spans="1:58" ht="42.75" customHeight="1" x14ac:dyDescent="0.25">
      <c r="A192" s="8" t="s">
        <v>8</v>
      </c>
      <c r="B192" s="1" t="s">
        <v>0</v>
      </c>
      <c r="C192" s="1" t="s">
        <v>1</v>
      </c>
      <c r="D192" s="1" t="s">
        <v>2509</v>
      </c>
      <c r="E192" s="1" t="s">
        <v>2510</v>
      </c>
      <c r="F192" s="1" t="s">
        <v>2511</v>
      </c>
      <c r="H192" s="2" t="s">
        <v>8</v>
      </c>
      <c r="I192" s="2" t="s">
        <v>7</v>
      </c>
      <c r="J192" s="2" t="s">
        <v>8</v>
      </c>
      <c r="K192" s="2" t="s">
        <v>8</v>
      </c>
      <c r="L192" s="2" t="s">
        <v>9</v>
      </c>
      <c r="N192" s="1" t="s">
        <v>2512</v>
      </c>
      <c r="O192" s="2" t="s">
        <v>252</v>
      </c>
      <c r="Q192" s="2" t="s">
        <v>12</v>
      </c>
      <c r="R192" s="2" t="s">
        <v>1211</v>
      </c>
      <c r="T192" s="2" t="s">
        <v>14</v>
      </c>
      <c r="U192" s="3">
        <v>6</v>
      </c>
      <c r="V192" s="3">
        <v>6</v>
      </c>
      <c r="W192" s="4" t="s">
        <v>2513</v>
      </c>
      <c r="X192" s="4" t="s">
        <v>2513</v>
      </c>
      <c r="Y192" s="4" t="s">
        <v>2327</v>
      </c>
      <c r="Z192" s="4" t="s">
        <v>2327</v>
      </c>
      <c r="AA192" s="3">
        <v>94</v>
      </c>
      <c r="AB192" s="3">
        <v>67</v>
      </c>
      <c r="AC192" s="3">
        <v>67</v>
      </c>
      <c r="AD192" s="3">
        <v>1</v>
      </c>
      <c r="AE192" s="3">
        <v>1</v>
      </c>
      <c r="AF192" s="3">
        <v>0</v>
      </c>
      <c r="AG192" s="3">
        <v>0</v>
      </c>
      <c r="AH192" s="3">
        <v>0</v>
      </c>
      <c r="AI192" s="3">
        <v>0</v>
      </c>
      <c r="AJ192" s="3">
        <v>0</v>
      </c>
      <c r="AK192" s="3">
        <v>0</v>
      </c>
      <c r="AL192" s="3">
        <v>0</v>
      </c>
      <c r="AM192" s="3">
        <v>0</v>
      </c>
      <c r="AN192" s="3">
        <v>0</v>
      </c>
      <c r="AO192" s="3">
        <v>0</v>
      </c>
      <c r="AP192" s="3">
        <v>0</v>
      </c>
      <c r="AQ192" s="3">
        <v>0</v>
      </c>
      <c r="AR192" s="2" t="s">
        <v>8</v>
      </c>
      <c r="AS192" s="2" t="s">
        <v>8</v>
      </c>
      <c r="AU192" s="5" t="str">
        <f>HYPERLINK("https://creighton-primo.hosted.exlibrisgroup.com/primo-explore/search?tab=default_tab&amp;search_scope=EVERYTHING&amp;vid=01CRU&amp;lang=en_US&amp;offset=0&amp;query=any,contains,991001173769702656","Catalog Record")</f>
        <v>Catalog Record</v>
      </c>
      <c r="AV192" s="5" t="str">
        <f>HYPERLINK("http://www.worldcat.org/oclc/6734406","WorldCat Record")</f>
        <v>WorldCat Record</v>
      </c>
      <c r="AW192" s="2" t="s">
        <v>2514</v>
      </c>
      <c r="AX192" s="2" t="s">
        <v>2515</v>
      </c>
      <c r="AY192" s="2" t="s">
        <v>2516</v>
      </c>
      <c r="AZ192" s="2" t="s">
        <v>2516</v>
      </c>
      <c r="BA192" s="2" t="s">
        <v>2517</v>
      </c>
      <c r="BB192" s="2" t="s">
        <v>21</v>
      </c>
      <c r="BE192" s="2" t="s">
        <v>2518</v>
      </c>
      <c r="BF192" s="2" t="s">
        <v>2519</v>
      </c>
    </row>
    <row r="193" spans="1:58" ht="42.75" customHeight="1" x14ac:dyDescent="0.25">
      <c r="A193" s="8" t="s">
        <v>8</v>
      </c>
      <c r="B193" s="1" t="s">
        <v>0</v>
      </c>
      <c r="C193" s="1" t="s">
        <v>1</v>
      </c>
      <c r="D193" s="1" t="s">
        <v>2520</v>
      </c>
      <c r="E193" s="1" t="s">
        <v>2521</v>
      </c>
      <c r="F193" s="1" t="s">
        <v>2522</v>
      </c>
      <c r="H193" s="2" t="s">
        <v>8</v>
      </c>
      <c r="I193" s="2" t="s">
        <v>7</v>
      </c>
      <c r="J193" s="2" t="s">
        <v>8</v>
      </c>
      <c r="K193" s="2" t="s">
        <v>6</v>
      </c>
      <c r="L193" s="2" t="s">
        <v>9</v>
      </c>
      <c r="M193" s="1" t="s">
        <v>2523</v>
      </c>
      <c r="N193" s="1" t="s">
        <v>2524</v>
      </c>
      <c r="O193" s="2" t="s">
        <v>1017</v>
      </c>
      <c r="Q193" s="2" t="s">
        <v>12</v>
      </c>
      <c r="R193" s="2" t="s">
        <v>13</v>
      </c>
      <c r="T193" s="2" t="s">
        <v>14</v>
      </c>
      <c r="U193" s="3">
        <v>7</v>
      </c>
      <c r="V193" s="3">
        <v>7</v>
      </c>
      <c r="W193" s="4" t="s">
        <v>2525</v>
      </c>
      <c r="X193" s="4" t="s">
        <v>2525</v>
      </c>
      <c r="Y193" s="4" t="s">
        <v>2327</v>
      </c>
      <c r="Z193" s="4" t="s">
        <v>2327</v>
      </c>
      <c r="AA193" s="3">
        <v>255</v>
      </c>
      <c r="AB193" s="3">
        <v>224</v>
      </c>
      <c r="AC193" s="3">
        <v>746</v>
      </c>
      <c r="AD193" s="3">
        <v>1</v>
      </c>
      <c r="AE193" s="3">
        <v>8</v>
      </c>
      <c r="AF193" s="3">
        <v>7</v>
      </c>
      <c r="AG193" s="3">
        <v>31</v>
      </c>
      <c r="AH193" s="3">
        <v>1</v>
      </c>
      <c r="AI193" s="3">
        <v>9</v>
      </c>
      <c r="AJ193" s="3">
        <v>2</v>
      </c>
      <c r="AK193" s="3">
        <v>6</v>
      </c>
      <c r="AL193" s="3">
        <v>6</v>
      </c>
      <c r="AM193" s="3">
        <v>16</v>
      </c>
      <c r="AN193" s="3">
        <v>0</v>
      </c>
      <c r="AO193" s="3">
        <v>6</v>
      </c>
      <c r="AP193" s="3">
        <v>0</v>
      </c>
      <c r="AQ193" s="3">
        <v>1</v>
      </c>
      <c r="AR193" s="2" t="s">
        <v>8</v>
      </c>
      <c r="AS193" s="2" t="s">
        <v>8</v>
      </c>
      <c r="AT193" s="5" t="str">
        <f>HYPERLINK("http://catalog.hathitrust.org/Record/001558137","HathiTrust Record")</f>
        <v>HathiTrust Record</v>
      </c>
      <c r="AU193" s="5" t="str">
        <f>HYPERLINK("https://creighton-primo.hosted.exlibrisgroup.com/primo-explore/search?tab=default_tab&amp;search_scope=EVERYTHING&amp;vid=01CRU&amp;lang=en_US&amp;offset=0&amp;query=any,contains,991001173809702656","Catalog Record")</f>
        <v>Catalog Record</v>
      </c>
      <c r="AV193" s="5" t="str">
        <f>HYPERLINK("http://www.worldcat.org/oclc/630196","WorldCat Record")</f>
        <v>WorldCat Record</v>
      </c>
      <c r="AW193" s="2" t="s">
        <v>2526</v>
      </c>
      <c r="AX193" s="2" t="s">
        <v>2527</v>
      </c>
      <c r="AY193" s="2" t="s">
        <v>2528</v>
      </c>
      <c r="AZ193" s="2" t="s">
        <v>2528</v>
      </c>
      <c r="BA193" s="2" t="s">
        <v>2529</v>
      </c>
      <c r="BB193" s="2" t="s">
        <v>21</v>
      </c>
      <c r="BE193" s="2" t="s">
        <v>2530</v>
      </c>
      <c r="BF193" s="2" t="s">
        <v>2531</v>
      </c>
    </row>
    <row r="194" spans="1:58" ht="42.75" customHeight="1" x14ac:dyDescent="0.25">
      <c r="A194" s="8" t="s">
        <v>8</v>
      </c>
      <c r="B194" s="1" t="s">
        <v>0</v>
      </c>
      <c r="C194" s="1" t="s">
        <v>1</v>
      </c>
      <c r="D194" s="1" t="s">
        <v>2532</v>
      </c>
      <c r="E194" s="1" t="s">
        <v>2533</v>
      </c>
      <c r="F194" s="1" t="s">
        <v>2534</v>
      </c>
      <c r="G194" s="2" t="s">
        <v>2535</v>
      </c>
      <c r="H194" s="2" t="s">
        <v>8</v>
      </c>
      <c r="I194" s="2" t="s">
        <v>7</v>
      </c>
      <c r="J194" s="2" t="s">
        <v>8</v>
      </c>
      <c r="K194" s="2" t="s">
        <v>8</v>
      </c>
      <c r="L194" s="2" t="s">
        <v>9</v>
      </c>
      <c r="N194" s="1" t="s">
        <v>2536</v>
      </c>
      <c r="O194" s="2" t="s">
        <v>657</v>
      </c>
      <c r="Q194" s="2" t="s">
        <v>12</v>
      </c>
      <c r="R194" s="2" t="s">
        <v>145</v>
      </c>
      <c r="S194" s="1" t="s">
        <v>2537</v>
      </c>
      <c r="T194" s="2" t="s">
        <v>14</v>
      </c>
      <c r="U194" s="3">
        <v>0</v>
      </c>
      <c r="V194" s="3">
        <v>0</v>
      </c>
      <c r="W194" s="4" t="s">
        <v>2538</v>
      </c>
      <c r="X194" s="4" t="s">
        <v>2538</v>
      </c>
      <c r="Y194" s="4" t="s">
        <v>2539</v>
      </c>
      <c r="Z194" s="4" t="s">
        <v>2539</v>
      </c>
      <c r="AA194" s="3">
        <v>39</v>
      </c>
      <c r="AB194" s="3">
        <v>25</v>
      </c>
      <c r="AC194" s="3">
        <v>30</v>
      </c>
      <c r="AD194" s="3">
        <v>1</v>
      </c>
      <c r="AE194" s="3">
        <v>1</v>
      </c>
      <c r="AF194" s="3">
        <v>1</v>
      </c>
      <c r="AG194" s="3">
        <v>1</v>
      </c>
      <c r="AH194" s="3">
        <v>1</v>
      </c>
      <c r="AI194" s="3">
        <v>1</v>
      </c>
      <c r="AJ194" s="3">
        <v>0</v>
      </c>
      <c r="AK194" s="3">
        <v>0</v>
      </c>
      <c r="AL194" s="3">
        <v>1</v>
      </c>
      <c r="AM194" s="3">
        <v>1</v>
      </c>
      <c r="AN194" s="3">
        <v>0</v>
      </c>
      <c r="AO194" s="3">
        <v>0</v>
      </c>
      <c r="AP194" s="3">
        <v>0</v>
      </c>
      <c r="AQ194" s="3">
        <v>0</v>
      </c>
      <c r="AR194" s="2" t="s">
        <v>8</v>
      </c>
      <c r="AS194" s="2" t="s">
        <v>8</v>
      </c>
      <c r="AU194" s="5" t="str">
        <f>HYPERLINK("https://creighton-primo.hosted.exlibrisgroup.com/primo-explore/search?tab=default_tab&amp;search_scope=EVERYTHING&amp;vid=01CRU&amp;lang=en_US&amp;offset=0&amp;query=any,contains,991000477969702656","Catalog Record")</f>
        <v>Catalog Record</v>
      </c>
      <c r="AV194" s="5" t="str">
        <f>HYPERLINK("http://www.worldcat.org/oclc/49775223","WorldCat Record")</f>
        <v>WorldCat Record</v>
      </c>
      <c r="AW194" s="2" t="s">
        <v>2540</v>
      </c>
      <c r="AX194" s="2" t="s">
        <v>2541</v>
      </c>
      <c r="AY194" s="2" t="s">
        <v>2542</v>
      </c>
      <c r="AZ194" s="2" t="s">
        <v>2542</v>
      </c>
      <c r="BA194" s="2" t="s">
        <v>2543</v>
      </c>
      <c r="BB194" s="2" t="s">
        <v>21</v>
      </c>
      <c r="BD194" s="2" t="s">
        <v>2544</v>
      </c>
      <c r="BE194" s="2" t="s">
        <v>2545</v>
      </c>
      <c r="BF194" s="2" t="s">
        <v>2546</v>
      </c>
    </row>
    <row r="195" spans="1:58" ht="42.75" customHeight="1" x14ac:dyDescent="0.25">
      <c r="A195" s="8" t="s">
        <v>8</v>
      </c>
      <c r="B195" s="1" t="s">
        <v>0</v>
      </c>
      <c r="C195" s="1" t="s">
        <v>1</v>
      </c>
      <c r="D195" s="1" t="s">
        <v>2547</v>
      </c>
      <c r="E195" s="1" t="s">
        <v>2548</v>
      </c>
      <c r="F195" s="1" t="s">
        <v>2549</v>
      </c>
      <c r="H195" s="2" t="s">
        <v>8</v>
      </c>
      <c r="I195" s="2" t="s">
        <v>7</v>
      </c>
      <c r="J195" s="2" t="s">
        <v>8</v>
      </c>
      <c r="K195" s="2" t="s">
        <v>8</v>
      </c>
      <c r="L195" s="2" t="s">
        <v>9</v>
      </c>
      <c r="N195" s="1" t="s">
        <v>2550</v>
      </c>
      <c r="O195" s="2" t="s">
        <v>194</v>
      </c>
      <c r="Q195" s="2" t="s">
        <v>12</v>
      </c>
      <c r="R195" s="2" t="s">
        <v>1340</v>
      </c>
      <c r="T195" s="2" t="s">
        <v>14</v>
      </c>
      <c r="U195" s="3">
        <v>10</v>
      </c>
      <c r="V195" s="3">
        <v>10</v>
      </c>
      <c r="W195" s="4" t="s">
        <v>2551</v>
      </c>
      <c r="X195" s="4" t="s">
        <v>2551</v>
      </c>
      <c r="Y195" s="4" t="s">
        <v>1254</v>
      </c>
      <c r="Z195" s="4" t="s">
        <v>1254</v>
      </c>
      <c r="AA195" s="3">
        <v>183</v>
      </c>
      <c r="AB195" s="3">
        <v>149</v>
      </c>
      <c r="AC195" s="3">
        <v>198</v>
      </c>
      <c r="AD195" s="3">
        <v>1</v>
      </c>
      <c r="AE195" s="3">
        <v>2</v>
      </c>
      <c r="AF195" s="3">
        <v>2</v>
      </c>
      <c r="AG195" s="3">
        <v>4</v>
      </c>
      <c r="AH195" s="3">
        <v>0</v>
      </c>
      <c r="AI195" s="3">
        <v>0</v>
      </c>
      <c r="AJ195" s="3">
        <v>0</v>
      </c>
      <c r="AK195" s="3">
        <v>0</v>
      </c>
      <c r="AL195" s="3">
        <v>2</v>
      </c>
      <c r="AM195" s="3">
        <v>3</v>
      </c>
      <c r="AN195" s="3">
        <v>0</v>
      </c>
      <c r="AO195" s="3">
        <v>1</v>
      </c>
      <c r="AP195" s="3">
        <v>0</v>
      </c>
      <c r="AQ195" s="3">
        <v>0</v>
      </c>
      <c r="AR195" s="2" t="s">
        <v>8</v>
      </c>
      <c r="AS195" s="2" t="s">
        <v>6</v>
      </c>
      <c r="AT195" s="5" t="str">
        <f>HYPERLINK("http://catalog.hathitrust.org/Record/001558138","HathiTrust Record")</f>
        <v>HathiTrust Record</v>
      </c>
      <c r="AU195" s="5" t="str">
        <f>HYPERLINK("https://creighton-primo.hosted.exlibrisgroup.com/primo-explore/search?tab=default_tab&amp;search_scope=EVERYTHING&amp;vid=01CRU&amp;lang=en_US&amp;offset=0&amp;query=any,contains,991001174689702656","Catalog Record")</f>
        <v>Catalog Record</v>
      </c>
      <c r="AV195" s="5" t="str">
        <f>HYPERLINK("http://www.worldcat.org/oclc/14487530","WorldCat Record")</f>
        <v>WorldCat Record</v>
      </c>
      <c r="AW195" s="2" t="s">
        <v>2552</v>
      </c>
      <c r="AX195" s="2" t="s">
        <v>2553</v>
      </c>
      <c r="AY195" s="2" t="s">
        <v>2554</v>
      </c>
      <c r="AZ195" s="2" t="s">
        <v>2554</v>
      </c>
      <c r="BA195" s="2" t="s">
        <v>2555</v>
      </c>
      <c r="BB195" s="2" t="s">
        <v>21</v>
      </c>
      <c r="BE195" s="2" t="s">
        <v>2556</v>
      </c>
      <c r="BF195" s="2" t="s">
        <v>2557</v>
      </c>
    </row>
    <row r="196" spans="1:58" ht="42.75" customHeight="1" x14ac:dyDescent="0.25">
      <c r="A196" s="8" t="s">
        <v>8</v>
      </c>
      <c r="B196" s="1" t="s">
        <v>0</v>
      </c>
      <c r="C196" s="1" t="s">
        <v>1</v>
      </c>
      <c r="D196" s="1" t="s">
        <v>2558</v>
      </c>
      <c r="E196" s="1" t="s">
        <v>2559</v>
      </c>
      <c r="F196" s="1" t="s">
        <v>2560</v>
      </c>
      <c r="H196" s="2" t="s">
        <v>8</v>
      </c>
      <c r="I196" s="2" t="s">
        <v>7</v>
      </c>
      <c r="J196" s="2" t="s">
        <v>8</v>
      </c>
      <c r="K196" s="2" t="s">
        <v>8</v>
      </c>
      <c r="L196" s="2" t="s">
        <v>9</v>
      </c>
      <c r="N196" s="1" t="s">
        <v>2561</v>
      </c>
      <c r="O196" s="2" t="s">
        <v>266</v>
      </c>
      <c r="Q196" s="2" t="s">
        <v>12</v>
      </c>
      <c r="R196" s="2" t="s">
        <v>34</v>
      </c>
      <c r="S196" s="1" t="s">
        <v>2562</v>
      </c>
      <c r="T196" s="2" t="s">
        <v>14</v>
      </c>
      <c r="U196" s="3">
        <v>2</v>
      </c>
      <c r="V196" s="3">
        <v>2</v>
      </c>
      <c r="W196" s="4" t="s">
        <v>2563</v>
      </c>
      <c r="X196" s="4" t="s">
        <v>2563</v>
      </c>
      <c r="Y196" s="4" t="s">
        <v>1766</v>
      </c>
      <c r="Z196" s="4" t="s">
        <v>1766</v>
      </c>
      <c r="AA196" s="3">
        <v>233</v>
      </c>
      <c r="AB196" s="3">
        <v>158</v>
      </c>
      <c r="AC196" s="3">
        <v>158</v>
      </c>
      <c r="AD196" s="3">
        <v>2</v>
      </c>
      <c r="AE196" s="3">
        <v>2</v>
      </c>
      <c r="AF196" s="3">
        <v>7</v>
      </c>
      <c r="AG196" s="3">
        <v>7</v>
      </c>
      <c r="AH196" s="3">
        <v>0</v>
      </c>
      <c r="AI196" s="3">
        <v>0</v>
      </c>
      <c r="AJ196" s="3">
        <v>2</v>
      </c>
      <c r="AK196" s="3">
        <v>2</v>
      </c>
      <c r="AL196" s="3">
        <v>4</v>
      </c>
      <c r="AM196" s="3">
        <v>4</v>
      </c>
      <c r="AN196" s="3">
        <v>1</v>
      </c>
      <c r="AO196" s="3">
        <v>1</v>
      </c>
      <c r="AP196" s="3">
        <v>0</v>
      </c>
      <c r="AQ196" s="3">
        <v>0</v>
      </c>
      <c r="AR196" s="2" t="s">
        <v>8</v>
      </c>
      <c r="AS196" s="2" t="s">
        <v>8</v>
      </c>
      <c r="AU196" s="5" t="str">
        <f>HYPERLINK("https://creighton-primo.hosted.exlibrisgroup.com/primo-explore/search?tab=default_tab&amp;search_scope=EVERYTHING&amp;vid=01CRU&amp;lang=en_US&amp;offset=0&amp;query=any,contains,991000753549702656","Catalog Record")</f>
        <v>Catalog Record</v>
      </c>
      <c r="AV196" s="5" t="str">
        <f>HYPERLINK("http://www.worldcat.org/oclc/9281766","WorldCat Record")</f>
        <v>WorldCat Record</v>
      </c>
      <c r="AW196" s="2" t="s">
        <v>2564</v>
      </c>
      <c r="AX196" s="2" t="s">
        <v>2565</v>
      </c>
      <c r="AY196" s="2" t="s">
        <v>2566</v>
      </c>
      <c r="AZ196" s="2" t="s">
        <v>2566</v>
      </c>
      <c r="BA196" s="2" t="s">
        <v>2567</v>
      </c>
      <c r="BB196" s="2" t="s">
        <v>21</v>
      </c>
      <c r="BD196" s="2" t="s">
        <v>2568</v>
      </c>
      <c r="BE196" s="2" t="s">
        <v>2569</v>
      </c>
      <c r="BF196" s="2" t="s">
        <v>2570</v>
      </c>
    </row>
    <row r="197" spans="1:58" ht="42.75" customHeight="1" x14ac:dyDescent="0.25">
      <c r="A197" s="8" t="s">
        <v>8</v>
      </c>
      <c r="B197" s="1" t="s">
        <v>0</v>
      </c>
      <c r="C197" s="1" t="s">
        <v>1</v>
      </c>
      <c r="D197" s="1" t="s">
        <v>2571</v>
      </c>
      <c r="E197" s="1" t="s">
        <v>2572</v>
      </c>
      <c r="F197" s="1" t="s">
        <v>2573</v>
      </c>
      <c r="H197" s="2" t="s">
        <v>8</v>
      </c>
      <c r="I197" s="2" t="s">
        <v>7</v>
      </c>
      <c r="J197" s="2" t="s">
        <v>8</v>
      </c>
      <c r="K197" s="2" t="s">
        <v>8</v>
      </c>
      <c r="L197" s="2" t="s">
        <v>9</v>
      </c>
      <c r="N197" s="1" t="s">
        <v>2574</v>
      </c>
      <c r="O197" s="2" t="s">
        <v>224</v>
      </c>
      <c r="Q197" s="2" t="s">
        <v>12</v>
      </c>
      <c r="R197" s="2" t="s">
        <v>1340</v>
      </c>
      <c r="S197" s="1" t="s">
        <v>2575</v>
      </c>
      <c r="T197" s="2" t="s">
        <v>14</v>
      </c>
      <c r="U197" s="3">
        <v>2</v>
      </c>
      <c r="V197" s="3">
        <v>2</v>
      </c>
      <c r="W197" s="4" t="s">
        <v>2576</v>
      </c>
      <c r="X197" s="4" t="s">
        <v>2576</v>
      </c>
      <c r="Y197" s="4" t="s">
        <v>2577</v>
      </c>
      <c r="Z197" s="4" t="s">
        <v>2577</v>
      </c>
      <c r="AA197" s="3">
        <v>15</v>
      </c>
      <c r="AB197" s="3">
        <v>14</v>
      </c>
      <c r="AC197" s="3">
        <v>16</v>
      </c>
      <c r="AD197" s="3">
        <v>1</v>
      </c>
      <c r="AE197" s="3">
        <v>1</v>
      </c>
      <c r="AF197" s="3">
        <v>0</v>
      </c>
      <c r="AG197" s="3">
        <v>0</v>
      </c>
      <c r="AH197" s="3">
        <v>0</v>
      </c>
      <c r="AI197" s="3">
        <v>0</v>
      </c>
      <c r="AJ197" s="3">
        <v>0</v>
      </c>
      <c r="AK197" s="3">
        <v>0</v>
      </c>
      <c r="AL197" s="3">
        <v>0</v>
      </c>
      <c r="AM197" s="3">
        <v>0</v>
      </c>
      <c r="AN197" s="3">
        <v>0</v>
      </c>
      <c r="AO197" s="3">
        <v>0</v>
      </c>
      <c r="AP197" s="3">
        <v>0</v>
      </c>
      <c r="AQ197" s="3">
        <v>0</v>
      </c>
      <c r="AR197" s="2" t="s">
        <v>8</v>
      </c>
      <c r="AS197" s="2" t="s">
        <v>6</v>
      </c>
      <c r="AT197" s="5" t="str">
        <f>HYPERLINK("http://catalog.hathitrust.org/Record/010366809","HathiTrust Record")</f>
        <v>HathiTrust Record</v>
      </c>
      <c r="AU197" s="5" t="str">
        <f>HYPERLINK("https://creighton-primo.hosted.exlibrisgroup.com/primo-explore/search?tab=default_tab&amp;search_scope=EVERYTHING&amp;vid=01CRU&amp;lang=en_US&amp;offset=0&amp;query=any,contains,991001285979702656","Catalog Record")</f>
        <v>Catalog Record</v>
      </c>
      <c r="AV197" s="5" t="str">
        <f>HYPERLINK("http://www.worldcat.org/oclc/7642187","WorldCat Record")</f>
        <v>WorldCat Record</v>
      </c>
      <c r="AW197" s="2" t="s">
        <v>2578</v>
      </c>
      <c r="AX197" s="2" t="s">
        <v>2579</v>
      </c>
      <c r="AY197" s="2" t="s">
        <v>2580</v>
      </c>
      <c r="AZ197" s="2" t="s">
        <v>2580</v>
      </c>
      <c r="BA197" s="2" t="s">
        <v>2581</v>
      </c>
      <c r="BB197" s="2" t="s">
        <v>21</v>
      </c>
      <c r="BE197" s="2" t="s">
        <v>2582</v>
      </c>
      <c r="BF197" s="2" t="s">
        <v>2583</v>
      </c>
    </row>
    <row r="198" spans="1:58" ht="42.75" customHeight="1" x14ac:dyDescent="0.25">
      <c r="A198" s="8" t="s">
        <v>8</v>
      </c>
      <c r="B198" s="1" t="s">
        <v>0</v>
      </c>
      <c r="C198" s="1" t="s">
        <v>1</v>
      </c>
      <c r="D198" s="1" t="s">
        <v>2584</v>
      </c>
      <c r="E198" s="1" t="s">
        <v>2585</v>
      </c>
      <c r="F198" s="1" t="s">
        <v>2586</v>
      </c>
      <c r="H198" s="2" t="s">
        <v>8</v>
      </c>
      <c r="I198" s="2" t="s">
        <v>7</v>
      </c>
      <c r="J198" s="2" t="s">
        <v>6</v>
      </c>
      <c r="K198" s="2" t="s">
        <v>8</v>
      </c>
      <c r="L198" s="2" t="s">
        <v>9</v>
      </c>
      <c r="M198" s="1" t="s">
        <v>2587</v>
      </c>
      <c r="N198" s="1" t="s">
        <v>2588</v>
      </c>
      <c r="O198" s="2" t="s">
        <v>1327</v>
      </c>
      <c r="Q198" s="2" t="s">
        <v>12</v>
      </c>
      <c r="R198" s="2" t="s">
        <v>34</v>
      </c>
      <c r="S198" s="1" t="s">
        <v>2589</v>
      </c>
      <c r="T198" s="2" t="s">
        <v>14</v>
      </c>
      <c r="U198" s="3">
        <v>19</v>
      </c>
      <c r="V198" s="3">
        <v>19</v>
      </c>
      <c r="W198" s="4" t="s">
        <v>2590</v>
      </c>
      <c r="X198" s="4" t="s">
        <v>2590</v>
      </c>
      <c r="Y198" s="4" t="s">
        <v>2591</v>
      </c>
      <c r="Z198" s="4" t="s">
        <v>2591</v>
      </c>
      <c r="AA198" s="3">
        <v>516</v>
      </c>
      <c r="AB198" s="3">
        <v>376</v>
      </c>
      <c r="AC198" s="3">
        <v>482</v>
      </c>
      <c r="AD198" s="3">
        <v>3</v>
      </c>
      <c r="AE198" s="3">
        <v>3</v>
      </c>
      <c r="AF198" s="3">
        <v>16</v>
      </c>
      <c r="AG198" s="3">
        <v>18</v>
      </c>
      <c r="AH198" s="3">
        <v>4</v>
      </c>
      <c r="AI198" s="3">
        <v>4</v>
      </c>
      <c r="AJ198" s="3">
        <v>5</v>
      </c>
      <c r="AK198" s="3">
        <v>5</v>
      </c>
      <c r="AL198" s="3">
        <v>11</v>
      </c>
      <c r="AM198" s="3">
        <v>13</v>
      </c>
      <c r="AN198" s="3">
        <v>1</v>
      </c>
      <c r="AO198" s="3">
        <v>1</v>
      </c>
      <c r="AP198" s="3">
        <v>0</v>
      </c>
      <c r="AQ198" s="3">
        <v>0</v>
      </c>
      <c r="AR198" s="2" t="s">
        <v>8</v>
      </c>
      <c r="AS198" s="2" t="s">
        <v>6</v>
      </c>
      <c r="AT198" s="5" t="str">
        <f>HYPERLINK("http://catalog.hathitrust.org/Record/000445203","HathiTrust Record")</f>
        <v>HathiTrust Record</v>
      </c>
      <c r="AU198" s="5" t="str">
        <f>HYPERLINK("https://creighton-primo.hosted.exlibrisgroup.com/primo-explore/search?tab=default_tab&amp;search_scope=EVERYTHING&amp;vid=01CRU&amp;lang=en_US&amp;offset=0&amp;query=any,contains,991001174029702656","Catalog Record")</f>
        <v>Catalog Record</v>
      </c>
      <c r="AV198" s="5" t="str">
        <f>HYPERLINK("http://www.worldcat.org/oclc/12369849","WorldCat Record")</f>
        <v>WorldCat Record</v>
      </c>
      <c r="AW198" s="2" t="s">
        <v>2592</v>
      </c>
      <c r="AX198" s="2" t="s">
        <v>2593</v>
      </c>
      <c r="AY198" s="2" t="s">
        <v>2594</v>
      </c>
      <c r="AZ198" s="2" t="s">
        <v>2594</v>
      </c>
      <c r="BA198" s="2" t="s">
        <v>2595</v>
      </c>
      <c r="BB198" s="2" t="s">
        <v>21</v>
      </c>
      <c r="BD198" s="2" t="s">
        <v>2596</v>
      </c>
      <c r="BE198" s="2" t="s">
        <v>2597</v>
      </c>
      <c r="BF198" s="2" t="s">
        <v>2598</v>
      </c>
    </row>
    <row r="199" spans="1:58" ht="42.75" customHeight="1" x14ac:dyDescent="0.25">
      <c r="A199" s="8" t="s">
        <v>8</v>
      </c>
      <c r="B199" s="1" t="s">
        <v>0</v>
      </c>
      <c r="C199" s="1" t="s">
        <v>1</v>
      </c>
      <c r="D199" s="1" t="s">
        <v>2599</v>
      </c>
      <c r="E199" s="1" t="s">
        <v>2600</v>
      </c>
      <c r="F199" s="1" t="s">
        <v>2601</v>
      </c>
      <c r="H199" s="2" t="s">
        <v>8</v>
      </c>
      <c r="I199" s="2" t="s">
        <v>7</v>
      </c>
      <c r="J199" s="2" t="s">
        <v>8</v>
      </c>
      <c r="K199" s="2" t="s">
        <v>6</v>
      </c>
      <c r="L199" s="2" t="s">
        <v>9</v>
      </c>
      <c r="M199" s="1" t="s">
        <v>2602</v>
      </c>
      <c r="N199" s="1" t="s">
        <v>2603</v>
      </c>
      <c r="O199" s="2" t="s">
        <v>410</v>
      </c>
      <c r="P199" s="1" t="s">
        <v>732</v>
      </c>
      <c r="Q199" s="2" t="s">
        <v>12</v>
      </c>
      <c r="R199" s="2" t="s">
        <v>13</v>
      </c>
      <c r="T199" s="2" t="s">
        <v>14</v>
      </c>
      <c r="U199" s="3">
        <v>24</v>
      </c>
      <c r="V199" s="3">
        <v>24</v>
      </c>
      <c r="W199" s="4" t="s">
        <v>2604</v>
      </c>
      <c r="X199" s="4" t="s">
        <v>2604</v>
      </c>
      <c r="Y199" s="4" t="s">
        <v>2605</v>
      </c>
      <c r="Z199" s="4" t="s">
        <v>2605</v>
      </c>
      <c r="AA199" s="3">
        <v>264</v>
      </c>
      <c r="AB199" s="3">
        <v>194</v>
      </c>
      <c r="AC199" s="3">
        <v>479</v>
      </c>
      <c r="AD199" s="3">
        <v>1</v>
      </c>
      <c r="AE199" s="3">
        <v>1</v>
      </c>
      <c r="AF199" s="3">
        <v>3</v>
      </c>
      <c r="AG199" s="3">
        <v>16</v>
      </c>
      <c r="AH199" s="3">
        <v>0</v>
      </c>
      <c r="AI199" s="3">
        <v>6</v>
      </c>
      <c r="AJ199" s="3">
        <v>1</v>
      </c>
      <c r="AK199" s="3">
        <v>4</v>
      </c>
      <c r="AL199" s="3">
        <v>3</v>
      </c>
      <c r="AM199" s="3">
        <v>9</v>
      </c>
      <c r="AN199" s="3">
        <v>0</v>
      </c>
      <c r="AO199" s="3">
        <v>0</v>
      </c>
      <c r="AP199" s="3">
        <v>0</v>
      </c>
      <c r="AQ199" s="3">
        <v>0</v>
      </c>
      <c r="AR199" s="2" t="s">
        <v>8</v>
      </c>
      <c r="AS199" s="2" t="s">
        <v>6</v>
      </c>
      <c r="AT199" s="5" t="str">
        <f>HYPERLINK("http://catalog.hathitrust.org/Record/002884237","HathiTrust Record")</f>
        <v>HathiTrust Record</v>
      </c>
      <c r="AU199" s="5" t="str">
        <f>HYPERLINK("https://creighton-primo.hosted.exlibrisgroup.com/primo-explore/search?tab=default_tab&amp;search_scope=EVERYTHING&amp;vid=01CRU&amp;lang=en_US&amp;offset=0&amp;query=any,contains,991001514059702656","Catalog Record")</f>
        <v>Catalog Record</v>
      </c>
      <c r="AV199" s="5" t="str">
        <f>HYPERLINK("http://www.worldcat.org/oclc/26502331","WorldCat Record")</f>
        <v>WorldCat Record</v>
      </c>
      <c r="AW199" s="2" t="s">
        <v>2606</v>
      </c>
      <c r="AX199" s="2" t="s">
        <v>2607</v>
      </c>
      <c r="AY199" s="2" t="s">
        <v>2608</v>
      </c>
      <c r="AZ199" s="2" t="s">
        <v>2608</v>
      </c>
      <c r="BA199" s="2" t="s">
        <v>2609</v>
      </c>
      <c r="BB199" s="2" t="s">
        <v>21</v>
      </c>
      <c r="BD199" s="2" t="s">
        <v>2610</v>
      </c>
      <c r="BE199" s="2" t="s">
        <v>2611</v>
      </c>
      <c r="BF199" s="2" t="s">
        <v>2612</v>
      </c>
    </row>
    <row r="200" spans="1:58" ht="42.75" customHeight="1" x14ac:dyDescent="0.25">
      <c r="A200" s="8" t="s">
        <v>8</v>
      </c>
      <c r="B200" s="1" t="s">
        <v>0</v>
      </c>
      <c r="C200" s="1" t="s">
        <v>1</v>
      </c>
      <c r="D200" s="1" t="s">
        <v>2613</v>
      </c>
      <c r="E200" s="1" t="s">
        <v>2614</v>
      </c>
      <c r="F200" s="1" t="s">
        <v>2615</v>
      </c>
      <c r="H200" s="2" t="s">
        <v>8</v>
      </c>
      <c r="I200" s="2" t="s">
        <v>7</v>
      </c>
      <c r="J200" s="2" t="s">
        <v>8</v>
      </c>
      <c r="K200" s="2" t="s">
        <v>8</v>
      </c>
      <c r="L200" s="2" t="s">
        <v>9</v>
      </c>
      <c r="M200" s="1" t="s">
        <v>2616</v>
      </c>
      <c r="N200" s="1" t="s">
        <v>2617</v>
      </c>
      <c r="O200" s="2" t="s">
        <v>2618</v>
      </c>
      <c r="Q200" s="2" t="s">
        <v>12</v>
      </c>
      <c r="R200" s="2" t="s">
        <v>2619</v>
      </c>
      <c r="T200" s="2" t="s">
        <v>14</v>
      </c>
      <c r="U200" s="3">
        <v>1</v>
      </c>
      <c r="V200" s="3">
        <v>1</v>
      </c>
      <c r="W200" s="4" t="s">
        <v>2620</v>
      </c>
      <c r="X200" s="4" t="s">
        <v>2620</v>
      </c>
      <c r="Y200" s="4" t="s">
        <v>2327</v>
      </c>
      <c r="Z200" s="4" t="s">
        <v>2327</v>
      </c>
      <c r="AA200" s="3">
        <v>94</v>
      </c>
      <c r="AB200" s="3">
        <v>70</v>
      </c>
      <c r="AC200" s="3">
        <v>74</v>
      </c>
      <c r="AD200" s="3">
        <v>1</v>
      </c>
      <c r="AE200" s="3">
        <v>1</v>
      </c>
      <c r="AF200" s="3">
        <v>0</v>
      </c>
      <c r="AG200" s="3">
        <v>0</v>
      </c>
      <c r="AH200" s="3">
        <v>0</v>
      </c>
      <c r="AI200" s="3">
        <v>0</v>
      </c>
      <c r="AJ200" s="3">
        <v>0</v>
      </c>
      <c r="AK200" s="3">
        <v>0</v>
      </c>
      <c r="AL200" s="3">
        <v>0</v>
      </c>
      <c r="AM200" s="3">
        <v>0</v>
      </c>
      <c r="AN200" s="3">
        <v>0</v>
      </c>
      <c r="AO200" s="3">
        <v>0</v>
      </c>
      <c r="AP200" s="3">
        <v>0</v>
      </c>
      <c r="AQ200" s="3">
        <v>0</v>
      </c>
      <c r="AR200" s="2" t="s">
        <v>8</v>
      </c>
      <c r="AS200" s="2" t="s">
        <v>6</v>
      </c>
      <c r="AT200" s="5" t="str">
        <f>HYPERLINK("http://catalog.hathitrust.org/Record/006703238","HathiTrust Record")</f>
        <v>HathiTrust Record</v>
      </c>
      <c r="AU200" s="5" t="str">
        <f>HYPERLINK("https://creighton-primo.hosted.exlibrisgroup.com/primo-explore/search?tab=default_tab&amp;search_scope=EVERYTHING&amp;vid=01CRU&amp;lang=en_US&amp;offset=0&amp;query=any,contains,991001174149702656","Catalog Record")</f>
        <v>Catalog Record</v>
      </c>
      <c r="AV200" s="5" t="str">
        <f>HYPERLINK("http://www.worldcat.org/oclc/14731443","WorldCat Record")</f>
        <v>WorldCat Record</v>
      </c>
      <c r="AW200" s="2" t="s">
        <v>2621</v>
      </c>
      <c r="AX200" s="2" t="s">
        <v>2622</v>
      </c>
      <c r="AY200" s="2" t="s">
        <v>2623</v>
      </c>
      <c r="AZ200" s="2" t="s">
        <v>2623</v>
      </c>
      <c r="BA200" s="2" t="s">
        <v>2624</v>
      </c>
      <c r="BB200" s="2" t="s">
        <v>21</v>
      </c>
      <c r="BE200" s="2" t="s">
        <v>2625</v>
      </c>
      <c r="BF200" s="2" t="s">
        <v>2626</v>
      </c>
    </row>
    <row r="201" spans="1:58" ht="42.75" customHeight="1" x14ac:dyDescent="0.25">
      <c r="A201" s="8" t="s">
        <v>8</v>
      </c>
      <c r="B201" s="1" t="s">
        <v>0</v>
      </c>
      <c r="C201" s="1" t="s">
        <v>1</v>
      </c>
      <c r="D201" s="1" t="s">
        <v>2627</v>
      </c>
      <c r="E201" s="1" t="s">
        <v>2628</v>
      </c>
      <c r="F201" s="1" t="s">
        <v>2629</v>
      </c>
      <c r="H201" s="2" t="s">
        <v>8</v>
      </c>
      <c r="I201" s="2" t="s">
        <v>7</v>
      </c>
      <c r="J201" s="2" t="s">
        <v>8</v>
      </c>
      <c r="K201" s="2" t="s">
        <v>8</v>
      </c>
      <c r="L201" s="2" t="s">
        <v>9</v>
      </c>
      <c r="N201" s="1" t="s">
        <v>2630</v>
      </c>
      <c r="O201" s="2" t="s">
        <v>11</v>
      </c>
      <c r="Q201" s="2" t="s">
        <v>12</v>
      </c>
      <c r="R201" s="2" t="s">
        <v>13</v>
      </c>
      <c r="T201" s="2" t="s">
        <v>14</v>
      </c>
      <c r="U201" s="3">
        <v>3</v>
      </c>
      <c r="V201" s="3">
        <v>3</v>
      </c>
      <c r="W201" s="4" t="s">
        <v>2631</v>
      </c>
      <c r="X201" s="4" t="s">
        <v>2631</v>
      </c>
      <c r="Y201" s="4" t="s">
        <v>2327</v>
      </c>
      <c r="Z201" s="4" t="s">
        <v>2327</v>
      </c>
      <c r="AA201" s="3">
        <v>321</v>
      </c>
      <c r="AB201" s="3">
        <v>267</v>
      </c>
      <c r="AC201" s="3">
        <v>270</v>
      </c>
      <c r="AD201" s="3">
        <v>3</v>
      </c>
      <c r="AE201" s="3">
        <v>3</v>
      </c>
      <c r="AF201" s="3">
        <v>11</v>
      </c>
      <c r="AG201" s="3">
        <v>11</v>
      </c>
      <c r="AH201" s="3">
        <v>2</v>
      </c>
      <c r="AI201" s="3">
        <v>2</v>
      </c>
      <c r="AJ201" s="3">
        <v>3</v>
      </c>
      <c r="AK201" s="3">
        <v>3</v>
      </c>
      <c r="AL201" s="3">
        <v>6</v>
      </c>
      <c r="AM201" s="3">
        <v>6</v>
      </c>
      <c r="AN201" s="3">
        <v>2</v>
      </c>
      <c r="AO201" s="3">
        <v>2</v>
      </c>
      <c r="AP201" s="3">
        <v>0</v>
      </c>
      <c r="AQ201" s="3">
        <v>0</v>
      </c>
      <c r="AR201" s="2" t="s">
        <v>8</v>
      </c>
      <c r="AS201" s="2" t="s">
        <v>6</v>
      </c>
      <c r="AT201" s="5" t="str">
        <f>HYPERLINK("http://catalog.hathitrust.org/Record/000039165","HathiTrust Record")</f>
        <v>HathiTrust Record</v>
      </c>
      <c r="AU201" s="5" t="str">
        <f>HYPERLINK("https://creighton-primo.hosted.exlibrisgroup.com/primo-explore/search?tab=default_tab&amp;search_scope=EVERYTHING&amp;vid=01CRU&amp;lang=en_US&amp;offset=0&amp;query=any,contains,991001174199702656","Catalog Record")</f>
        <v>Catalog Record</v>
      </c>
      <c r="AV201" s="5" t="str">
        <f>HYPERLINK("http://www.worldcat.org/oclc/1340439","WorldCat Record")</f>
        <v>WorldCat Record</v>
      </c>
      <c r="AW201" s="2" t="s">
        <v>2632</v>
      </c>
      <c r="AX201" s="2" t="s">
        <v>2633</v>
      </c>
      <c r="AY201" s="2" t="s">
        <v>2634</v>
      </c>
      <c r="AZ201" s="2" t="s">
        <v>2634</v>
      </c>
      <c r="BA201" s="2" t="s">
        <v>2635</v>
      </c>
      <c r="BB201" s="2" t="s">
        <v>21</v>
      </c>
      <c r="BD201" s="2" t="s">
        <v>2636</v>
      </c>
      <c r="BE201" s="2" t="s">
        <v>2637</v>
      </c>
      <c r="BF201" s="2" t="s">
        <v>2638</v>
      </c>
    </row>
    <row r="202" spans="1:58" ht="42.75" customHeight="1" x14ac:dyDescent="0.25">
      <c r="A202" s="8" t="s">
        <v>8</v>
      </c>
      <c r="B202" s="1" t="s">
        <v>0</v>
      </c>
      <c r="C202" s="1" t="s">
        <v>1</v>
      </c>
      <c r="D202" s="1" t="s">
        <v>2639</v>
      </c>
      <c r="E202" s="1" t="s">
        <v>2640</v>
      </c>
      <c r="F202" s="1" t="s">
        <v>2641</v>
      </c>
      <c r="H202" s="2" t="s">
        <v>8</v>
      </c>
      <c r="I202" s="2" t="s">
        <v>7</v>
      </c>
      <c r="J202" s="2" t="s">
        <v>8</v>
      </c>
      <c r="K202" s="2" t="s">
        <v>6</v>
      </c>
      <c r="L202" s="2" t="s">
        <v>9</v>
      </c>
      <c r="M202" s="1" t="s">
        <v>2642</v>
      </c>
      <c r="N202" s="1" t="s">
        <v>2643</v>
      </c>
      <c r="O202" s="2" t="s">
        <v>51</v>
      </c>
      <c r="P202" s="1" t="s">
        <v>1225</v>
      </c>
      <c r="Q202" s="2" t="s">
        <v>12</v>
      </c>
      <c r="R202" s="2" t="s">
        <v>2644</v>
      </c>
      <c r="T202" s="2" t="s">
        <v>14</v>
      </c>
      <c r="U202" s="3">
        <v>57</v>
      </c>
      <c r="V202" s="3">
        <v>57</v>
      </c>
      <c r="W202" s="4" t="s">
        <v>2645</v>
      </c>
      <c r="X202" s="4" t="s">
        <v>2645</v>
      </c>
      <c r="Y202" s="4" t="s">
        <v>2646</v>
      </c>
      <c r="Z202" s="4" t="s">
        <v>2646</v>
      </c>
      <c r="AA202" s="3">
        <v>199</v>
      </c>
      <c r="AB202" s="3">
        <v>172</v>
      </c>
      <c r="AC202" s="3">
        <v>179</v>
      </c>
      <c r="AD202" s="3">
        <v>1</v>
      </c>
      <c r="AE202" s="3">
        <v>1</v>
      </c>
      <c r="AF202" s="3">
        <v>10</v>
      </c>
      <c r="AG202" s="3">
        <v>10</v>
      </c>
      <c r="AH202" s="3">
        <v>2</v>
      </c>
      <c r="AI202" s="3">
        <v>2</v>
      </c>
      <c r="AJ202" s="3">
        <v>4</v>
      </c>
      <c r="AK202" s="3">
        <v>4</v>
      </c>
      <c r="AL202" s="3">
        <v>8</v>
      </c>
      <c r="AM202" s="3">
        <v>8</v>
      </c>
      <c r="AN202" s="3">
        <v>0</v>
      </c>
      <c r="AO202" s="3">
        <v>0</v>
      </c>
      <c r="AP202" s="3">
        <v>1</v>
      </c>
      <c r="AQ202" s="3">
        <v>1</v>
      </c>
      <c r="AR202" s="2" t="s">
        <v>8</v>
      </c>
      <c r="AS202" s="2" t="s">
        <v>6</v>
      </c>
      <c r="AT202" s="5" t="str">
        <f>HYPERLINK("http://catalog.hathitrust.org/Record/000919652","HathiTrust Record")</f>
        <v>HathiTrust Record</v>
      </c>
      <c r="AU202" s="5" t="str">
        <f>HYPERLINK("https://creighton-primo.hosted.exlibrisgroup.com/primo-explore/search?tab=default_tab&amp;search_scope=EVERYTHING&amp;vid=01CRU&amp;lang=en_US&amp;offset=0&amp;query=any,contains,991000347699702656","Catalog Record")</f>
        <v>Catalog Record</v>
      </c>
      <c r="AV202" s="5" t="str">
        <f>HYPERLINK("http://www.worldcat.org/oclc/16982152","WorldCat Record")</f>
        <v>WorldCat Record</v>
      </c>
      <c r="AW202" s="2" t="s">
        <v>2647</v>
      </c>
      <c r="AX202" s="2" t="s">
        <v>2648</v>
      </c>
      <c r="AY202" s="2" t="s">
        <v>2649</v>
      </c>
      <c r="AZ202" s="2" t="s">
        <v>2649</v>
      </c>
      <c r="BA202" s="2" t="s">
        <v>2650</v>
      </c>
      <c r="BB202" s="2" t="s">
        <v>21</v>
      </c>
      <c r="BD202" s="2" t="s">
        <v>2651</v>
      </c>
      <c r="BE202" s="2" t="s">
        <v>2652</v>
      </c>
      <c r="BF202" s="2" t="s">
        <v>2653</v>
      </c>
    </row>
    <row r="203" spans="1:58" ht="42.75" customHeight="1" x14ac:dyDescent="0.25">
      <c r="A203" s="8" t="s">
        <v>8</v>
      </c>
      <c r="B203" s="1" t="s">
        <v>0</v>
      </c>
      <c r="C203" s="1" t="s">
        <v>1</v>
      </c>
      <c r="D203" s="1" t="s">
        <v>2654</v>
      </c>
      <c r="E203" s="1" t="s">
        <v>2655</v>
      </c>
      <c r="F203" s="1" t="s">
        <v>2656</v>
      </c>
      <c r="H203" s="2" t="s">
        <v>8</v>
      </c>
      <c r="I203" s="2" t="s">
        <v>7</v>
      </c>
      <c r="J203" s="2" t="s">
        <v>6</v>
      </c>
      <c r="K203" s="2" t="s">
        <v>8</v>
      </c>
      <c r="L203" s="2" t="s">
        <v>9</v>
      </c>
      <c r="N203" s="1" t="s">
        <v>2657</v>
      </c>
      <c r="O203" s="2" t="s">
        <v>33</v>
      </c>
      <c r="Q203" s="2" t="s">
        <v>12</v>
      </c>
      <c r="R203" s="2" t="s">
        <v>34</v>
      </c>
      <c r="T203" s="2" t="s">
        <v>14</v>
      </c>
      <c r="U203" s="3">
        <v>13</v>
      </c>
      <c r="V203" s="3">
        <v>13</v>
      </c>
      <c r="W203" s="4" t="s">
        <v>2658</v>
      </c>
      <c r="X203" s="4" t="s">
        <v>2658</v>
      </c>
      <c r="Y203" s="4" t="s">
        <v>2327</v>
      </c>
      <c r="Z203" s="4" t="s">
        <v>2327</v>
      </c>
      <c r="AA203" s="3">
        <v>348</v>
      </c>
      <c r="AB203" s="3">
        <v>297</v>
      </c>
      <c r="AC203" s="3">
        <v>313</v>
      </c>
      <c r="AD203" s="3">
        <v>2</v>
      </c>
      <c r="AE203" s="3">
        <v>2</v>
      </c>
      <c r="AF203" s="3">
        <v>12</v>
      </c>
      <c r="AG203" s="3">
        <v>13</v>
      </c>
      <c r="AH203" s="3">
        <v>1</v>
      </c>
      <c r="AI203" s="3">
        <v>2</v>
      </c>
      <c r="AJ203" s="3">
        <v>4</v>
      </c>
      <c r="AK203" s="3">
        <v>4</v>
      </c>
      <c r="AL203" s="3">
        <v>6</v>
      </c>
      <c r="AM203" s="3">
        <v>7</v>
      </c>
      <c r="AN203" s="3">
        <v>0</v>
      </c>
      <c r="AO203" s="3">
        <v>0</v>
      </c>
      <c r="AP203" s="3">
        <v>2</v>
      </c>
      <c r="AQ203" s="3">
        <v>2</v>
      </c>
      <c r="AR203" s="2" t="s">
        <v>8</v>
      </c>
      <c r="AS203" s="2" t="s">
        <v>6</v>
      </c>
      <c r="AT203" s="5" t="str">
        <f>HYPERLINK("http://catalog.hathitrust.org/Record/000311960","HathiTrust Record")</f>
        <v>HathiTrust Record</v>
      </c>
      <c r="AU203" s="5" t="str">
        <f>HYPERLINK("https://creighton-primo.hosted.exlibrisgroup.com/primo-explore/search?tab=default_tab&amp;search_scope=EVERYTHING&amp;vid=01CRU&amp;lang=en_US&amp;offset=0&amp;query=any,contains,991001174279702656","Catalog Record")</f>
        <v>Catalog Record</v>
      </c>
      <c r="AV203" s="5" t="str">
        <f>HYPERLINK("http://www.worldcat.org/oclc/8386438","WorldCat Record")</f>
        <v>WorldCat Record</v>
      </c>
      <c r="AW203" s="2" t="s">
        <v>2659</v>
      </c>
      <c r="AX203" s="2" t="s">
        <v>2660</v>
      </c>
      <c r="AY203" s="2" t="s">
        <v>2661</v>
      </c>
      <c r="AZ203" s="2" t="s">
        <v>2661</v>
      </c>
      <c r="BA203" s="2" t="s">
        <v>2662</v>
      </c>
      <c r="BB203" s="2" t="s">
        <v>21</v>
      </c>
      <c r="BD203" s="2" t="s">
        <v>2663</v>
      </c>
      <c r="BE203" s="2" t="s">
        <v>2664</v>
      </c>
      <c r="BF203" s="2" t="s">
        <v>2665</v>
      </c>
    </row>
    <row r="204" spans="1:58" ht="42.75" customHeight="1" x14ac:dyDescent="0.25">
      <c r="A204" s="8" t="s">
        <v>8</v>
      </c>
      <c r="B204" s="1" t="s">
        <v>0</v>
      </c>
      <c r="C204" s="1" t="s">
        <v>1</v>
      </c>
      <c r="D204" s="1" t="s">
        <v>2666</v>
      </c>
      <c r="E204" s="1" t="s">
        <v>2667</v>
      </c>
      <c r="F204" s="1" t="s">
        <v>2668</v>
      </c>
      <c r="H204" s="2" t="s">
        <v>8</v>
      </c>
      <c r="I204" s="2" t="s">
        <v>7</v>
      </c>
      <c r="J204" s="2" t="s">
        <v>8</v>
      </c>
      <c r="K204" s="2" t="s">
        <v>8</v>
      </c>
      <c r="L204" s="2" t="s">
        <v>9</v>
      </c>
      <c r="M204" s="1" t="s">
        <v>2669</v>
      </c>
      <c r="N204" s="1" t="s">
        <v>2670</v>
      </c>
      <c r="O204" s="2" t="s">
        <v>830</v>
      </c>
      <c r="Q204" s="2" t="s">
        <v>12</v>
      </c>
      <c r="R204" s="2" t="s">
        <v>815</v>
      </c>
      <c r="T204" s="2" t="s">
        <v>14</v>
      </c>
      <c r="U204" s="3">
        <v>0</v>
      </c>
      <c r="V204" s="3">
        <v>0</v>
      </c>
      <c r="W204" s="4" t="s">
        <v>2671</v>
      </c>
      <c r="X204" s="4" t="s">
        <v>2671</v>
      </c>
      <c r="Y204" s="4" t="s">
        <v>2672</v>
      </c>
      <c r="Z204" s="4" t="s">
        <v>2672</v>
      </c>
      <c r="AA204" s="3">
        <v>430</v>
      </c>
      <c r="AB204" s="3">
        <v>322</v>
      </c>
      <c r="AC204" s="3">
        <v>354</v>
      </c>
      <c r="AD204" s="3">
        <v>4</v>
      </c>
      <c r="AE204" s="3">
        <v>4</v>
      </c>
      <c r="AF204" s="3">
        <v>21</v>
      </c>
      <c r="AG204" s="3">
        <v>21</v>
      </c>
      <c r="AH204" s="3">
        <v>7</v>
      </c>
      <c r="AI204" s="3">
        <v>7</v>
      </c>
      <c r="AJ204" s="3">
        <v>4</v>
      </c>
      <c r="AK204" s="3">
        <v>4</v>
      </c>
      <c r="AL204" s="3">
        <v>9</v>
      </c>
      <c r="AM204" s="3">
        <v>9</v>
      </c>
      <c r="AN204" s="3">
        <v>2</v>
      </c>
      <c r="AO204" s="3">
        <v>2</v>
      </c>
      <c r="AP204" s="3">
        <v>4</v>
      </c>
      <c r="AQ204" s="3">
        <v>4</v>
      </c>
      <c r="AR204" s="2" t="s">
        <v>8</v>
      </c>
      <c r="AS204" s="2" t="s">
        <v>8</v>
      </c>
      <c r="AU204" s="5" t="str">
        <f>HYPERLINK("https://creighton-primo.hosted.exlibrisgroup.com/primo-explore/search?tab=default_tab&amp;search_scope=EVERYTHING&amp;vid=01CRU&amp;lang=en_US&amp;offset=0&amp;query=any,contains,991000366599702656","Catalog Record")</f>
        <v>Catalog Record</v>
      </c>
      <c r="AV204" s="5" t="str">
        <f>HYPERLINK("http://www.worldcat.org/oclc/51342639","WorldCat Record")</f>
        <v>WorldCat Record</v>
      </c>
      <c r="AW204" s="2" t="s">
        <v>2673</v>
      </c>
      <c r="AX204" s="2" t="s">
        <v>2674</v>
      </c>
      <c r="AY204" s="2" t="s">
        <v>2675</v>
      </c>
      <c r="AZ204" s="2" t="s">
        <v>2675</v>
      </c>
      <c r="BA204" s="2" t="s">
        <v>2676</v>
      </c>
      <c r="BB204" s="2" t="s">
        <v>21</v>
      </c>
      <c r="BD204" s="2" t="s">
        <v>2677</v>
      </c>
      <c r="BE204" s="2" t="s">
        <v>2678</v>
      </c>
      <c r="BF204" s="2" t="s">
        <v>2679</v>
      </c>
    </row>
    <row r="205" spans="1:58" ht="42.75" customHeight="1" x14ac:dyDescent="0.25">
      <c r="A205" s="8" t="s">
        <v>8</v>
      </c>
      <c r="B205" s="1" t="s">
        <v>0</v>
      </c>
      <c r="C205" s="1" t="s">
        <v>1</v>
      </c>
      <c r="D205" s="1" t="s">
        <v>2680</v>
      </c>
      <c r="E205" s="1" t="s">
        <v>2681</v>
      </c>
      <c r="F205" s="1" t="s">
        <v>2682</v>
      </c>
      <c r="H205" s="2" t="s">
        <v>8</v>
      </c>
      <c r="I205" s="2" t="s">
        <v>7</v>
      </c>
      <c r="J205" s="2" t="s">
        <v>8</v>
      </c>
      <c r="K205" s="2" t="s">
        <v>8</v>
      </c>
      <c r="L205" s="2" t="s">
        <v>9</v>
      </c>
      <c r="M205" s="1" t="s">
        <v>2683</v>
      </c>
      <c r="N205" s="1" t="s">
        <v>2684</v>
      </c>
      <c r="O205" s="2" t="s">
        <v>51</v>
      </c>
      <c r="Q205" s="2" t="s">
        <v>12</v>
      </c>
      <c r="R205" s="2" t="s">
        <v>1211</v>
      </c>
      <c r="T205" s="2" t="s">
        <v>14</v>
      </c>
      <c r="U205" s="3">
        <v>20</v>
      </c>
      <c r="V205" s="3">
        <v>20</v>
      </c>
      <c r="W205" s="4" t="s">
        <v>2685</v>
      </c>
      <c r="X205" s="4" t="s">
        <v>2685</v>
      </c>
      <c r="Y205" s="4" t="s">
        <v>2686</v>
      </c>
      <c r="Z205" s="4" t="s">
        <v>2686</v>
      </c>
      <c r="AA205" s="3">
        <v>16</v>
      </c>
      <c r="AB205" s="3">
        <v>12</v>
      </c>
      <c r="AC205" s="3">
        <v>12</v>
      </c>
      <c r="AD205" s="3">
        <v>1</v>
      </c>
      <c r="AE205" s="3">
        <v>1</v>
      </c>
      <c r="AF205" s="3">
        <v>0</v>
      </c>
      <c r="AG205" s="3">
        <v>0</v>
      </c>
      <c r="AH205" s="3">
        <v>0</v>
      </c>
      <c r="AI205" s="3">
        <v>0</v>
      </c>
      <c r="AJ205" s="3">
        <v>0</v>
      </c>
      <c r="AK205" s="3">
        <v>0</v>
      </c>
      <c r="AL205" s="3">
        <v>0</v>
      </c>
      <c r="AM205" s="3">
        <v>0</v>
      </c>
      <c r="AN205" s="3">
        <v>0</v>
      </c>
      <c r="AO205" s="3">
        <v>0</v>
      </c>
      <c r="AP205" s="3">
        <v>0</v>
      </c>
      <c r="AQ205" s="3">
        <v>0</v>
      </c>
      <c r="AR205" s="2" t="s">
        <v>8</v>
      </c>
      <c r="AS205" s="2" t="s">
        <v>8</v>
      </c>
      <c r="AU205" s="5" t="str">
        <f>HYPERLINK("https://creighton-primo.hosted.exlibrisgroup.com/primo-explore/search?tab=default_tab&amp;search_scope=EVERYTHING&amp;vid=01CRU&amp;lang=en_US&amp;offset=0&amp;query=any,contains,991001107029702656","Catalog Record")</f>
        <v>Catalog Record</v>
      </c>
      <c r="AV205" s="5" t="str">
        <f>HYPERLINK("http://www.worldcat.org/oclc/28344861","WorldCat Record")</f>
        <v>WorldCat Record</v>
      </c>
      <c r="AW205" s="2" t="s">
        <v>2687</v>
      </c>
      <c r="AX205" s="2" t="s">
        <v>2688</v>
      </c>
      <c r="AY205" s="2" t="s">
        <v>2689</v>
      </c>
      <c r="AZ205" s="2" t="s">
        <v>2689</v>
      </c>
      <c r="BA205" s="2" t="s">
        <v>2690</v>
      </c>
      <c r="BB205" s="2" t="s">
        <v>21</v>
      </c>
      <c r="BE205" s="2" t="s">
        <v>2691</v>
      </c>
      <c r="BF205" s="2" t="s">
        <v>2692</v>
      </c>
    </row>
    <row r="206" spans="1:58" ht="42.75" customHeight="1" x14ac:dyDescent="0.25">
      <c r="A206" s="8" t="s">
        <v>8</v>
      </c>
      <c r="B206" s="1" t="s">
        <v>0</v>
      </c>
      <c r="C206" s="1" t="s">
        <v>1</v>
      </c>
      <c r="D206" s="1" t="s">
        <v>2693</v>
      </c>
      <c r="E206" s="1" t="s">
        <v>2694</v>
      </c>
      <c r="F206" s="1" t="s">
        <v>2695</v>
      </c>
      <c r="H206" s="2" t="s">
        <v>8</v>
      </c>
      <c r="I206" s="2" t="s">
        <v>7</v>
      </c>
      <c r="J206" s="2" t="s">
        <v>8</v>
      </c>
      <c r="K206" s="2" t="s">
        <v>8</v>
      </c>
      <c r="L206" s="2" t="s">
        <v>9</v>
      </c>
      <c r="M206" s="1" t="s">
        <v>2696</v>
      </c>
      <c r="N206" s="1" t="s">
        <v>2697</v>
      </c>
      <c r="O206" s="2" t="s">
        <v>731</v>
      </c>
      <c r="Q206" s="2" t="s">
        <v>12</v>
      </c>
      <c r="R206" s="2" t="s">
        <v>13</v>
      </c>
      <c r="S206" s="1" t="s">
        <v>2698</v>
      </c>
      <c r="T206" s="2" t="s">
        <v>14</v>
      </c>
      <c r="U206" s="3">
        <v>3</v>
      </c>
      <c r="V206" s="3">
        <v>3</v>
      </c>
      <c r="W206" s="4" t="s">
        <v>2699</v>
      </c>
      <c r="X206" s="4" t="s">
        <v>2699</v>
      </c>
      <c r="Y206" s="4" t="s">
        <v>2700</v>
      </c>
      <c r="Z206" s="4" t="s">
        <v>2700</v>
      </c>
      <c r="AA206" s="3">
        <v>212</v>
      </c>
      <c r="AB206" s="3">
        <v>138</v>
      </c>
      <c r="AC206" s="3">
        <v>140</v>
      </c>
      <c r="AD206" s="3">
        <v>2</v>
      </c>
      <c r="AE206" s="3">
        <v>2</v>
      </c>
      <c r="AF206" s="3">
        <v>7</v>
      </c>
      <c r="AG206" s="3">
        <v>7</v>
      </c>
      <c r="AH206" s="3">
        <v>0</v>
      </c>
      <c r="AI206" s="3">
        <v>0</v>
      </c>
      <c r="AJ206" s="3">
        <v>1</v>
      </c>
      <c r="AK206" s="3">
        <v>1</v>
      </c>
      <c r="AL206" s="3">
        <v>5</v>
      </c>
      <c r="AM206" s="3">
        <v>5</v>
      </c>
      <c r="AN206" s="3">
        <v>1</v>
      </c>
      <c r="AO206" s="3">
        <v>1</v>
      </c>
      <c r="AP206" s="3">
        <v>0</v>
      </c>
      <c r="AQ206" s="3">
        <v>0</v>
      </c>
      <c r="AR206" s="2" t="s">
        <v>8</v>
      </c>
      <c r="AS206" s="2" t="s">
        <v>6</v>
      </c>
      <c r="AT206" s="5" t="str">
        <f>HYPERLINK("http://catalog.hathitrust.org/Record/003968639","HathiTrust Record")</f>
        <v>HathiTrust Record</v>
      </c>
      <c r="AU206" s="5" t="str">
        <f>HYPERLINK("https://creighton-primo.hosted.exlibrisgroup.com/primo-explore/search?tab=default_tab&amp;search_scope=EVERYTHING&amp;vid=01CRU&amp;lang=en_US&amp;offset=0&amp;query=any,contains,991001549179702656","Catalog Record")</f>
        <v>Catalog Record</v>
      </c>
      <c r="AV206" s="5" t="str">
        <f>HYPERLINK("http://www.worldcat.org/oclc/37024813","WorldCat Record")</f>
        <v>WorldCat Record</v>
      </c>
      <c r="AW206" s="2" t="s">
        <v>2701</v>
      </c>
      <c r="AX206" s="2" t="s">
        <v>2702</v>
      </c>
      <c r="AY206" s="2" t="s">
        <v>2703</v>
      </c>
      <c r="AZ206" s="2" t="s">
        <v>2703</v>
      </c>
      <c r="BA206" s="2" t="s">
        <v>2704</v>
      </c>
      <c r="BB206" s="2" t="s">
        <v>21</v>
      </c>
      <c r="BD206" s="2" t="s">
        <v>2705</v>
      </c>
      <c r="BE206" s="2" t="s">
        <v>2706</v>
      </c>
      <c r="BF206" s="2" t="s">
        <v>2707</v>
      </c>
    </row>
    <row r="207" spans="1:58" ht="42.75" customHeight="1" x14ac:dyDescent="0.25">
      <c r="A207" s="8" t="s">
        <v>8</v>
      </c>
      <c r="B207" s="1" t="s">
        <v>0</v>
      </c>
      <c r="C207" s="1" t="s">
        <v>1</v>
      </c>
      <c r="D207" s="1" t="s">
        <v>2708</v>
      </c>
      <c r="E207" s="1" t="s">
        <v>2709</v>
      </c>
      <c r="F207" s="1" t="s">
        <v>2710</v>
      </c>
      <c r="H207" s="2" t="s">
        <v>8</v>
      </c>
      <c r="I207" s="2" t="s">
        <v>7</v>
      </c>
      <c r="J207" s="2" t="s">
        <v>8</v>
      </c>
      <c r="K207" s="2" t="s">
        <v>8</v>
      </c>
      <c r="L207" s="2" t="s">
        <v>9</v>
      </c>
      <c r="N207" s="1" t="s">
        <v>2711</v>
      </c>
      <c r="O207" s="2" t="s">
        <v>51</v>
      </c>
      <c r="Q207" s="2" t="s">
        <v>12</v>
      </c>
      <c r="R207" s="2" t="s">
        <v>13</v>
      </c>
      <c r="T207" s="2" t="s">
        <v>14</v>
      </c>
      <c r="U207" s="3">
        <v>5</v>
      </c>
      <c r="V207" s="3">
        <v>5</v>
      </c>
      <c r="W207" s="4" t="s">
        <v>2712</v>
      </c>
      <c r="X207" s="4" t="s">
        <v>2712</v>
      </c>
      <c r="Y207" s="4" t="s">
        <v>2713</v>
      </c>
      <c r="Z207" s="4" t="s">
        <v>2713</v>
      </c>
      <c r="AA207" s="3">
        <v>91</v>
      </c>
      <c r="AB207" s="3">
        <v>89</v>
      </c>
      <c r="AC207" s="3">
        <v>95</v>
      </c>
      <c r="AD207" s="3">
        <v>1</v>
      </c>
      <c r="AE207" s="3">
        <v>1</v>
      </c>
      <c r="AF207" s="3">
        <v>1</v>
      </c>
      <c r="AG207" s="3">
        <v>2</v>
      </c>
      <c r="AH207" s="3">
        <v>0</v>
      </c>
      <c r="AI207" s="3">
        <v>0</v>
      </c>
      <c r="AJ207" s="3">
        <v>0</v>
      </c>
      <c r="AK207" s="3">
        <v>0</v>
      </c>
      <c r="AL207" s="3">
        <v>0</v>
      </c>
      <c r="AM207" s="3">
        <v>1</v>
      </c>
      <c r="AN207" s="3">
        <v>0</v>
      </c>
      <c r="AO207" s="3">
        <v>0</v>
      </c>
      <c r="AP207" s="3">
        <v>1</v>
      </c>
      <c r="AQ207" s="3">
        <v>1</v>
      </c>
      <c r="AR207" s="2" t="s">
        <v>8</v>
      </c>
      <c r="AS207" s="2" t="s">
        <v>6</v>
      </c>
      <c r="AT207" s="5" t="str">
        <f>HYPERLINK("http://catalog.hathitrust.org/Record/001076526","HathiTrust Record")</f>
        <v>HathiTrust Record</v>
      </c>
      <c r="AU207" s="5" t="str">
        <f>HYPERLINK("https://creighton-primo.hosted.exlibrisgroup.com/primo-explore/search?tab=default_tab&amp;search_scope=EVERYTHING&amp;vid=01CRU&amp;lang=en_US&amp;offset=0&amp;query=any,contains,991001104079702656","Catalog Record")</f>
        <v>Catalog Record</v>
      </c>
      <c r="AV207" s="5" t="str">
        <f>HYPERLINK("http://www.worldcat.org/oclc/21413588","WorldCat Record")</f>
        <v>WorldCat Record</v>
      </c>
      <c r="AW207" s="2" t="s">
        <v>2714</v>
      </c>
      <c r="AX207" s="2" t="s">
        <v>2715</v>
      </c>
      <c r="AY207" s="2" t="s">
        <v>2716</v>
      </c>
      <c r="AZ207" s="2" t="s">
        <v>2716</v>
      </c>
      <c r="BA207" s="2" t="s">
        <v>2717</v>
      </c>
      <c r="BB207" s="2" t="s">
        <v>21</v>
      </c>
      <c r="BD207" s="2" t="s">
        <v>2718</v>
      </c>
      <c r="BE207" s="2" t="s">
        <v>2719</v>
      </c>
      <c r="BF207" s="2" t="s">
        <v>2720</v>
      </c>
    </row>
    <row r="208" spans="1:58" ht="42.75" customHeight="1" x14ac:dyDescent="0.25">
      <c r="A208" s="8" t="s">
        <v>8</v>
      </c>
      <c r="B208" s="1" t="s">
        <v>0</v>
      </c>
      <c r="C208" s="1" t="s">
        <v>1</v>
      </c>
      <c r="D208" s="1" t="s">
        <v>2721</v>
      </c>
      <c r="E208" s="1" t="s">
        <v>2722</v>
      </c>
      <c r="F208" s="1" t="s">
        <v>2723</v>
      </c>
      <c r="H208" s="2" t="s">
        <v>8</v>
      </c>
      <c r="I208" s="2" t="s">
        <v>7</v>
      </c>
      <c r="J208" s="2" t="s">
        <v>8</v>
      </c>
      <c r="K208" s="2" t="s">
        <v>8</v>
      </c>
      <c r="L208" s="2" t="s">
        <v>9</v>
      </c>
      <c r="M208" s="1" t="s">
        <v>2724</v>
      </c>
      <c r="N208" s="1" t="s">
        <v>2725</v>
      </c>
      <c r="O208" s="2" t="s">
        <v>2726</v>
      </c>
      <c r="Q208" s="2" t="s">
        <v>12</v>
      </c>
      <c r="R208" s="2" t="s">
        <v>1211</v>
      </c>
      <c r="S208" s="1" t="s">
        <v>2727</v>
      </c>
      <c r="T208" s="2" t="s">
        <v>14</v>
      </c>
      <c r="U208" s="3">
        <v>2</v>
      </c>
      <c r="V208" s="3">
        <v>2</v>
      </c>
      <c r="W208" s="4" t="s">
        <v>2728</v>
      </c>
      <c r="X208" s="4" t="s">
        <v>2728</v>
      </c>
      <c r="Y208" s="4" t="s">
        <v>2729</v>
      </c>
      <c r="Z208" s="4" t="s">
        <v>2729</v>
      </c>
      <c r="AA208" s="3">
        <v>43</v>
      </c>
      <c r="AB208" s="3">
        <v>43</v>
      </c>
      <c r="AC208" s="3">
        <v>44</v>
      </c>
      <c r="AD208" s="3">
        <v>1</v>
      </c>
      <c r="AE208" s="3">
        <v>1</v>
      </c>
      <c r="AF208" s="3">
        <v>0</v>
      </c>
      <c r="AG208" s="3">
        <v>0</v>
      </c>
      <c r="AH208" s="3">
        <v>0</v>
      </c>
      <c r="AI208" s="3">
        <v>0</v>
      </c>
      <c r="AJ208" s="3">
        <v>0</v>
      </c>
      <c r="AK208" s="3">
        <v>0</v>
      </c>
      <c r="AL208" s="3">
        <v>0</v>
      </c>
      <c r="AM208" s="3">
        <v>0</v>
      </c>
      <c r="AN208" s="3">
        <v>0</v>
      </c>
      <c r="AO208" s="3">
        <v>0</v>
      </c>
      <c r="AP208" s="3">
        <v>0</v>
      </c>
      <c r="AQ208" s="3">
        <v>0</v>
      </c>
      <c r="AR208" s="2" t="s">
        <v>8</v>
      </c>
      <c r="AS208" s="2" t="s">
        <v>8</v>
      </c>
      <c r="AU208" s="5" t="str">
        <f>HYPERLINK("https://creighton-primo.hosted.exlibrisgroup.com/primo-explore/search?tab=default_tab&amp;search_scope=EVERYTHING&amp;vid=01CRU&amp;lang=en_US&amp;offset=0&amp;query=any,contains,991001014239702656","Catalog Record")</f>
        <v>Catalog Record</v>
      </c>
      <c r="AV208" s="5" t="str">
        <f>HYPERLINK("http://www.worldcat.org/oclc/20356","WorldCat Record")</f>
        <v>WorldCat Record</v>
      </c>
      <c r="AW208" s="2" t="s">
        <v>2730</v>
      </c>
      <c r="AX208" s="2" t="s">
        <v>2731</v>
      </c>
      <c r="AY208" s="2" t="s">
        <v>2732</v>
      </c>
      <c r="AZ208" s="2" t="s">
        <v>2732</v>
      </c>
      <c r="BA208" s="2" t="s">
        <v>2733</v>
      </c>
      <c r="BB208" s="2" t="s">
        <v>21</v>
      </c>
      <c r="BE208" s="2" t="s">
        <v>2734</v>
      </c>
      <c r="BF208" s="2" t="s">
        <v>2735</v>
      </c>
    </row>
    <row r="209" spans="1:58" ht="42.75" customHeight="1" x14ac:dyDescent="0.25">
      <c r="A209" s="8" t="s">
        <v>8</v>
      </c>
      <c r="B209" s="1" t="s">
        <v>0</v>
      </c>
      <c r="C209" s="1" t="s">
        <v>1</v>
      </c>
      <c r="D209" s="1" t="s">
        <v>2736</v>
      </c>
      <c r="E209" s="1" t="s">
        <v>2737</v>
      </c>
      <c r="F209" s="1" t="s">
        <v>2738</v>
      </c>
      <c r="H209" s="2" t="s">
        <v>8</v>
      </c>
      <c r="I209" s="2" t="s">
        <v>7</v>
      </c>
      <c r="J209" s="2" t="s">
        <v>8</v>
      </c>
      <c r="K209" s="2" t="s">
        <v>8</v>
      </c>
      <c r="L209" s="2" t="s">
        <v>9</v>
      </c>
      <c r="M209" s="1" t="s">
        <v>2739</v>
      </c>
      <c r="N209" s="1" t="s">
        <v>2740</v>
      </c>
      <c r="O209" s="2" t="s">
        <v>194</v>
      </c>
      <c r="Q209" s="2" t="s">
        <v>12</v>
      </c>
      <c r="R209" s="2" t="s">
        <v>267</v>
      </c>
      <c r="S209" s="1" t="s">
        <v>2741</v>
      </c>
      <c r="T209" s="2" t="s">
        <v>14</v>
      </c>
      <c r="U209" s="3">
        <v>5</v>
      </c>
      <c r="V209" s="3">
        <v>5</v>
      </c>
      <c r="W209" s="4" t="s">
        <v>2742</v>
      </c>
      <c r="X209" s="4" t="s">
        <v>2742</v>
      </c>
      <c r="Y209" s="4" t="s">
        <v>2743</v>
      </c>
      <c r="Z209" s="4" t="s">
        <v>2743</v>
      </c>
      <c r="AA209" s="3">
        <v>36</v>
      </c>
      <c r="AB209" s="3">
        <v>35</v>
      </c>
      <c r="AC209" s="3">
        <v>36</v>
      </c>
      <c r="AD209" s="3">
        <v>1</v>
      </c>
      <c r="AE209" s="3">
        <v>1</v>
      </c>
      <c r="AF209" s="3">
        <v>1</v>
      </c>
      <c r="AG209" s="3">
        <v>1</v>
      </c>
      <c r="AH209" s="3">
        <v>0</v>
      </c>
      <c r="AI209" s="3">
        <v>0</v>
      </c>
      <c r="AJ209" s="3">
        <v>0</v>
      </c>
      <c r="AK209" s="3">
        <v>0</v>
      </c>
      <c r="AL209" s="3">
        <v>1</v>
      </c>
      <c r="AM209" s="3">
        <v>1</v>
      </c>
      <c r="AN209" s="3">
        <v>0</v>
      </c>
      <c r="AO209" s="3">
        <v>0</v>
      </c>
      <c r="AP209" s="3">
        <v>0</v>
      </c>
      <c r="AQ209" s="3">
        <v>0</v>
      </c>
      <c r="AR209" s="2" t="s">
        <v>8</v>
      </c>
      <c r="AS209" s="2" t="s">
        <v>8</v>
      </c>
      <c r="AU209" s="5" t="str">
        <f>HYPERLINK("https://creighton-primo.hosted.exlibrisgroup.com/primo-explore/search?tab=default_tab&amp;search_scope=EVERYTHING&amp;vid=01CRU&amp;lang=en_US&amp;offset=0&amp;query=any,contains,991001018689702656","Catalog Record")</f>
        <v>Catalog Record</v>
      </c>
      <c r="AV209" s="5" t="str">
        <f>HYPERLINK("http://www.worldcat.org/oclc/968963","WorldCat Record")</f>
        <v>WorldCat Record</v>
      </c>
      <c r="AW209" s="2" t="s">
        <v>2744</v>
      </c>
      <c r="AX209" s="2" t="s">
        <v>2745</v>
      </c>
      <c r="AY209" s="2" t="s">
        <v>2746</v>
      </c>
      <c r="AZ209" s="2" t="s">
        <v>2746</v>
      </c>
      <c r="BA209" s="2" t="s">
        <v>2747</v>
      </c>
      <c r="BB209" s="2" t="s">
        <v>21</v>
      </c>
      <c r="BE209" s="2" t="s">
        <v>2748</v>
      </c>
      <c r="BF209" s="2" t="s">
        <v>2749</v>
      </c>
    </row>
    <row r="210" spans="1:58" ht="42.75" customHeight="1" x14ac:dyDescent="0.25">
      <c r="A210" s="8" t="s">
        <v>8</v>
      </c>
      <c r="B210" s="1" t="s">
        <v>0</v>
      </c>
      <c r="C210" s="1" t="s">
        <v>1</v>
      </c>
      <c r="D210" s="1" t="s">
        <v>2750</v>
      </c>
      <c r="E210" s="1" t="s">
        <v>2751</v>
      </c>
      <c r="F210" s="1" t="s">
        <v>2752</v>
      </c>
      <c r="H210" s="2" t="s">
        <v>8</v>
      </c>
      <c r="I210" s="2" t="s">
        <v>7</v>
      </c>
      <c r="J210" s="2" t="s">
        <v>8</v>
      </c>
      <c r="K210" s="2" t="s">
        <v>8</v>
      </c>
      <c r="L210" s="2" t="s">
        <v>9</v>
      </c>
      <c r="N210" s="1" t="s">
        <v>2753</v>
      </c>
      <c r="O210" s="2" t="s">
        <v>627</v>
      </c>
      <c r="Q210" s="2" t="s">
        <v>12</v>
      </c>
      <c r="R210" s="2" t="s">
        <v>34</v>
      </c>
      <c r="T210" s="2" t="s">
        <v>14</v>
      </c>
      <c r="U210" s="3">
        <v>7</v>
      </c>
      <c r="V210" s="3">
        <v>7</v>
      </c>
      <c r="W210" s="4" t="s">
        <v>2754</v>
      </c>
      <c r="X210" s="4" t="s">
        <v>2754</v>
      </c>
      <c r="Y210" s="4" t="s">
        <v>2755</v>
      </c>
      <c r="Z210" s="4" t="s">
        <v>2755</v>
      </c>
      <c r="AA210" s="3">
        <v>180</v>
      </c>
      <c r="AB210" s="3">
        <v>148</v>
      </c>
      <c r="AC210" s="3">
        <v>151</v>
      </c>
      <c r="AD210" s="3">
        <v>2</v>
      </c>
      <c r="AE210" s="3">
        <v>2</v>
      </c>
      <c r="AF210" s="3">
        <v>10</v>
      </c>
      <c r="AG210" s="3">
        <v>10</v>
      </c>
      <c r="AH210" s="3">
        <v>2</v>
      </c>
      <c r="AI210" s="3">
        <v>2</v>
      </c>
      <c r="AJ210" s="3">
        <v>3</v>
      </c>
      <c r="AK210" s="3">
        <v>3</v>
      </c>
      <c r="AL210" s="3">
        <v>7</v>
      </c>
      <c r="AM210" s="3">
        <v>7</v>
      </c>
      <c r="AN210" s="3">
        <v>1</v>
      </c>
      <c r="AO210" s="3">
        <v>1</v>
      </c>
      <c r="AP210" s="3">
        <v>0</v>
      </c>
      <c r="AQ210" s="3">
        <v>0</v>
      </c>
      <c r="AR210" s="2" t="s">
        <v>8</v>
      </c>
      <c r="AS210" s="2" t="s">
        <v>6</v>
      </c>
      <c r="AT210" s="5" t="str">
        <f>HYPERLINK("http://catalog.hathitrust.org/Record/002733715","HathiTrust Record")</f>
        <v>HathiTrust Record</v>
      </c>
      <c r="AU210" s="5" t="str">
        <f>HYPERLINK("https://creighton-primo.hosted.exlibrisgroup.com/primo-explore/search?tab=default_tab&amp;search_scope=EVERYTHING&amp;vid=01CRU&amp;lang=en_US&amp;offset=0&amp;query=any,contains,991001448919702656","Catalog Record")</f>
        <v>Catalog Record</v>
      </c>
      <c r="AV210" s="5" t="str">
        <f>HYPERLINK("http://www.worldcat.org/oclc/18816053","WorldCat Record")</f>
        <v>WorldCat Record</v>
      </c>
      <c r="AW210" s="2" t="s">
        <v>2756</v>
      </c>
      <c r="AX210" s="2" t="s">
        <v>2757</v>
      </c>
      <c r="AY210" s="2" t="s">
        <v>2758</v>
      </c>
      <c r="AZ210" s="2" t="s">
        <v>2758</v>
      </c>
      <c r="BA210" s="2" t="s">
        <v>2759</v>
      </c>
      <c r="BB210" s="2" t="s">
        <v>21</v>
      </c>
      <c r="BD210" s="2" t="s">
        <v>2760</v>
      </c>
      <c r="BE210" s="2" t="s">
        <v>2761</v>
      </c>
      <c r="BF210" s="2" t="s">
        <v>2762</v>
      </c>
    </row>
    <row r="211" spans="1:58" ht="42.75" customHeight="1" x14ac:dyDescent="0.25">
      <c r="A211" s="8" t="s">
        <v>8</v>
      </c>
      <c r="B211" s="1" t="s">
        <v>0</v>
      </c>
      <c r="C211" s="1" t="s">
        <v>1</v>
      </c>
      <c r="D211" s="1" t="s">
        <v>2763</v>
      </c>
      <c r="E211" s="1" t="s">
        <v>2764</v>
      </c>
      <c r="F211" s="1" t="s">
        <v>2765</v>
      </c>
      <c r="H211" s="2" t="s">
        <v>8</v>
      </c>
      <c r="I211" s="2" t="s">
        <v>7</v>
      </c>
      <c r="J211" s="2" t="s">
        <v>8</v>
      </c>
      <c r="K211" s="2" t="s">
        <v>8</v>
      </c>
      <c r="L211" s="2" t="s">
        <v>9</v>
      </c>
      <c r="M211" s="1" t="s">
        <v>2766</v>
      </c>
      <c r="N211" s="1" t="s">
        <v>2767</v>
      </c>
      <c r="O211" s="2" t="s">
        <v>266</v>
      </c>
      <c r="Q211" s="2" t="s">
        <v>12</v>
      </c>
      <c r="R211" s="2" t="s">
        <v>643</v>
      </c>
      <c r="S211" s="1" t="s">
        <v>2768</v>
      </c>
      <c r="T211" s="2" t="s">
        <v>14</v>
      </c>
      <c r="U211" s="3">
        <v>19</v>
      </c>
      <c r="V211" s="3">
        <v>19</v>
      </c>
      <c r="W211" s="4" t="s">
        <v>2769</v>
      </c>
      <c r="X211" s="4" t="s">
        <v>2769</v>
      </c>
      <c r="Y211" s="4" t="s">
        <v>2327</v>
      </c>
      <c r="Z211" s="4" t="s">
        <v>2327</v>
      </c>
      <c r="AA211" s="3">
        <v>413</v>
      </c>
      <c r="AB211" s="3">
        <v>242</v>
      </c>
      <c r="AC211" s="3">
        <v>633</v>
      </c>
      <c r="AD211" s="3">
        <v>2</v>
      </c>
      <c r="AE211" s="3">
        <v>6</v>
      </c>
      <c r="AF211" s="3">
        <v>4</v>
      </c>
      <c r="AG211" s="3">
        <v>23</v>
      </c>
      <c r="AH211" s="3">
        <v>1</v>
      </c>
      <c r="AI211" s="3">
        <v>7</v>
      </c>
      <c r="AJ211" s="3">
        <v>2</v>
      </c>
      <c r="AK211" s="3">
        <v>7</v>
      </c>
      <c r="AL211" s="3">
        <v>0</v>
      </c>
      <c r="AM211" s="3">
        <v>5</v>
      </c>
      <c r="AN211" s="3">
        <v>1</v>
      </c>
      <c r="AO211" s="3">
        <v>5</v>
      </c>
      <c r="AP211" s="3">
        <v>0</v>
      </c>
      <c r="AQ211" s="3">
        <v>1</v>
      </c>
      <c r="AR211" s="2" t="s">
        <v>8</v>
      </c>
      <c r="AS211" s="2" t="s">
        <v>6</v>
      </c>
      <c r="AT211" s="5" t="str">
        <f>HYPERLINK("http://catalog.hathitrust.org/Record/000245824","HathiTrust Record")</f>
        <v>HathiTrust Record</v>
      </c>
      <c r="AU211" s="5" t="str">
        <f>HYPERLINK("https://creighton-primo.hosted.exlibrisgroup.com/primo-explore/search?tab=default_tab&amp;search_scope=EVERYTHING&amp;vid=01CRU&amp;lang=en_US&amp;offset=0&amp;query=any,contains,991001174729702656","Catalog Record")</f>
        <v>Catalog Record</v>
      </c>
      <c r="AV211" s="5" t="str">
        <f>HYPERLINK("http://www.worldcat.org/oclc/9280593","WorldCat Record")</f>
        <v>WorldCat Record</v>
      </c>
      <c r="AW211" s="2" t="s">
        <v>2770</v>
      </c>
      <c r="AX211" s="2" t="s">
        <v>2771</v>
      </c>
      <c r="AY211" s="2" t="s">
        <v>2772</v>
      </c>
      <c r="AZ211" s="2" t="s">
        <v>2772</v>
      </c>
      <c r="BA211" s="2" t="s">
        <v>2773</v>
      </c>
      <c r="BB211" s="2" t="s">
        <v>21</v>
      </c>
      <c r="BD211" s="2" t="s">
        <v>2774</v>
      </c>
      <c r="BE211" s="2" t="s">
        <v>2775</v>
      </c>
      <c r="BF211" s="2" t="s">
        <v>2776</v>
      </c>
    </row>
    <row r="212" spans="1:58" ht="42.75" customHeight="1" x14ac:dyDescent="0.25">
      <c r="A212" s="8" t="s">
        <v>8</v>
      </c>
      <c r="B212" s="1" t="s">
        <v>0</v>
      </c>
      <c r="C212" s="1" t="s">
        <v>1</v>
      </c>
      <c r="D212" s="1" t="s">
        <v>2777</v>
      </c>
      <c r="E212" s="1" t="s">
        <v>2778</v>
      </c>
      <c r="F212" s="1" t="s">
        <v>2779</v>
      </c>
      <c r="H212" s="2" t="s">
        <v>8</v>
      </c>
      <c r="I212" s="2" t="s">
        <v>7</v>
      </c>
      <c r="J212" s="2" t="s">
        <v>8</v>
      </c>
      <c r="K212" s="2" t="s">
        <v>6</v>
      </c>
      <c r="L212" s="2" t="s">
        <v>9</v>
      </c>
      <c r="M212" s="1" t="s">
        <v>2780</v>
      </c>
      <c r="N212" s="1" t="s">
        <v>2781</v>
      </c>
      <c r="O212" s="2" t="s">
        <v>410</v>
      </c>
      <c r="Q212" s="2" t="s">
        <v>12</v>
      </c>
      <c r="R212" s="2" t="s">
        <v>34</v>
      </c>
      <c r="T212" s="2" t="s">
        <v>14</v>
      </c>
      <c r="U212" s="3">
        <v>58</v>
      </c>
      <c r="V212" s="3">
        <v>58</v>
      </c>
      <c r="W212" s="4" t="s">
        <v>2782</v>
      </c>
      <c r="X212" s="4" t="s">
        <v>2782</v>
      </c>
      <c r="Y212" s="4" t="s">
        <v>2783</v>
      </c>
      <c r="Z212" s="4" t="s">
        <v>2783</v>
      </c>
      <c r="AA212" s="3">
        <v>173</v>
      </c>
      <c r="AB212" s="3">
        <v>120</v>
      </c>
      <c r="AC212" s="3">
        <v>595</v>
      </c>
      <c r="AD212" s="3">
        <v>1</v>
      </c>
      <c r="AE212" s="3">
        <v>4</v>
      </c>
      <c r="AF212" s="3">
        <v>3</v>
      </c>
      <c r="AG212" s="3">
        <v>27</v>
      </c>
      <c r="AH212" s="3">
        <v>1</v>
      </c>
      <c r="AI212" s="3">
        <v>13</v>
      </c>
      <c r="AJ212" s="3">
        <v>2</v>
      </c>
      <c r="AK212" s="3">
        <v>6</v>
      </c>
      <c r="AL212" s="3">
        <v>1</v>
      </c>
      <c r="AM212" s="3">
        <v>10</v>
      </c>
      <c r="AN212" s="3">
        <v>0</v>
      </c>
      <c r="AO212" s="3">
        <v>2</v>
      </c>
      <c r="AP212" s="3">
        <v>0</v>
      </c>
      <c r="AQ212" s="3">
        <v>0</v>
      </c>
      <c r="AR212" s="2" t="s">
        <v>8</v>
      </c>
      <c r="AS212" s="2" t="s">
        <v>6</v>
      </c>
      <c r="AT212" s="5" t="str">
        <f>HYPERLINK("http://catalog.hathitrust.org/Record/002604582","HathiTrust Record")</f>
        <v>HathiTrust Record</v>
      </c>
      <c r="AU212" s="5" t="str">
        <f>HYPERLINK("https://creighton-primo.hosted.exlibrisgroup.com/primo-explore/search?tab=default_tab&amp;search_scope=EVERYTHING&amp;vid=01CRU&amp;lang=en_US&amp;offset=0&amp;query=any,contains,991001427849702656","Catalog Record")</f>
        <v>Catalog Record</v>
      </c>
      <c r="AV212" s="5" t="str">
        <f>HYPERLINK("http://www.worldcat.org/oclc/26590023","WorldCat Record")</f>
        <v>WorldCat Record</v>
      </c>
      <c r="AW212" s="2" t="s">
        <v>2784</v>
      </c>
      <c r="AX212" s="2" t="s">
        <v>2785</v>
      </c>
      <c r="AY212" s="2" t="s">
        <v>2786</v>
      </c>
      <c r="AZ212" s="2" t="s">
        <v>2786</v>
      </c>
      <c r="BA212" s="2" t="s">
        <v>2787</v>
      </c>
      <c r="BB212" s="2" t="s">
        <v>21</v>
      </c>
      <c r="BD212" s="2" t="s">
        <v>2788</v>
      </c>
      <c r="BE212" s="2" t="s">
        <v>2789</v>
      </c>
      <c r="BF212" s="2" t="s">
        <v>2790</v>
      </c>
    </row>
    <row r="213" spans="1:58" ht="42.75" customHeight="1" x14ac:dyDescent="0.25">
      <c r="A213" s="8" t="s">
        <v>8</v>
      </c>
      <c r="B213" s="1" t="s">
        <v>0</v>
      </c>
      <c r="C213" s="1" t="s">
        <v>1</v>
      </c>
      <c r="D213" s="1" t="s">
        <v>2791</v>
      </c>
      <c r="E213" s="1" t="s">
        <v>2792</v>
      </c>
      <c r="F213" s="1" t="s">
        <v>2793</v>
      </c>
      <c r="H213" s="2" t="s">
        <v>8</v>
      </c>
      <c r="I213" s="2" t="s">
        <v>7</v>
      </c>
      <c r="J213" s="2" t="s">
        <v>8</v>
      </c>
      <c r="K213" s="2" t="s">
        <v>8</v>
      </c>
      <c r="L213" s="2" t="s">
        <v>9</v>
      </c>
      <c r="N213" s="1" t="s">
        <v>2794</v>
      </c>
      <c r="O213" s="2" t="s">
        <v>1034</v>
      </c>
      <c r="Q213" s="2" t="s">
        <v>12</v>
      </c>
      <c r="R213" s="2" t="s">
        <v>1340</v>
      </c>
      <c r="T213" s="2" t="s">
        <v>14</v>
      </c>
      <c r="U213" s="3">
        <v>3</v>
      </c>
      <c r="V213" s="3">
        <v>3</v>
      </c>
      <c r="W213" s="4" t="s">
        <v>2576</v>
      </c>
      <c r="X213" s="4" t="s">
        <v>2576</v>
      </c>
      <c r="Y213" s="4" t="s">
        <v>2577</v>
      </c>
      <c r="Z213" s="4" t="s">
        <v>2577</v>
      </c>
      <c r="AA213" s="3">
        <v>11</v>
      </c>
      <c r="AB213" s="3">
        <v>11</v>
      </c>
      <c r="AC213" s="3">
        <v>17</v>
      </c>
      <c r="AD213" s="3">
        <v>1</v>
      </c>
      <c r="AE213" s="3">
        <v>1</v>
      </c>
      <c r="AF213" s="3">
        <v>0</v>
      </c>
      <c r="AG213" s="3">
        <v>0</v>
      </c>
      <c r="AH213" s="3">
        <v>0</v>
      </c>
      <c r="AI213" s="3">
        <v>0</v>
      </c>
      <c r="AJ213" s="3">
        <v>0</v>
      </c>
      <c r="AK213" s="3">
        <v>0</v>
      </c>
      <c r="AL213" s="3">
        <v>0</v>
      </c>
      <c r="AM213" s="3">
        <v>0</v>
      </c>
      <c r="AN213" s="3">
        <v>0</v>
      </c>
      <c r="AO213" s="3">
        <v>0</v>
      </c>
      <c r="AP213" s="3">
        <v>0</v>
      </c>
      <c r="AQ213" s="3">
        <v>0</v>
      </c>
      <c r="AR213" s="2" t="s">
        <v>8</v>
      </c>
      <c r="AS213" s="2" t="s">
        <v>6</v>
      </c>
      <c r="AT213" s="5" t="str">
        <f>HYPERLINK("http://catalog.hathitrust.org/Record/010364149","HathiTrust Record")</f>
        <v>HathiTrust Record</v>
      </c>
      <c r="AU213" s="5" t="str">
        <f>HYPERLINK("https://creighton-primo.hosted.exlibrisgroup.com/primo-explore/search?tab=default_tab&amp;search_scope=EVERYTHING&amp;vid=01CRU&amp;lang=en_US&amp;offset=0&amp;query=any,contains,991001285859702656","Catalog Record")</f>
        <v>Catalog Record</v>
      </c>
      <c r="AV213" s="5" t="str">
        <f>HYPERLINK("http://www.worldcat.org/oclc/7642222","WorldCat Record")</f>
        <v>WorldCat Record</v>
      </c>
      <c r="AW213" s="2" t="s">
        <v>2795</v>
      </c>
      <c r="AX213" s="2" t="s">
        <v>2796</v>
      </c>
      <c r="AY213" s="2" t="s">
        <v>2797</v>
      </c>
      <c r="AZ213" s="2" t="s">
        <v>2797</v>
      </c>
      <c r="BA213" s="2" t="s">
        <v>2798</v>
      </c>
      <c r="BB213" s="2" t="s">
        <v>21</v>
      </c>
      <c r="BE213" s="2" t="s">
        <v>2799</v>
      </c>
      <c r="BF213" s="2" t="s">
        <v>2800</v>
      </c>
    </row>
    <row r="214" spans="1:58" ht="42.75" customHeight="1" x14ac:dyDescent="0.25">
      <c r="A214" s="8" t="s">
        <v>8</v>
      </c>
      <c r="B214" s="1" t="s">
        <v>0</v>
      </c>
      <c r="C214" s="1" t="s">
        <v>1</v>
      </c>
      <c r="D214" s="1" t="s">
        <v>2801</v>
      </c>
      <c r="E214" s="1" t="s">
        <v>2802</v>
      </c>
      <c r="F214" s="1" t="s">
        <v>2803</v>
      </c>
      <c r="H214" s="2" t="s">
        <v>8</v>
      </c>
      <c r="I214" s="2" t="s">
        <v>7</v>
      </c>
      <c r="J214" s="2" t="s">
        <v>8</v>
      </c>
      <c r="K214" s="2" t="s">
        <v>8</v>
      </c>
      <c r="L214" s="2" t="s">
        <v>9</v>
      </c>
      <c r="N214" s="1" t="s">
        <v>2804</v>
      </c>
      <c r="O214" s="2" t="s">
        <v>252</v>
      </c>
      <c r="Q214" s="2" t="s">
        <v>12</v>
      </c>
      <c r="R214" s="2" t="s">
        <v>1340</v>
      </c>
      <c r="S214" s="1" t="s">
        <v>2575</v>
      </c>
      <c r="T214" s="2" t="s">
        <v>14</v>
      </c>
      <c r="U214" s="3">
        <v>2</v>
      </c>
      <c r="V214" s="3">
        <v>2</v>
      </c>
      <c r="W214" s="4" t="s">
        <v>1900</v>
      </c>
      <c r="X214" s="4" t="s">
        <v>1900</v>
      </c>
      <c r="Y214" s="4" t="s">
        <v>2577</v>
      </c>
      <c r="Z214" s="4" t="s">
        <v>2577</v>
      </c>
      <c r="AA214" s="3">
        <v>15</v>
      </c>
      <c r="AB214" s="3">
        <v>15</v>
      </c>
      <c r="AC214" s="3">
        <v>15</v>
      </c>
      <c r="AD214" s="3">
        <v>1</v>
      </c>
      <c r="AE214" s="3">
        <v>1</v>
      </c>
      <c r="AF214" s="3">
        <v>0</v>
      </c>
      <c r="AG214" s="3">
        <v>0</v>
      </c>
      <c r="AH214" s="3">
        <v>0</v>
      </c>
      <c r="AI214" s="3">
        <v>0</v>
      </c>
      <c r="AJ214" s="3">
        <v>0</v>
      </c>
      <c r="AK214" s="3">
        <v>0</v>
      </c>
      <c r="AL214" s="3">
        <v>0</v>
      </c>
      <c r="AM214" s="3">
        <v>0</v>
      </c>
      <c r="AN214" s="3">
        <v>0</v>
      </c>
      <c r="AO214" s="3">
        <v>0</v>
      </c>
      <c r="AP214" s="3">
        <v>0</v>
      </c>
      <c r="AQ214" s="3">
        <v>0</v>
      </c>
      <c r="AR214" s="2" t="s">
        <v>8</v>
      </c>
      <c r="AS214" s="2" t="s">
        <v>8</v>
      </c>
      <c r="AU214" s="5" t="str">
        <f>HYPERLINK("https://creighton-primo.hosted.exlibrisgroup.com/primo-explore/search?tab=default_tab&amp;search_scope=EVERYTHING&amp;vid=01CRU&amp;lang=en_US&amp;offset=0&amp;query=any,contains,991001285939702656","Catalog Record")</f>
        <v>Catalog Record</v>
      </c>
      <c r="AV214" s="5" t="str">
        <f>HYPERLINK("http://www.worldcat.org/oclc/7642211","WorldCat Record")</f>
        <v>WorldCat Record</v>
      </c>
      <c r="AW214" s="2" t="s">
        <v>2805</v>
      </c>
      <c r="AX214" s="2" t="s">
        <v>2806</v>
      </c>
      <c r="AY214" s="2" t="s">
        <v>2807</v>
      </c>
      <c r="AZ214" s="2" t="s">
        <v>2807</v>
      </c>
      <c r="BA214" s="2" t="s">
        <v>2808</v>
      </c>
      <c r="BB214" s="2" t="s">
        <v>21</v>
      </c>
      <c r="BE214" s="2" t="s">
        <v>2809</v>
      </c>
      <c r="BF214" s="2" t="s">
        <v>2810</v>
      </c>
    </row>
    <row r="215" spans="1:58" ht="42.75" customHeight="1" x14ac:dyDescent="0.25">
      <c r="A215" s="8" t="s">
        <v>8</v>
      </c>
      <c r="B215" s="1" t="s">
        <v>0</v>
      </c>
      <c r="C215" s="1" t="s">
        <v>1</v>
      </c>
      <c r="D215" s="1" t="s">
        <v>2811</v>
      </c>
      <c r="E215" s="1" t="s">
        <v>2812</v>
      </c>
      <c r="F215" s="1" t="s">
        <v>2813</v>
      </c>
      <c r="H215" s="2" t="s">
        <v>8</v>
      </c>
      <c r="I215" s="2" t="s">
        <v>7</v>
      </c>
      <c r="J215" s="2" t="s">
        <v>8</v>
      </c>
      <c r="K215" s="2" t="s">
        <v>8</v>
      </c>
      <c r="L215" s="2" t="s">
        <v>9</v>
      </c>
      <c r="N215" s="1" t="s">
        <v>2814</v>
      </c>
      <c r="O215" s="2" t="s">
        <v>252</v>
      </c>
      <c r="Q215" s="2" t="s">
        <v>12</v>
      </c>
      <c r="R215" s="2" t="s">
        <v>1340</v>
      </c>
      <c r="S215" s="1" t="s">
        <v>2575</v>
      </c>
      <c r="T215" s="2" t="s">
        <v>14</v>
      </c>
      <c r="U215" s="3">
        <v>2</v>
      </c>
      <c r="V215" s="3">
        <v>2</v>
      </c>
      <c r="W215" s="4" t="s">
        <v>2576</v>
      </c>
      <c r="X215" s="4" t="s">
        <v>2576</v>
      </c>
      <c r="Y215" s="4" t="s">
        <v>2577</v>
      </c>
      <c r="Z215" s="4" t="s">
        <v>2577</v>
      </c>
      <c r="AA215" s="3">
        <v>11</v>
      </c>
      <c r="AB215" s="3">
        <v>11</v>
      </c>
      <c r="AC215" s="3">
        <v>14</v>
      </c>
      <c r="AD215" s="3">
        <v>1</v>
      </c>
      <c r="AE215" s="3">
        <v>1</v>
      </c>
      <c r="AF215" s="3">
        <v>0</v>
      </c>
      <c r="AG215" s="3">
        <v>0</v>
      </c>
      <c r="AH215" s="3">
        <v>0</v>
      </c>
      <c r="AI215" s="3">
        <v>0</v>
      </c>
      <c r="AJ215" s="3">
        <v>0</v>
      </c>
      <c r="AK215" s="3">
        <v>0</v>
      </c>
      <c r="AL215" s="3">
        <v>0</v>
      </c>
      <c r="AM215" s="3">
        <v>0</v>
      </c>
      <c r="AN215" s="3">
        <v>0</v>
      </c>
      <c r="AO215" s="3">
        <v>0</v>
      </c>
      <c r="AP215" s="3">
        <v>0</v>
      </c>
      <c r="AQ215" s="3">
        <v>0</v>
      </c>
      <c r="AR215" s="2" t="s">
        <v>8</v>
      </c>
      <c r="AS215" s="2" t="s">
        <v>6</v>
      </c>
      <c r="AT215" s="5" t="str">
        <f>HYPERLINK("http://catalog.hathitrust.org/Record/010365607","HathiTrust Record")</f>
        <v>HathiTrust Record</v>
      </c>
      <c r="AU215" s="5" t="str">
        <f>HYPERLINK("https://creighton-primo.hosted.exlibrisgroup.com/primo-explore/search?tab=default_tab&amp;search_scope=EVERYTHING&amp;vid=01CRU&amp;lang=en_US&amp;offset=0&amp;query=any,contains,991001286129702656","Catalog Record")</f>
        <v>Catalog Record</v>
      </c>
      <c r="AV215" s="5" t="str">
        <f>HYPERLINK("http://www.worldcat.org/oclc/8740118","WorldCat Record")</f>
        <v>WorldCat Record</v>
      </c>
      <c r="AW215" s="2" t="s">
        <v>2815</v>
      </c>
      <c r="AX215" s="2" t="s">
        <v>2816</v>
      </c>
      <c r="AY215" s="2" t="s">
        <v>2817</v>
      </c>
      <c r="AZ215" s="2" t="s">
        <v>2817</v>
      </c>
      <c r="BA215" s="2" t="s">
        <v>2818</v>
      </c>
      <c r="BB215" s="2" t="s">
        <v>21</v>
      </c>
      <c r="BE215" s="2" t="s">
        <v>2819</v>
      </c>
      <c r="BF215" s="2" t="s">
        <v>2820</v>
      </c>
    </row>
    <row r="216" spans="1:58" ht="42.75" customHeight="1" x14ac:dyDescent="0.25">
      <c r="A216" s="8" t="s">
        <v>8</v>
      </c>
      <c r="B216" s="1" t="s">
        <v>0</v>
      </c>
      <c r="C216" s="1" t="s">
        <v>1</v>
      </c>
      <c r="D216" s="1" t="s">
        <v>2821</v>
      </c>
      <c r="E216" s="1" t="s">
        <v>2822</v>
      </c>
      <c r="F216" s="1" t="s">
        <v>2823</v>
      </c>
      <c r="H216" s="2" t="s">
        <v>8</v>
      </c>
      <c r="I216" s="2" t="s">
        <v>7</v>
      </c>
      <c r="J216" s="2" t="s">
        <v>8</v>
      </c>
      <c r="K216" s="2" t="s">
        <v>8</v>
      </c>
      <c r="L216" s="2" t="s">
        <v>9</v>
      </c>
      <c r="M216" s="1" t="s">
        <v>2824</v>
      </c>
      <c r="N216" s="1" t="s">
        <v>2825</v>
      </c>
      <c r="O216" s="2" t="s">
        <v>67</v>
      </c>
      <c r="Q216" s="2" t="s">
        <v>12</v>
      </c>
      <c r="R216" s="2" t="s">
        <v>1211</v>
      </c>
      <c r="T216" s="2" t="s">
        <v>14</v>
      </c>
      <c r="U216" s="3">
        <v>1</v>
      </c>
      <c r="V216" s="3">
        <v>1</v>
      </c>
      <c r="W216" s="4" t="s">
        <v>53</v>
      </c>
      <c r="X216" s="4" t="s">
        <v>53</v>
      </c>
      <c r="Y216" s="4" t="s">
        <v>2327</v>
      </c>
      <c r="Z216" s="4" t="s">
        <v>2327</v>
      </c>
      <c r="AA216" s="3">
        <v>16</v>
      </c>
      <c r="AB216" s="3">
        <v>16</v>
      </c>
      <c r="AC216" s="3">
        <v>855</v>
      </c>
      <c r="AD216" s="3">
        <v>1</v>
      </c>
      <c r="AE216" s="3">
        <v>14</v>
      </c>
      <c r="AF216" s="3">
        <v>0</v>
      </c>
      <c r="AG216" s="3">
        <v>32</v>
      </c>
      <c r="AH216" s="3">
        <v>0</v>
      </c>
      <c r="AI216" s="3">
        <v>9</v>
      </c>
      <c r="AJ216" s="3">
        <v>0</v>
      </c>
      <c r="AK216" s="3">
        <v>8</v>
      </c>
      <c r="AL216" s="3">
        <v>0</v>
      </c>
      <c r="AM216" s="3">
        <v>7</v>
      </c>
      <c r="AN216" s="3">
        <v>0</v>
      </c>
      <c r="AO216" s="3">
        <v>12</v>
      </c>
      <c r="AP216" s="3">
        <v>0</v>
      </c>
      <c r="AQ216" s="3">
        <v>1</v>
      </c>
      <c r="AR216" s="2" t="s">
        <v>8</v>
      </c>
      <c r="AS216" s="2" t="s">
        <v>8</v>
      </c>
      <c r="AU216" s="5" t="str">
        <f>HYPERLINK("https://creighton-primo.hosted.exlibrisgroup.com/primo-explore/search?tab=default_tab&amp;search_scope=EVERYTHING&amp;vid=01CRU&amp;lang=en_US&amp;offset=0&amp;query=any,contains,991001175139702656","Catalog Record")</f>
        <v>Catalog Record</v>
      </c>
      <c r="AV216" s="5" t="str">
        <f>HYPERLINK("http://www.worldcat.org/oclc/15055001","WorldCat Record")</f>
        <v>WorldCat Record</v>
      </c>
      <c r="AW216" s="2" t="s">
        <v>2826</v>
      </c>
      <c r="AX216" s="2" t="s">
        <v>2827</v>
      </c>
      <c r="AY216" s="2" t="s">
        <v>2828</v>
      </c>
      <c r="AZ216" s="2" t="s">
        <v>2828</v>
      </c>
      <c r="BA216" s="2" t="s">
        <v>2829</v>
      </c>
      <c r="BB216" s="2" t="s">
        <v>21</v>
      </c>
      <c r="BE216" s="2" t="s">
        <v>2830</v>
      </c>
      <c r="BF216" s="2" t="s">
        <v>2831</v>
      </c>
    </row>
    <row r="217" spans="1:58" ht="42.75" customHeight="1" x14ac:dyDescent="0.25">
      <c r="A217" s="8" t="s">
        <v>8</v>
      </c>
      <c r="B217" s="1" t="s">
        <v>0</v>
      </c>
      <c r="C217" s="1" t="s">
        <v>1</v>
      </c>
      <c r="D217" s="1" t="s">
        <v>2832</v>
      </c>
      <c r="E217" s="1" t="s">
        <v>2833</v>
      </c>
      <c r="F217" s="1" t="s">
        <v>2834</v>
      </c>
      <c r="H217" s="2" t="s">
        <v>8</v>
      </c>
      <c r="I217" s="2" t="s">
        <v>7</v>
      </c>
      <c r="J217" s="2" t="s">
        <v>8</v>
      </c>
      <c r="K217" s="2" t="s">
        <v>6</v>
      </c>
      <c r="L217" s="2" t="s">
        <v>9</v>
      </c>
      <c r="M217" s="1" t="s">
        <v>2835</v>
      </c>
      <c r="N217" s="1" t="s">
        <v>2836</v>
      </c>
      <c r="O217" s="2" t="s">
        <v>67</v>
      </c>
      <c r="Q217" s="2" t="s">
        <v>12</v>
      </c>
      <c r="R217" s="2" t="s">
        <v>643</v>
      </c>
      <c r="S217" s="1" t="s">
        <v>2837</v>
      </c>
      <c r="T217" s="2" t="s">
        <v>14</v>
      </c>
      <c r="U217" s="3">
        <v>1</v>
      </c>
      <c r="V217" s="3">
        <v>1</v>
      </c>
      <c r="W217" s="4" t="s">
        <v>2838</v>
      </c>
      <c r="X217" s="4" t="s">
        <v>2838</v>
      </c>
      <c r="Y217" s="4" t="s">
        <v>2327</v>
      </c>
      <c r="Z217" s="4" t="s">
        <v>2327</v>
      </c>
      <c r="AA217" s="3">
        <v>406</v>
      </c>
      <c r="AB217" s="3">
        <v>333</v>
      </c>
      <c r="AC217" s="3">
        <v>378</v>
      </c>
      <c r="AD217" s="3">
        <v>1</v>
      </c>
      <c r="AE217" s="3">
        <v>2</v>
      </c>
      <c r="AF217" s="3">
        <v>16</v>
      </c>
      <c r="AG217" s="3">
        <v>18</v>
      </c>
      <c r="AH217" s="3">
        <v>6</v>
      </c>
      <c r="AI217" s="3">
        <v>7</v>
      </c>
      <c r="AJ217" s="3">
        <v>3</v>
      </c>
      <c r="AK217" s="3">
        <v>3</v>
      </c>
      <c r="AL217" s="3">
        <v>9</v>
      </c>
      <c r="AM217" s="3">
        <v>9</v>
      </c>
      <c r="AN217" s="3">
        <v>0</v>
      </c>
      <c r="AO217" s="3">
        <v>0</v>
      </c>
      <c r="AP217" s="3">
        <v>3</v>
      </c>
      <c r="AQ217" s="3">
        <v>4</v>
      </c>
      <c r="AR217" s="2" t="s">
        <v>8</v>
      </c>
      <c r="AS217" s="2" t="s">
        <v>6</v>
      </c>
      <c r="AT217" s="5" t="str">
        <f>HYPERLINK("http://catalog.hathitrust.org/Record/000375448","HathiTrust Record")</f>
        <v>HathiTrust Record</v>
      </c>
      <c r="AU217" s="5" t="str">
        <f>HYPERLINK("https://creighton-primo.hosted.exlibrisgroup.com/primo-explore/search?tab=default_tab&amp;search_scope=EVERYTHING&amp;vid=01CRU&amp;lang=en_US&amp;offset=0&amp;query=any,contains,991001175429702656","Catalog Record")</f>
        <v>Catalog Record</v>
      </c>
      <c r="AV217" s="5" t="str">
        <f>HYPERLINK("http://www.worldcat.org/oclc/11519500","WorldCat Record")</f>
        <v>WorldCat Record</v>
      </c>
      <c r="AW217" s="2" t="s">
        <v>2839</v>
      </c>
      <c r="AX217" s="2" t="s">
        <v>2840</v>
      </c>
      <c r="AY217" s="2" t="s">
        <v>2841</v>
      </c>
      <c r="AZ217" s="2" t="s">
        <v>2841</v>
      </c>
      <c r="BA217" s="2" t="s">
        <v>2842</v>
      </c>
      <c r="BB217" s="2" t="s">
        <v>21</v>
      </c>
      <c r="BD217" s="2" t="s">
        <v>2843</v>
      </c>
      <c r="BE217" s="2" t="s">
        <v>2844</v>
      </c>
      <c r="BF217" s="2" t="s">
        <v>2845</v>
      </c>
    </row>
    <row r="218" spans="1:58" ht="42.75" customHeight="1" x14ac:dyDescent="0.25">
      <c r="A218" s="8" t="s">
        <v>8</v>
      </c>
      <c r="B218" s="1" t="s">
        <v>0</v>
      </c>
      <c r="C218" s="1" t="s">
        <v>1</v>
      </c>
      <c r="D218" s="1" t="s">
        <v>2846</v>
      </c>
      <c r="E218" s="1" t="s">
        <v>2847</v>
      </c>
      <c r="F218" s="1" t="s">
        <v>2848</v>
      </c>
      <c r="H218" s="2" t="s">
        <v>8</v>
      </c>
      <c r="I218" s="2" t="s">
        <v>7</v>
      </c>
      <c r="J218" s="2" t="s">
        <v>8</v>
      </c>
      <c r="K218" s="2" t="s">
        <v>8</v>
      </c>
      <c r="L218" s="2" t="s">
        <v>9</v>
      </c>
      <c r="M218" s="1" t="s">
        <v>2849</v>
      </c>
      <c r="N218" s="1" t="s">
        <v>2850</v>
      </c>
      <c r="O218" s="2" t="s">
        <v>1327</v>
      </c>
      <c r="Q218" s="2" t="s">
        <v>12</v>
      </c>
      <c r="R218" s="2" t="s">
        <v>34</v>
      </c>
      <c r="T218" s="2" t="s">
        <v>14</v>
      </c>
      <c r="U218" s="3">
        <v>15</v>
      </c>
      <c r="V218" s="3">
        <v>15</v>
      </c>
      <c r="W218" s="4" t="s">
        <v>2851</v>
      </c>
      <c r="X218" s="4" t="s">
        <v>2851</v>
      </c>
      <c r="Y218" s="4" t="s">
        <v>2327</v>
      </c>
      <c r="Z218" s="4" t="s">
        <v>2327</v>
      </c>
      <c r="AA218" s="3">
        <v>240</v>
      </c>
      <c r="AB218" s="3">
        <v>169</v>
      </c>
      <c r="AC218" s="3">
        <v>171</v>
      </c>
      <c r="AD218" s="3">
        <v>1</v>
      </c>
      <c r="AE218" s="3">
        <v>1</v>
      </c>
      <c r="AF218" s="3">
        <v>4</v>
      </c>
      <c r="AG218" s="3">
        <v>4</v>
      </c>
      <c r="AH218" s="3">
        <v>1</v>
      </c>
      <c r="AI218" s="3">
        <v>1</v>
      </c>
      <c r="AJ218" s="3">
        <v>2</v>
      </c>
      <c r="AK218" s="3">
        <v>2</v>
      </c>
      <c r="AL218" s="3">
        <v>2</v>
      </c>
      <c r="AM218" s="3">
        <v>2</v>
      </c>
      <c r="AN218" s="3">
        <v>0</v>
      </c>
      <c r="AO218" s="3">
        <v>0</v>
      </c>
      <c r="AP218" s="3">
        <v>0</v>
      </c>
      <c r="AQ218" s="3">
        <v>0</v>
      </c>
      <c r="AR218" s="2" t="s">
        <v>8</v>
      </c>
      <c r="AS218" s="2" t="s">
        <v>6</v>
      </c>
      <c r="AT218" s="5" t="str">
        <f>HYPERLINK("http://catalog.hathitrust.org/Record/000538329","HathiTrust Record")</f>
        <v>HathiTrust Record</v>
      </c>
      <c r="AU218" s="5" t="str">
        <f>HYPERLINK("https://creighton-primo.hosted.exlibrisgroup.com/primo-explore/search?tab=default_tab&amp;search_scope=EVERYTHING&amp;vid=01CRU&amp;lang=en_US&amp;offset=0&amp;query=any,contains,991001175179702656","Catalog Record")</f>
        <v>Catalog Record</v>
      </c>
      <c r="AV218" s="5" t="str">
        <f>HYPERLINK("http://www.worldcat.org/oclc/13822198","WorldCat Record")</f>
        <v>WorldCat Record</v>
      </c>
      <c r="AW218" s="2" t="s">
        <v>2852</v>
      </c>
      <c r="AX218" s="2" t="s">
        <v>2853</v>
      </c>
      <c r="AY218" s="2" t="s">
        <v>2854</v>
      </c>
      <c r="AZ218" s="2" t="s">
        <v>2854</v>
      </c>
      <c r="BA218" s="2" t="s">
        <v>2855</v>
      </c>
      <c r="BB218" s="2" t="s">
        <v>21</v>
      </c>
      <c r="BD218" s="2" t="s">
        <v>2856</v>
      </c>
      <c r="BE218" s="2" t="s">
        <v>2857</v>
      </c>
      <c r="BF218" s="2" t="s">
        <v>2858</v>
      </c>
    </row>
    <row r="219" spans="1:58" ht="42.75" customHeight="1" x14ac:dyDescent="0.25">
      <c r="A219" s="8" t="s">
        <v>8</v>
      </c>
      <c r="B219" s="1" t="s">
        <v>0</v>
      </c>
      <c r="C219" s="1" t="s">
        <v>1</v>
      </c>
      <c r="D219" s="1" t="s">
        <v>2859</v>
      </c>
      <c r="E219" s="1" t="s">
        <v>2860</v>
      </c>
      <c r="F219" s="1" t="s">
        <v>2861</v>
      </c>
      <c r="H219" s="2" t="s">
        <v>8</v>
      </c>
      <c r="I219" s="2" t="s">
        <v>7</v>
      </c>
      <c r="J219" s="2" t="s">
        <v>8</v>
      </c>
      <c r="K219" s="2" t="s">
        <v>8</v>
      </c>
      <c r="L219" s="2" t="s">
        <v>9</v>
      </c>
      <c r="M219" s="1" t="s">
        <v>2862</v>
      </c>
      <c r="N219" s="1" t="s">
        <v>2863</v>
      </c>
      <c r="O219" s="2" t="s">
        <v>627</v>
      </c>
      <c r="P219" s="1" t="s">
        <v>2864</v>
      </c>
      <c r="Q219" s="2" t="s">
        <v>12</v>
      </c>
      <c r="R219" s="2" t="s">
        <v>577</v>
      </c>
      <c r="S219" s="1" t="s">
        <v>2865</v>
      </c>
      <c r="T219" s="2" t="s">
        <v>14</v>
      </c>
      <c r="U219" s="3">
        <v>16</v>
      </c>
      <c r="V219" s="3">
        <v>16</v>
      </c>
      <c r="W219" s="4" t="s">
        <v>2866</v>
      </c>
      <c r="X219" s="4" t="s">
        <v>2866</v>
      </c>
      <c r="Y219" s="4" t="s">
        <v>2867</v>
      </c>
      <c r="Z219" s="4" t="s">
        <v>2867</v>
      </c>
      <c r="AA219" s="3">
        <v>113</v>
      </c>
      <c r="AB219" s="3">
        <v>87</v>
      </c>
      <c r="AC219" s="3">
        <v>88</v>
      </c>
      <c r="AD219" s="3">
        <v>1</v>
      </c>
      <c r="AE219" s="3">
        <v>1</v>
      </c>
      <c r="AF219" s="3">
        <v>3</v>
      </c>
      <c r="AG219" s="3">
        <v>3</v>
      </c>
      <c r="AH219" s="3">
        <v>1</v>
      </c>
      <c r="AI219" s="3">
        <v>1</v>
      </c>
      <c r="AJ219" s="3">
        <v>0</v>
      </c>
      <c r="AK219" s="3">
        <v>0</v>
      </c>
      <c r="AL219" s="3">
        <v>2</v>
      </c>
      <c r="AM219" s="3">
        <v>2</v>
      </c>
      <c r="AN219" s="3">
        <v>0</v>
      </c>
      <c r="AO219" s="3">
        <v>0</v>
      </c>
      <c r="AP219" s="3">
        <v>0</v>
      </c>
      <c r="AQ219" s="3">
        <v>0</v>
      </c>
      <c r="AR219" s="2" t="s">
        <v>8</v>
      </c>
      <c r="AS219" s="2" t="s">
        <v>8</v>
      </c>
      <c r="AU219" s="5" t="str">
        <f>HYPERLINK("https://creighton-primo.hosted.exlibrisgroup.com/primo-explore/search?tab=default_tab&amp;search_scope=EVERYTHING&amp;vid=01CRU&amp;lang=en_US&amp;offset=0&amp;query=any,contains,991001364089702656","Catalog Record")</f>
        <v>Catalog Record</v>
      </c>
      <c r="AV219" s="5" t="str">
        <f>HYPERLINK("http://www.worldcat.org/oclc/21199179","WorldCat Record")</f>
        <v>WorldCat Record</v>
      </c>
      <c r="AW219" s="2" t="s">
        <v>2868</v>
      </c>
      <c r="AX219" s="2" t="s">
        <v>2869</v>
      </c>
      <c r="AY219" s="2" t="s">
        <v>2870</v>
      </c>
      <c r="AZ219" s="2" t="s">
        <v>2870</v>
      </c>
      <c r="BA219" s="2" t="s">
        <v>2871</v>
      </c>
      <c r="BB219" s="2" t="s">
        <v>21</v>
      </c>
      <c r="BD219" s="2" t="s">
        <v>2872</v>
      </c>
      <c r="BE219" s="2" t="s">
        <v>2873</v>
      </c>
      <c r="BF219" s="2" t="s">
        <v>2874</v>
      </c>
    </row>
    <row r="220" spans="1:58" ht="42.75" customHeight="1" x14ac:dyDescent="0.25">
      <c r="A220" s="8" t="s">
        <v>8</v>
      </c>
      <c r="B220" s="1" t="s">
        <v>0</v>
      </c>
      <c r="C220" s="1" t="s">
        <v>1</v>
      </c>
      <c r="D220" s="1" t="s">
        <v>2875</v>
      </c>
      <c r="E220" s="1" t="s">
        <v>2876</v>
      </c>
      <c r="F220" s="1" t="s">
        <v>2877</v>
      </c>
      <c r="H220" s="2" t="s">
        <v>8</v>
      </c>
      <c r="I220" s="2" t="s">
        <v>7</v>
      </c>
      <c r="J220" s="2" t="s">
        <v>8</v>
      </c>
      <c r="K220" s="2" t="s">
        <v>8</v>
      </c>
      <c r="L220" s="2" t="s">
        <v>9</v>
      </c>
      <c r="N220" s="1" t="s">
        <v>2878</v>
      </c>
      <c r="O220" s="2" t="s">
        <v>731</v>
      </c>
      <c r="Q220" s="2" t="s">
        <v>12</v>
      </c>
      <c r="R220" s="2" t="s">
        <v>456</v>
      </c>
      <c r="T220" s="2" t="s">
        <v>14</v>
      </c>
      <c r="U220" s="3">
        <v>5</v>
      </c>
      <c r="V220" s="3">
        <v>5</v>
      </c>
      <c r="W220" s="4" t="s">
        <v>2879</v>
      </c>
      <c r="X220" s="4" t="s">
        <v>2879</v>
      </c>
      <c r="Y220" s="4" t="s">
        <v>2880</v>
      </c>
      <c r="Z220" s="4" t="s">
        <v>2880</v>
      </c>
      <c r="AA220" s="3">
        <v>235</v>
      </c>
      <c r="AB220" s="3">
        <v>159</v>
      </c>
      <c r="AC220" s="3">
        <v>161</v>
      </c>
      <c r="AD220" s="3">
        <v>1</v>
      </c>
      <c r="AE220" s="3">
        <v>1</v>
      </c>
      <c r="AF220" s="3">
        <v>7</v>
      </c>
      <c r="AG220" s="3">
        <v>7</v>
      </c>
      <c r="AH220" s="3">
        <v>1</v>
      </c>
      <c r="AI220" s="3">
        <v>1</v>
      </c>
      <c r="AJ220" s="3">
        <v>2</v>
      </c>
      <c r="AK220" s="3">
        <v>2</v>
      </c>
      <c r="AL220" s="3">
        <v>4</v>
      </c>
      <c r="AM220" s="3">
        <v>4</v>
      </c>
      <c r="AN220" s="3">
        <v>0</v>
      </c>
      <c r="AO220" s="3">
        <v>0</v>
      </c>
      <c r="AP220" s="3">
        <v>0</v>
      </c>
      <c r="AQ220" s="3">
        <v>0</v>
      </c>
      <c r="AR220" s="2" t="s">
        <v>8</v>
      </c>
      <c r="AS220" s="2" t="s">
        <v>6</v>
      </c>
      <c r="AT220" s="5" t="str">
        <f>HYPERLINK("http://catalog.hathitrust.org/Record/003975670","HathiTrust Record")</f>
        <v>HathiTrust Record</v>
      </c>
      <c r="AU220" s="5" t="str">
        <f>HYPERLINK("https://creighton-primo.hosted.exlibrisgroup.com/primo-explore/search?tab=default_tab&amp;search_scope=EVERYTHING&amp;vid=01CRU&amp;lang=en_US&amp;offset=0&amp;query=any,contains,991000690889702656","Catalog Record")</f>
        <v>Catalog Record</v>
      </c>
      <c r="AV220" s="5" t="str">
        <f>HYPERLINK("http://www.worldcat.org/oclc/37616759","WorldCat Record")</f>
        <v>WorldCat Record</v>
      </c>
      <c r="AW220" s="2" t="s">
        <v>2881</v>
      </c>
      <c r="AX220" s="2" t="s">
        <v>2882</v>
      </c>
      <c r="AY220" s="2" t="s">
        <v>2883</v>
      </c>
      <c r="AZ220" s="2" t="s">
        <v>2883</v>
      </c>
      <c r="BA220" s="2" t="s">
        <v>2884</v>
      </c>
      <c r="BB220" s="2" t="s">
        <v>21</v>
      </c>
      <c r="BD220" s="2" t="s">
        <v>2885</v>
      </c>
      <c r="BE220" s="2" t="s">
        <v>2886</v>
      </c>
      <c r="BF220" s="2" t="s">
        <v>2887</v>
      </c>
    </row>
    <row r="221" spans="1:58" ht="42.75" customHeight="1" x14ac:dyDescent="0.25">
      <c r="A221" s="8" t="s">
        <v>8</v>
      </c>
      <c r="B221" s="1" t="s">
        <v>0</v>
      </c>
      <c r="C221" s="1" t="s">
        <v>1</v>
      </c>
      <c r="D221" s="1" t="s">
        <v>2888</v>
      </c>
      <c r="E221" s="1" t="s">
        <v>2889</v>
      </c>
      <c r="F221" s="1" t="s">
        <v>2890</v>
      </c>
      <c r="H221" s="2" t="s">
        <v>8</v>
      </c>
      <c r="I221" s="2" t="s">
        <v>7</v>
      </c>
      <c r="J221" s="2" t="s">
        <v>8</v>
      </c>
      <c r="K221" s="2" t="s">
        <v>8</v>
      </c>
      <c r="L221" s="2" t="s">
        <v>9</v>
      </c>
      <c r="N221" s="1" t="s">
        <v>2891</v>
      </c>
      <c r="O221" s="2" t="s">
        <v>614</v>
      </c>
      <c r="Q221" s="2" t="s">
        <v>12</v>
      </c>
      <c r="R221" s="2" t="s">
        <v>1170</v>
      </c>
      <c r="S221" s="1" t="s">
        <v>2892</v>
      </c>
      <c r="T221" s="2" t="s">
        <v>14</v>
      </c>
      <c r="U221" s="3">
        <v>10</v>
      </c>
      <c r="V221" s="3">
        <v>10</v>
      </c>
      <c r="W221" s="4" t="s">
        <v>2893</v>
      </c>
      <c r="X221" s="4" t="s">
        <v>2893</v>
      </c>
      <c r="Y221" s="4" t="s">
        <v>2894</v>
      </c>
      <c r="Z221" s="4" t="s">
        <v>2894</v>
      </c>
      <c r="AA221" s="3">
        <v>247</v>
      </c>
      <c r="AB221" s="3">
        <v>176</v>
      </c>
      <c r="AC221" s="3">
        <v>183</v>
      </c>
      <c r="AD221" s="3">
        <v>3</v>
      </c>
      <c r="AE221" s="3">
        <v>3</v>
      </c>
      <c r="AF221" s="3">
        <v>9</v>
      </c>
      <c r="AG221" s="3">
        <v>9</v>
      </c>
      <c r="AH221" s="3">
        <v>5</v>
      </c>
      <c r="AI221" s="3">
        <v>5</v>
      </c>
      <c r="AJ221" s="3">
        <v>1</v>
      </c>
      <c r="AK221" s="3">
        <v>1</v>
      </c>
      <c r="AL221" s="3">
        <v>6</v>
      </c>
      <c r="AM221" s="3">
        <v>6</v>
      </c>
      <c r="AN221" s="3">
        <v>1</v>
      </c>
      <c r="AO221" s="3">
        <v>1</v>
      </c>
      <c r="AP221" s="3">
        <v>0</v>
      </c>
      <c r="AQ221" s="3">
        <v>0</v>
      </c>
      <c r="AR221" s="2" t="s">
        <v>8</v>
      </c>
      <c r="AS221" s="2" t="s">
        <v>6</v>
      </c>
      <c r="AT221" s="5" t="str">
        <f>HYPERLINK("http://catalog.hathitrust.org/Record/002554663","HathiTrust Record")</f>
        <v>HathiTrust Record</v>
      </c>
      <c r="AU221" s="5" t="str">
        <f>HYPERLINK("https://creighton-primo.hosted.exlibrisgroup.com/primo-explore/search?tab=default_tab&amp;search_scope=EVERYTHING&amp;vid=01CRU&amp;lang=en_US&amp;offset=0&amp;query=any,contains,991001340609702656","Catalog Record")</f>
        <v>Catalog Record</v>
      </c>
      <c r="AV221" s="5" t="str">
        <f>HYPERLINK("http://www.worldcat.org/oclc/25245723","WorldCat Record")</f>
        <v>WorldCat Record</v>
      </c>
      <c r="AW221" s="2" t="s">
        <v>2895</v>
      </c>
      <c r="AX221" s="2" t="s">
        <v>2896</v>
      </c>
      <c r="AY221" s="2" t="s">
        <v>2897</v>
      </c>
      <c r="AZ221" s="2" t="s">
        <v>2897</v>
      </c>
      <c r="BA221" s="2" t="s">
        <v>2898</v>
      </c>
      <c r="BB221" s="2" t="s">
        <v>21</v>
      </c>
      <c r="BD221" s="2" t="s">
        <v>2899</v>
      </c>
      <c r="BE221" s="2" t="s">
        <v>2900</v>
      </c>
      <c r="BF221" s="2" t="s">
        <v>2901</v>
      </c>
    </row>
    <row r="222" spans="1:58" ht="42.75" customHeight="1" x14ac:dyDescent="0.25">
      <c r="A222" s="8" t="s">
        <v>8</v>
      </c>
      <c r="B222" s="1" t="s">
        <v>0</v>
      </c>
      <c r="C222" s="1" t="s">
        <v>1</v>
      </c>
      <c r="D222" s="1" t="s">
        <v>2902</v>
      </c>
      <c r="E222" s="1" t="s">
        <v>2903</v>
      </c>
      <c r="F222" s="1" t="s">
        <v>2904</v>
      </c>
      <c r="H222" s="2" t="s">
        <v>8</v>
      </c>
      <c r="I222" s="2" t="s">
        <v>7</v>
      </c>
      <c r="J222" s="2" t="s">
        <v>8</v>
      </c>
      <c r="K222" s="2" t="s">
        <v>8</v>
      </c>
      <c r="L222" s="2" t="s">
        <v>9</v>
      </c>
      <c r="N222" s="1" t="s">
        <v>2905</v>
      </c>
      <c r="O222" s="2" t="s">
        <v>51</v>
      </c>
      <c r="Q222" s="2" t="s">
        <v>12</v>
      </c>
      <c r="R222" s="2" t="s">
        <v>145</v>
      </c>
      <c r="S222" s="1" t="s">
        <v>2906</v>
      </c>
      <c r="T222" s="2" t="s">
        <v>14</v>
      </c>
      <c r="U222" s="3">
        <v>4</v>
      </c>
      <c r="V222" s="3">
        <v>4</v>
      </c>
      <c r="W222" s="4" t="s">
        <v>2769</v>
      </c>
      <c r="X222" s="4" t="s">
        <v>2769</v>
      </c>
      <c r="Y222" s="4" t="s">
        <v>2907</v>
      </c>
      <c r="Z222" s="4" t="s">
        <v>2907</v>
      </c>
      <c r="AA222" s="3">
        <v>366</v>
      </c>
      <c r="AB222" s="3">
        <v>272</v>
      </c>
      <c r="AC222" s="3">
        <v>284</v>
      </c>
      <c r="AD222" s="3">
        <v>1</v>
      </c>
      <c r="AE222" s="3">
        <v>1</v>
      </c>
      <c r="AF222" s="3">
        <v>24</v>
      </c>
      <c r="AG222" s="3">
        <v>25</v>
      </c>
      <c r="AH222" s="3">
        <v>8</v>
      </c>
      <c r="AI222" s="3">
        <v>9</v>
      </c>
      <c r="AJ222" s="3">
        <v>6</v>
      </c>
      <c r="AK222" s="3">
        <v>6</v>
      </c>
      <c r="AL222" s="3">
        <v>15</v>
      </c>
      <c r="AM222" s="3">
        <v>16</v>
      </c>
      <c r="AN222" s="3">
        <v>0</v>
      </c>
      <c r="AO222" s="3">
        <v>0</v>
      </c>
      <c r="AP222" s="3">
        <v>4</v>
      </c>
      <c r="AQ222" s="3">
        <v>4</v>
      </c>
      <c r="AR222" s="2" t="s">
        <v>8</v>
      </c>
      <c r="AS222" s="2" t="s">
        <v>8</v>
      </c>
      <c r="AU222" s="5" t="str">
        <f>HYPERLINK("https://creighton-primo.hosted.exlibrisgroup.com/primo-explore/search?tab=default_tab&amp;search_scope=EVERYTHING&amp;vid=01CRU&amp;lang=en_US&amp;offset=0&amp;query=any,contains,991001112179702656","Catalog Record")</f>
        <v>Catalog Record</v>
      </c>
      <c r="AV222" s="5" t="str">
        <f>HYPERLINK("http://www.worldcat.org/oclc/17676190","WorldCat Record")</f>
        <v>WorldCat Record</v>
      </c>
      <c r="AW222" s="2" t="s">
        <v>2908</v>
      </c>
      <c r="AX222" s="2" t="s">
        <v>2909</v>
      </c>
      <c r="AY222" s="2" t="s">
        <v>2910</v>
      </c>
      <c r="AZ222" s="2" t="s">
        <v>2910</v>
      </c>
      <c r="BA222" s="2" t="s">
        <v>2911</v>
      </c>
      <c r="BB222" s="2" t="s">
        <v>21</v>
      </c>
      <c r="BE222" s="2" t="s">
        <v>2912</v>
      </c>
      <c r="BF222" s="2" t="s">
        <v>2913</v>
      </c>
    </row>
    <row r="223" spans="1:58" ht="42.75" customHeight="1" x14ac:dyDescent="0.25">
      <c r="A223" s="8" t="s">
        <v>8</v>
      </c>
      <c r="B223" s="1" t="s">
        <v>0</v>
      </c>
      <c r="C223" s="1" t="s">
        <v>1</v>
      </c>
      <c r="D223" s="1" t="s">
        <v>2914</v>
      </c>
      <c r="E223" s="1" t="s">
        <v>2915</v>
      </c>
      <c r="F223" s="1" t="s">
        <v>2916</v>
      </c>
      <c r="H223" s="2" t="s">
        <v>8</v>
      </c>
      <c r="I223" s="2" t="s">
        <v>7</v>
      </c>
      <c r="J223" s="2" t="s">
        <v>8</v>
      </c>
      <c r="K223" s="2" t="s">
        <v>8</v>
      </c>
      <c r="L223" s="2" t="s">
        <v>9</v>
      </c>
      <c r="M223" s="1" t="s">
        <v>2917</v>
      </c>
      <c r="N223" s="1" t="s">
        <v>2918</v>
      </c>
      <c r="O223" s="2" t="s">
        <v>2919</v>
      </c>
      <c r="Q223" s="2" t="s">
        <v>12</v>
      </c>
      <c r="R223" s="2" t="s">
        <v>520</v>
      </c>
      <c r="T223" s="2" t="s">
        <v>14</v>
      </c>
      <c r="U223" s="3">
        <v>1</v>
      </c>
      <c r="V223" s="3">
        <v>1</v>
      </c>
      <c r="W223" s="4" t="s">
        <v>269</v>
      </c>
      <c r="X223" s="4" t="s">
        <v>269</v>
      </c>
      <c r="Y223" s="4" t="s">
        <v>1144</v>
      </c>
      <c r="Z223" s="4" t="s">
        <v>1144</v>
      </c>
      <c r="AA223" s="3">
        <v>278</v>
      </c>
      <c r="AB223" s="3">
        <v>234</v>
      </c>
      <c r="AC223" s="3">
        <v>236</v>
      </c>
      <c r="AD223" s="3">
        <v>1</v>
      </c>
      <c r="AE223" s="3">
        <v>1</v>
      </c>
      <c r="AF223" s="3">
        <v>8</v>
      </c>
      <c r="AG223" s="3">
        <v>8</v>
      </c>
      <c r="AH223" s="3">
        <v>0</v>
      </c>
      <c r="AI223" s="3">
        <v>0</v>
      </c>
      <c r="AJ223" s="3">
        <v>2</v>
      </c>
      <c r="AK223" s="3">
        <v>2</v>
      </c>
      <c r="AL223" s="3">
        <v>2</v>
      </c>
      <c r="AM223" s="3">
        <v>2</v>
      </c>
      <c r="AN223" s="3">
        <v>0</v>
      </c>
      <c r="AO223" s="3">
        <v>0</v>
      </c>
      <c r="AP223" s="3">
        <v>5</v>
      </c>
      <c r="AQ223" s="3">
        <v>5</v>
      </c>
      <c r="AR223" s="2" t="s">
        <v>8</v>
      </c>
      <c r="AS223" s="2" t="s">
        <v>6</v>
      </c>
      <c r="AT223" s="5" t="str">
        <f>HYPERLINK("http://catalog.hathitrust.org/Record/001577232","HathiTrust Record")</f>
        <v>HathiTrust Record</v>
      </c>
      <c r="AU223" s="5" t="str">
        <f>HYPERLINK("https://creighton-primo.hosted.exlibrisgroup.com/primo-explore/search?tab=default_tab&amp;search_scope=EVERYTHING&amp;vid=01CRU&amp;lang=en_US&amp;offset=0&amp;query=any,contains,991001177259702656","Catalog Record")</f>
        <v>Catalog Record</v>
      </c>
      <c r="AV223" s="5" t="str">
        <f>HYPERLINK("http://www.worldcat.org/oclc/1137998","WorldCat Record")</f>
        <v>WorldCat Record</v>
      </c>
      <c r="AW223" s="2" t="s">
        <v>2920</v>
      </c>
      <c r="AX223" s="2" t="s">
        <v>2921</v>
      </c>
      <c r="AY223" s="2" t="s">
        <v>2922</v>
      </c>
      <c r="AZ223" s="2" t="s">
        <v>2922</v>
      </c>
      <c r="BA223" s="2" t="s">
        <v>2923</v>
      </c>
      <c r="BB223" s="2" t="s">
        <v>21</v>
      </c>
      <c r="BD223" s="2" t="s">
        <v>2924</v>
      </c>
      <c r="BE223" s="2" t="s">
        <v>2925</v>
      </c>
      <c r="BF223" s="2" t="s">
        <v>2926</v>
      </c>
    </row>
    <row r="224" spans="1:58" ht="42.75" customHeight="1" x14ac:dyDescent="0.25">
      <c r="A224" s="8" t="s">
        <v>8</v>
      </c>
      <c r="B224" s="1" t="s">
        <v>0</v>
      </c>
      <c r="C224" s="1" t="s">
        <v>1</v>
      </c>
      <c r="D224" s="1" t="s">
        <v>2927</v>
      </c>
      <c r="E224" s="1" t="s">
        <v>2928</v>
      </c>
      <c r="F224" s="1" t="s">
        <v>2929</v>
      </c>
      <c r="H224" s="2" t="s">
        <v>8</v>
      </c>
      <c r="I224" s="2" t="s">
        <v>7</v>
      </c>
      <c r="J224" s="2" t="s">
        <v>8</v>
      </c>
      <c r="K224" s="2" t="s">
        <v>8</v>
      </c>
      <c r="L224" s="2" t="s">
        <v>9</v>
      </c>
      <c r="M224" s="1" t="s">
        <v>2930</v>
      </c>
      <c r="N224" s="1" t="s">
        <v>2931</v>
      </c>
      <c r="O224" s="2" t="s">
        <v>844</v>
      </c>
      <c r="P224" s="1" t="s">
        <v>1225</v>
      </c>
      <c r="Q224" s="2" t="s">
        <v>12</v>
      </c>
      <c r="R224" s="2" t="s">
        <v>13</v>
      </c>
      <c r="S224" s="1" t="s">
        <v>2932</v>
      </c>
      <c r="T224" s="2" t="s">
        <v>14</v>
      </c>
      <c r="U224" s="3">
        <v>5</v>
      </c>
      <c r="V224" s="3">
        <v>5</v>
      </c>
      <c r="W224" s="4" t="s">
        <v>2933</v>
      </c>
      <c r="X224" s="4" t="s">
        <v>2933</v>
      </c>
      <c r="Y224" s="4" t="s">
        <v>1552</v>
      </c>
      <c r="Z224" s="4" t="s">
        <v>1552</v>
      </c>
      <c r="AA224" s="3">
        <v>361</v>
      </c>
      <c r="AB224" s="3">
        <v>318</v>
      </c>
      <c r="AC224" s="3">
        <v>319</v>
      </c>
      <c r="AD224" s="3">
        <v>1</v>
      </c>
      <c r="AE224" s="3">
        <v>1</v>
      </c>
      <c r="AF224" s="3">
        <v>14</v>
      </c>
      <c r="AG224" s="3">
        <v>14</v>
      </c>
      <c r="AH224" s="3">
        <v>6</v>
      </c>
      <c r="AI224" s="3">
        <v>6</v>
      </c>
      <c r="AJ224" s="3">
        <v>2</v>
      </c>
      <c r="AK224" s="3">
        <v>2</v>
      </c>
      <c r="AL224" s="3">
        <v>9</v>
      </c>
      <c r="AM224" s="3">
        <v>9</v>
      </c>
      <c r="AN224" s="3">
        <v>0</v>
      </c>
      <c r="AO224" s="3">
        <v>0</v>
      </c>
      <c r="AP224" s="3">
        <v>1</v>
      </c>
      <c r="AQ224" s="3">
        <v>1</v>
      </c>
      <c r="AR224" s="2" t="s">
        <v>8</v>
      </c>
      <c r="AS224" s="2" t="s">
        <v>8</v>
      </c>
      <c r="AU224" s="5" t="str">
        <f>HYPERLINK("https://creighton-primo.hosted.exlibrisgroup.com/primo-explore/search?tab=default_tab&amp;search_scope=EVERYTHING&amp;vid=01CRU&amp;lang=en_US&amp;offset=0&amp;query=any,contains,991001399679702656","Catalog Record")</f>
        <v>Catalog Record</v>
      </c>
      <c r="AV224" s="5" t="str">
        <f>HYPERLINK("http://www.worldcat.org/oclc/30438347","WorldCat Record")</f>
        <v>WorldCat Record</v>
      </c>
      <c r="AW224" s="2" t="s">
        <v>2934</v>
      </c>
      <c r="AX224" s="2" t="s">
        <v>2935</v>
      </c>
      <c r="AY224" s="2" t="s">
        <v>2936</v>
      </c>
      <c r="AZ224" s="2" t="s">
        <v>2936</v>
      </c>
      <c r="BA224" s="2" t="s">
        <v>2937</v>
      </c>
      <c r="BB224" s="2" t="s">
        <v>21</v>
      </c>
      <c r="BD224" s="2" t="s">
        <v>2938</v>
      </c>
      <c r="BE224" s="2" t="s">
        <v>2939</v>
      </c>
      <c r="BF224" s="2" t="s">
        <v>2940</v>
      </c>
    </row>
    <row r="225" spans="1:58" ht="42.75" customHeight="1" x14ac:dyDescent="0.25">
      <c r="A225" s="8" t="s">
        <v>8</v>
      </c>
      <c r="B225" s="1" t="s">
        <v>0</v>
      </c>
      <c r="C225" s="1" t="s">
        <v>1</v>
      </c>
      <c r="D225" s="1" t="s">
        <v>2941</v>
      </c>
      <c r="E225" s="1" t="s">
        <v>2942</v>
      </c>
      <c r="F225" s="1" t="s">
        <v>2943</v>
      </c>
      <c r="H225" s="2" t="s">
        <v>8</v>
      </c>
      <c r="I225" s="2" t="s">
        <v>7</v>
      </c>
      <c r="J225" s="2" t="s">
        <v>8</v>
      </c>
      <c r="K225" s="2" t="s">
        <v>8</v>
      </c>
      <c r="L225" s="2" t="s">
        <v>9</v>
      </c>
      <c r="M225" s="1" t="s">
        <v>2944</v>
      </c>
      <c r="N225" s="1" t="s">
        <v>2945</v>
      </c>
      <c r="O225" s="2" t="s">
        <v>1459</v>
      </c>
      <c r="P225" s="1" t="s">
        <v>761</v>
      </c>
      <c r="Q225" s="2" t="s">
        <v>12</v>
      </c>
      <c r="R225" s="2" t="s">
        <v>1844</v>
      </c>
      <c r="T225" s="2" t="s">
        <v>14</v>
      </c>
      <c r="U225" s="3">
        <v>1</v>
      </c>
      <c r="V225" s="3">
        <v>1</v>
      </c>
      <c r="W225" s="4" t="s">
        <v>2946</v>
      </c>
      <c r="X225" s="4" t="s">
        <v>2946</v>
      </c>
      <c r="Y225" s="4" t="s">
        <v>1144</v>
      </c>
      <c r="Z225" s="4" t="s">
        <v>1144</v>
      </c>
      <c r="AA225" s="3">
        <v>47</v>
      </c>
      <c r="AB225" s="3">
        <v>44</v>
      </c>
      <c r="AC225" s="3">
        <v>86</v>
      </c>
      <c r="AD225" s="3">
        <v>2</v>
      </c>
      <c r="AE225" s="3">
        <v>3</v>
      </c>
      <c r="AF225" s="3">
        <v>4</v>
      </c>
      <c r="AG225" s="3">
        <v>5</v>
      </c>
      <c r="AH225" s="3">
        <v>2</v>
      </c>
      <c r="AI225" s="3">
        <v>2</v>
      </c>
      <c r="AJ225" s="3">
        <v>1</v>
      </c>
      <c r="AK225" s="3">
        <v>1</v>
      </c>
      <c r="AL225" s="3">
        <v>0</v>
      </c>
      <c r="AM225" s="3">
        <v>0</v>
      </c>
      <c r="AN225" s="3">
        <v>1</v>
      </c>
      <c r="AO225" s="3">
        <v>2</v>
      </c>
      <c r="AP225" s="3">
        <v>0</v>
      </c>
      <c r="AQ225" s="3">
        <v>0</v>
      </c>
      <c r="AR225" s="2" t="s">
        <v>8</v>
      </c>
      <c r="AS225" s="2" t="s">
        <v>6</v>
      </c>
      <c r="AT225" s="5" t="str">
        <f>HYPERLINK("http://catalog.hathitrust.org/Record/001573488","HathiTrust Record")</f>
        <v>HathiTrust Record</v>
      </c>
      <c r="AU225" s="5" t="str">
        <f>HYPERLINK("https://creighton-primo.hosted.exlibrisgroup.com/primo-explore/search?tab=default_tab&amp;search_scope=EVERYTHING&amp;vid=01CRU&amp;lang=en_US&amp;offset=0&amp;query=any,contains,991001177179702656","Catalog Record")</f>
        <v>Catalog Record</v>
      </c>
      <c r="AV225" s="5" t="str">
        <f>HYPERLINK("http://www.worldcat.org/oclc/378948","WorldCat Record")</f>
        <v>WorldCat Record</v>
      </c>
      <c r="AW225" s="2" t="s">
        <v>2947</v>
      </c>
      <c r="AX225" s="2" t="s">
        <v>2948</v>
      </c>
      <c r="AY225" s="2" t="s">
        <v>2949</v>
      </c>
      <c r="AZ225" s="2" t="s">
        <v>2949</v>
      </c>
      <c r="BA225" s="2" t="s">
        <v>2950</v>
      </c>
      <c r="BB225" s="2" t="s">
        <v>21</v>
      </c>
      <c r="BE225" s="2" t="s">
        <v>2951</v>
      </c>
      <c r="BF225" s="2" t="s">
        <v>2952</v>
      </c>
    </row>
    <row r="226" spans="1:58" ht="42.75" customHeight="1" x14ac:dyDescent="0.25">
      <c r="A226" s="8" t="s">
        <v>8</v>
      </c>
      <c r="B226" s="1" t="s">
        <v>0</v>
      </c>
      <c r="C226" s="1" t="s">
        <v>1</v>
      </c>
      <c r="D226" s="1" t="s">
        <v>2953</v>
      </c>
      <c r="E226" s="1" t="s">
        <v>2954</v>
      </c>
      <c r="F226" s="1" t="s">
        <v>2955</v>
      </c>
      <c r="G226" s="2" t="s">
        <v>5</v>
      </c>
      <c r="H226" s="2" t="s">
        <v>6</v>
      </c>
      <c r="I226" s="2" t="s">
        <v>7</v>
      </c>
      <c r="J226" s="2" t="s">
        <v>8</v>
      </c>
      <c r="K226" s="2" t="s">
        <v>8</v>
      </c>
      <c r="L226" s="2" t="s">
        <v>9</v>
      </c>
      <c r="M226" s="1" t="s">
        <v>2956</v>
      </c>
      <c r="N226" s="1" t="s">
        <v>2957</v>
      </c>
      <c r="O226" s="2" t="s">
        <v>1629</v>
      </c>
      <c r="P226" s="1" t="s">
        <v>83</v>
      </c>
      <c r="Q226" s="2" t="s">
        <v>12</v>
      </c>
      <c r="R226" s="2" t="s">
        <v>13</v>
      </c>
      <c r="T226" s="2" t="s">
        <v>14</v>
      </c>
      <c r="U226" s="3">
        <v>3</v>
      </c>
      <c r="V226" s="3">
        <v>6</v>
      </c>
      <c r="W226" s="4" t="s">
        <v>2958</v>
      </c>
      <c r="X226" s="4" t="s">
        <v>2958</v>
      </c>
      <c r="Y226" s="4" t="s">
        <v>2959</v>
      </c>
      <c r="Z226" s="4" t="s">
        <v>2959</v>
      </c>
      <c r="AA226" s="3">
        <v>14</v>
      </c>
      <c r="AB226" s="3">
        <v>14</v>
      </c>
      <c r="AC226" s="3">
        <v>24</v>
      </c>
      <c r="AD226" s="3">
        <v>1</v>
      </c>
      <c r="AE226" s="3">
        <v>1</v>
      </c>
      <c r="AF226" s="3">
        <v>0</v>
      </c>
      <c r="AG226" s="3">
        <v>0</v>
      </c>
      <c r="AH226" s="3">
        <v>0</v>
      </c>
      <c r="AI226" s="3">
        <v>0</v>
      </c>
      <c r="AJ226" s="3">
        <v>0</v>
      </c>
      <c r="AK226" s="3">
        <v>0</v>
      </c>
      <c r="AL226" s="3">
        <v>0</v>
      </c>
      <c r="AM226" s="3">
        <v>0</v>
      </c>
      <c r="AN226" s="3">
        <v>0</v>
      </c>
      <c r="AO226" s="3">
        <v>0</v>
      </c>
      <c r="AP226" s="3">
        <v>0</v>
      </c>
      <c r="AQ226" s="3">
        <v>0</v>
      </c>
      <c r="AR226" s="2" t="s">
        <v>8</v>
      </c>
      <c r="AS226" s="2" t="s">
        <v>8</v>
      </c>
      <c r="AU226" s="5" t="str">
        <f>HYPERLINK("https://creighton-primo.hosted.exlibrisgroup.com/primo-explore/search?tab=default_tab&amp;search_scope=EVERYTHING&amp;vid=01CRU&amp;lang=en_US&amp;offset=0&amp;query=any,contains,991000764229702656","Catalog Record")</f>
        <v>Catalog Record</v>
      </c>
      <c r="AV226" s="5" t="str">
        <f>HYPERLINK("http://www.worldcat.org/oclc/15228707","WorldCat Record")</f>
        <v>WorldCat Record</v>
      </c>
      <c r="AW226" s="2" t="s">
        <v>2960</v>
      </c>
      <c r="AX226" s="2" t="s">
        <v>2961</v>
      </c>
      <c r="AY226" s="2" t="s">
        <v>2962</v>
      </c>
      <c r="AZ226" s="2" t="s">
        <v>2962</v>
      </c>
      <c r="BA226" s="2" t="s">
        <v>2963</v>
      </c>
      <c r="BB226" s="2" t="s">
        <v>21</v>
      </c>
      <c r="BE226" s="2" t="s">
        <v>2964</v>
      </c>
      <c r="BF226" s="2" t="s">
        <v>2965</v>
      </c>
    </row>
    <row r="227" spans="1:58" ht="42.75" customHeight="1" x14ac:dyDescent="0.25">
      <c r="A227" s="8" t="s">
        <v>8</v>
      </c>
      <c r="B227" s="1" t="s">
        <v>0</v>
      </c>
      <c r="C227" s="1" t="s">
        <v>1</v>
      </c>
      <c r="D227" s="1" t="s">
        <v>2953</v>
      </c>
      <c r="E227" s="1" t="s">
        <v>2954</v>
      </c>
      <c r="F227" s="1" t="s">
        <v>2955</v>
      </c>
      <c r="G227" s="2" t="s">
        <v>25</v>
      </c>
      <c r="H227" s="2" t="s">
        <v>6</v>
      </c>
      <c r="I227" s="2" t="s">
        <v>7</v>
      </c>
      <c r="J227" s="2" t="s">
        <v>8</v>
      </c>
      <c r="K227" s="2" t="s">
        <v>8</v>
      </c>
      <c r="L227" s="2" t="s">
        <v>9</v>
      </c>
      <c r="M227" s="1" t="s">
        <v>2956</v>
      </c>
      <c r="N227" s="1" t="s">
        <v>2957</v>
      </c>
      <c r="O227" s="2" t="s">
        <v>1629</v>
      </c>
      <c r="P227" s="1" t="s">
        <v>83</v>
      </c>
      <c r="Q227" s="2" t="s">
        <v>12</v>
      </c>
      <c r="R227" s="2" t="s">
        <v>13</v>
      </c>
      <c r="T227" s="2" t="s">
        <v>14</v>
      </c>
      <c r="U227" s="3">
        <v>3</v>
      </c>
      <c r="V227" s="3">
        <v>6</v>
      </c>
      <c r="W227" s="4" t="s">
        <v>2958</v>
      </c>
      <c r="X227" s="4" t="s">
        <v>2958</v>
      </c>
      <c r="Y227" s="4" t="s">
        <v>2959</v>
      </c>
      <c r="Z227" s="4" t="s">
        <v>2959</v>
      </c>
      <c r="AA227" s="3">
        <v>14</v>
      </c>
      <c r="AB227" s="3">
        <v>14</v>
      </c>
      <c r="AC227" s="3">
        <v>24</v>
      </c>
      <c r="AD227" s="3">
        <v>1</v>
      </c>
      <c r="AE227" s="3">
        <v>1</v>
      </c>
      <c r="AF227" s="3">
        <v>0</v>
      </c>
      <c r="AG227" s="3">
        <v>0</v>
      </c>
      <c r="AH227" s="3">
        <v>0</v>
      </c>
      <c r="AI227" s="3">
        <v>0</v>
      </c>
      <c r="AJ227" s="3">
        <v>0</v>
      </c>
      <c r="AK227" s="3">
        <v>0</v>
      </c>
      <c r="AL227" s="3">
        <v>0</v>
      </c>
      <c r="AM227" s="3">
        <v>0</v>
      </c>
      <c r="AN227" s="3">
        <v>0</v>
      </c>
      <c r="AO227" s="3">
        <v>0</v>
      </c>
      <c r="AP227" s="3">
        <v>0</v>
      </c>
      <c r="AQ227" s="3">
        <v>0</v>
      </c>
      <c r="AR227" s="2" t="s">
        <v>8</v>
      </c>
      <c r="AS227" s="2" t="s">
        <v>8</v>
      </c>
      <c r="AU227" s="5" t="str">
        <f>HYPERLINK("https://creighton-primo.hosted.exlibrisgroup.com/primo-explore/search?tab=default_tab&amp;search_scope=EVERYTHING&amp;vid=01CRU&amp;lang=en_US&amp;offset=0&amp;query=any,contains,991000764229702656","Catalog Record")</f>
        <v>Catalog Record</v>
      </c>
      <c r="AV227" s="5" t="str">
        <f>HYPERLINK("http://www.worldcat.org/oclc/15228707","WorldCat Record")</f>
        <v>WorldCat Record</v>
      </c>
      <c r="AW227" s="2" t="s">
        <v>2960</v>
      </c>
      <c r="AX227" s="2" t="s">
        <v>2961</v>
      </c>
      <c r="AY227" s="2" t="s">
        <v>2962</v>
      </c>
      <c r="AZ227" s="2" t="s">
        <v>2962</v>
      </c>
      <c r="BA227" s="2" t="s">
        <v>2963</v>
      </c>
      <c r="BB227" s="2" t="s">
        <v>21</v>
      </c>
      <c r="BE227" s="2" t="s">
        <v>2966</v>
      </c>
      <c r="BF227" s="2" t="s">
        <v>2967</v>
      </c>
    </row>
    <row r="228" spans="1:58" ht="42.75" customHeight="1" x14ac:dyDescent="0.25">
      <c r="A228" s="8" t="s">
        <v>8</v>
      </c>
      <c r="B228" s="1" t="s">
        <v>0</v>
      </c>
      <c r="C228" s="1" t="s">
        <v>1</v>
      </c>
      <c r="D228" s="1" t="s">
        <v>2968</v>
      </c>
      <c r="E228" s="1" t="s">
        <v>2969</v>
      </c>
      <c r="F228" s="1" t="s">
        <v>2970</v>
      </c>
      <c r="H228" s="2" t="s">
        <v>8</v>
      </c>
      <c r="I228" s="2" t="s">
        <v>7</v>
      </c>
      <c r="J228" s="2" t="s">
        <v>8</v>
      </c>
      <c r="K228" s="2" t="s">
        <v>8</v>
      </c>
      <c r="L228" s="2" t="s">
        <v>9</v>
      </c>
      <c r="M228" s="1" t="s">
        <v>2971</v>
      </c>
      <c r="N228" s="1" t="s">
        <v>2972</v>
      </c>
      <c r="O228" s="2" t="s">
        <v>602</v>
      </c>
      <c r="Q228" s="2" t="s">
        <v>12</v>
      </c>
      <c r="R228" s="2" t="s">
        <v>520</v>
      </c>
      <c r="T228" s="2" t="s">
        <v>14</v>
      </c>
      <c r="U228" s="3">
        <v>4</v>
      </c>
      <c r="V228" s="3">
        <v>4</v>
      </c>
      <c r="W228" s="4" t="s">
        <v>2973</v>
      </c>
      <c r="X228" s="4" t="s">
        <v>2973</v>
      </c>
      <c r="Y228" s="4" t="s">
        <v>2974</v>
      </c>
      <c r="Z228" s="4" t="s">
        <v>2974</v>
      </c>
      <c r="AA228" s="3">
        <v>88</v>
      </c>
      <c r="AB228" s="3">
        <v>83</v>
      </c>
      <c r="AC228" s="3">
        <v>85</v>
      </c>
      <c r="AD228" s="3">
        <v>1</v>
      </c>
      <c r="AE228" s="3">
        <v>1</v>
      </c>
      <c r="AF228" s="3">
        <v>5</v>
      </c>
      <c r="AG228" s="3">
        <v>5</v>
      </c>
      <c r="AH228" s="3">
        <v>0</v>
      </c>
      <c r="AI228" s="3">
        <v>0</v>
      </c>
      <c r="AJ228" s="3">
        <v>3</v>
      </c>
      <c r="AK228" s="3">
        <v>3</v>
      </c>
      <c r="AL228" s="3">
        <v>3</v>
      </c>
      <c r="AM228" s="3">
        <v>3</v>
      </c>
      <c r="AN228" s="3">
        <v>0</v>
      </c>
      <c r="AO228" s="3">
        <v>0</v>
      </c>
      <c r="AP228" s="3">
        <v>0</v>
      </c>
      <c r="AQ228" s="3">
        <v>0</v>
      </c>
      <c r="AR228" s="2" t="s">
        <v>8</v>
      </c>
      <c r="AS228" s="2" t="s">
        <v>6</v>
      </c>
      <c r="AT228" s="5" t="str">
        <f>HYPERLINK("http://catalog.hathitrust.org/Record/002635443","HathiTrust Record")</f>
        <v>HathiTrust Record</v>
      </c>
      <c r="AU228" s="5" t="str">
        <f>HYPERLINK("https://creighton-primo.hosted.exlibrisgroup.com/primo-explore/search?tab=default_tab&amp;search_scope=EVERYTHING&amp;vid=01CRU&amp;lang=en_US&amp;offset=0&amp;query=any,contains,991001305989702656","Catalog Record")</f>
        <v>Catalog Record</v>
      </c>
      <c r="AV228" s="5" t="str">
        <f>HYPERLINK("http://www.worldcat.org/oclc/25500799","WorldCat Record")</f>
        <v>WorldCat Record</v>
      </c>
      <c r="AW228" s="2" t="s">
        <v>2975</v>
      </c>
      <c r="AX228" s="2" t="s">
        <v>2976</v>
      </c>
      <c r="AY228" s="2" t="s">
        <v>2977</v>
      </c>
      <c r="AZ228" s="2" t="s">
        <v>2977</v>
      </c>
      <c r="BA228" s="2" t="s">
        <v>2978</v>
      </c>
      <c r="BB228" s="2" t="s">
        <v>21</v>
      </c>
      <c r="BD228" s="2" t="s">
        <v>2979</v>
      </c>
      <c r="BE228" s="2" t="s">
        <v>2980</v>
      </c>
      <c r="BF228" s="2" t="s">
        <v>2981</v>
      </c>
    </row>
    <row r="229" spans="1:58" ht="42.75" customHeight="1" x14ac:dyDescent="0.25">
      <c r="A229" s="8" t="s">
        <v>8</v>
      </c>
      <c r="B229" s="1" t="s">
        <v>0</v>
      </c>
      <c r="C229" s="1" t="s">
        <v>1</v>
      </c>
      <c r="D229" s="1" t="s">
        <v>2982</v>
      </c>
      <c r="E229" s="1" t="s">
        <v>2983</v>
      </c>
      <c r="F229" s="1" t="s">
        <v>2984</v>
      </c>
      <c r="H229" s="2" t="s">
        <v>8</v>
      </c>
      <c r="I229" s="2" t="s">
        <v>7</v>
      </c>
      <c r="J229" s="2" t="s">
        <v>8</v>
      </c>
      <c r="K229" s="2" t="s">
        <v>8</v>
      </c>
      <c r="L229" s="2" t="s">
        <v>9</v>
      </c>
      <c r="M229" s="1" t="s">
        <v>2985</v>
      </c>
      <c r="N229" s="1" t="s">
        <v>2986</v>
      </c>
      <c r="O229" s="2" t="s">
        <v>410</v>
      </c>
      <c r="Q229" s="2" t="s">
        <v>12</v>
      </c>
      <c r="R229" s="2" t="s">
        <v>520</v>
      </c>
      <c r="T229" s="2" t="s">
        <v>14</v>
      </c>
      <c r="U229" s="3">
        <v>15</v>
      </c>
      <c r="V229" s="3">
        <v>15</v>
      </c>
      <c r="W229" s="4" t="s">
        <v>2987</v>
      </c>
      <c r="X229" s="4" t="s">
        <v>2987</v>
      </c>
      <c r="Y229" s="4" t="s">
        <v>1087</v>
      </c>
      <c r="Z229" s="4" t="s">
        <v>1087</v>
      </c>
      <c r="AA229" s="3">
        <v>34</v>
      </c>
      <c r="AB229" s="3">
        <v>32</v>
      </c>
      <c r="AC229" s="3">
        <v>43</v>
      </c>
      <c r="AD229" s="3">
        <v>1</v>
      </c>
      <c r="AE229" s="3">
        <v>1</v>
      </c>
      <c r="AF229" s="3">
        <v>0</v>
      </c>
      <c r="AG229" s="3">
        <v>0</v>
      </c>
      <c r="AH229" s="3">
        <v>0</v>
      </c>
      <c r="AI229" s="3">
        <v>0</v>
      </c>
      <c r="AJ229" s="3">
        <v>0</v>
      </c>
      <c r="AK229" s="3">
        <v>0</v>
      </c>
      <c r="AL229" s="3">
        <v>0</v>
      </c>
      <c r="AM229" s="3">
        <v>0</v>
      </c>
      <c r="AN229" s="3">
        <v>0</v>
      </c>
      <c r="AO229" s="3">
        <v>0</v>
      </c>
      <c r="AP229" s="3">
        <v>0</v>
      </c>
      <c r="AQ229" s="3">
        <v>0</v>
      </c>
      <c r="AR229" s="2" t="s">
        <v>8</v>
      </c>
      <c r="AS229" s="2" t="s">
        <v>6</v>
      </c>
      <c r="AT229" s="5" t="str">
        <f>HYPERLINK("http://catalog.hathitrust.org/Record/002654934","HathiTrust Record")</f>
        <v>HathiTrust Record</v>
      </c>
      <c r="AU229" s="5" t="str">
        <f>HYPERLINK("https://creighton-primo.hosted.exlibrisgroup.com/primo-explore/search?tab=default_tab&amp;search_scope=EVERYTHING&amp;vid=01CRU&amp;lang=en_US&amp;offset=0&amp;query=any,contains,991001232999702656","Catalog Record")</f>
        <v>Catalog Record</v>
      </c>
      <c r="AV229" s="5" t="str">
        <f>HYPERLINK("http://www.worldcat.org/oclc/26820710","WorldCat Record")</f>
        <v>WorldCat Record</v>
      </c>
      <c r="AW229" s="2" t="s">
        <v>2988</v>
      </c>
      <c r="AX229" s="2" t="s">
        <v>2989</v>
      </c>
      <c r="AY229" s="2" t="s">
        <v>2990</v>
      </c>
      <c r="AZ229" s="2" t="s">
        <v>2990</v>
      </c>
      <c r="BA229" s="2" t="s">
        <v>2991</v>
      </c>
      <c r="BB229" s="2" t="s">
        <v>21</v>
      </c>
      <c r="BD229" s="2" t="s">
        <v>2992</v>
      </c>
      <c r="BE229" s="2" t="s">
        <v>2993</v>
      </c>
      <c r="BF229" s="2" t="s">
        <v>2994</v>
      </c>
    </row>
    <row r="230" spans="1:58" ht="42.75" customHeight="1" x14ac:dyDescent="0.25">
      <c r="A230" s="8" t="s">
        <v>8</v>
      </c>
      <c r="B230" s="1" t="s">
        <v>0</v>
      </c>
      <c r="C230" s="1" t="s">
        <v>1</v>
      </c>
      <c r="D230" s="1" t="s">
        <v>2995</v>
      </c>
      <c r="E230" s="1" t="s">
        <v>2996</v>
      </c>
      <c r="F230" s="1" t="s">
        <v>2997</v>
      </c>
      <c r="H230" s="2" t="s">
        <v>8</v>
      </c>
      <c r="I230" s="2" t="s">
        <v>7</v>
      </c>
      <c r="J230" s="2" t="s">
        <v>8</v>
      </c>
      <c r="K230" s="2" t="s">
        <v>8</v>
      </c>
      <c r="L230" s="2" t="s">
        <v>9</v>
      </c>
      <c r="M230" s="1" t="s">
        <v>2998</v>
      </c>
      <c r="O230" s="2" t="s">
        <v>602</v>
      </c>
      <c r="Q230" s="2" t="s">
        <v>12</v>
      </c>
      <c r="R230" s="2" t="s">
        <v>1252</v>
      </c>
      <c r="T230" s="2" t="s">
        <v>14</v>
      </c>
      <c r="U230" s="3">
        <v>4</v>
      </c>
      <c r="V230" s="3">
        <v>4</v>
      </c>
      <c r="W230" s="4" t="s">
        <v>2999</v>
      </c>
      <c r="X230" s="4" t="s">
        <v>2999</v>
      </c>
      <c r="Y230" s="4" t="s">
        <v>3000</v>
      </c>
      <c r="Z230" s="4" t="s">
        <v>3000</v>
      </c>
      <c r="AA230" s="3">
        <v>24</v>
      </c>
      <c r="AB230" s="3">
        <v>24</v>
      </c>
      <c r="AC230" s="3">
        <v>26</v>
      </c>
      <c r="AD230" s="3">
        <v>1</v>
      </c>
      <c r="AE230" s="3">
        <v>1</v>
      </c>
      <c r="AF230" s="3">
        <v>1</v>
      </c>
      <c r="AG230" s="3">
        <v>1</v>
      </c>
      <c r="AH230" s="3">
        <v>0</v>
      </c>
      <c r="AI230" s="3">
        <v>0</v>
      </c>
      <c r="AJ230" s="3">
        <v>0</v>
      </c>
      <c r="AK230" s="3">
        <v>0</v>
      </c>
      <c r="AL230" s="3">
        <v>1</v>
      </c>
      <c r="AM230" s="3">
        <v>1</v>
      </c>
      <c r="AN230" s="3">
        <v>0</v>
      </c>
      <c r="AO230" s="3">
        <v>0</v>
      </c>
      <c r="AP230" s="3">
        <v>0</v>
      </c>
      <c r="AQ230" s="3">
        <v>0</v>
      </c>
      <c r="AR230" s="2" t="s">
        <v>8</v>
      </c>
      <c r="AS230" s="2" t="s">
        <v>6</v>
      </c>
      <c r="AT230" s="5" t="str">
        <f>HYPERLINK("http://catalog.hathitrust.org/Record/002566895","HathiTrust Record")</f>
        <v>HathiTrust Record</v>
      </c>
      <c r="AU230" s="5" t="str">
        <f>HYPERLINK("https://creighton-primo.hosted.exlibrisgroup.com/primo-explore/search?tab=default_tab&amp;search_scope=EVERYTHING&amp;vid=01CRU&amp;lang=en_US&amp;offset=0&amp;query=any,contains,991001477769702656","Catalog Record")</f>
        <v>Catalog Record</v>
      </c>
      <c r="AV230" s="5" t="str">
        <f>HYPERLINK("http://www.worldcat.org/oclc/28510746","WorldCat Record")</f>
        <v>WorldCat Record</v>
      </c>
      <c r="AW230" s="2" t="s">
        <v>3001</v>
      </c>
      <c r="AX230" s="2" t="s">
        <v>3002</v>
      </c>
      <c r="AY230" s="2" t="s">
        <v>3003</v>
      </c>
      <c r="AZ230" s="2" t="s">
        <v>3003</v>
      </c>
      <c r="BA230" s="2" t="s">
        <v>3004</v>
      </c>
      <c r="BB230" s="2" t="s">
        <v>21</v>
      </c>
      <c r="BE230" s="2" t="s">
        <v>3005</v>
      </c>
      <c r="BF230" s="2" t="s">
        <v>3006</v>
      </c>
    </row>
    <row r="231" spans="1:58" ht="42.75" customHeight="1" x14ac:dyDescent="0.25">
      <c r="A231" s="8" t="s">
        <v>8</v>
      </c>
      <c r="B231" s="1" t="s">
        <v>0</v>
      </c>
      <c r="C231" s="1" t="s">
        <v>1</v>
      </c>
      <c r="D231" s="1" t="s">
        <v>3007</v>
      </c>
      <c r="E231" s="1" t="s">
        <v>3008</v>
      </c>
      <c r="F231" s="1" t="s">
        <v>3009</v>
      </c>
      <c r="H231" s="2" t="s">
        <v>8</v>
      </c>
      <c r="I231" s="2" t="s">
        <v>7</v>
      </c>
      <c r="J231" s="2" t="s">
        <v>8</v>
      </c>
      <c r="K231" s="2" t="s">
        <v>8</v>
      </c>
      <c r="L231" s="2" t="s">
        <v>9</v>
      </c>
      <c r="M231" s="1" t="s">
        <v>3010</v>
      </c>
      <c r="N231" s="1" t="s">
        <v>3011</v>
      </c>
      <c r="O231" s="2" t="s">
        <v>67</v>
      </c>
      <c r="Q231" s="2" t="s">
        <v>12</v>
      </c>
      <c r="R231" s="2" t="s">
        <v>34</v>
      </c>
      <c r="T231" s="2" t="s">
        <v>14</v>
      </c>
      <c r="U231" s="3">
        <v>13</v>
      </c>
      <c r="V231" s="3">
        <v>13</v>
      </c>
      <c r="W231" s="4" t="s">
        <v>2958</v>
      </c>
      <c r="X231" s="4" t="s">
        <v>2958</v>
      </c>
      <c r="Y231" s="4" t="s">
        <v>2327</v>
      </c>
      <c r="Z231" s="4" t="s">
        <v>2327</v>
      </c>
      <c r="AA231" s="3">
        <v>199</v>
      </c>
      <c r="AB231" s="3">
        <v>158</v>
      </c>
      <c r="AC231" s="3">
        <v>259</v>
      </c>
      <c r="AD231" s="3">
        <v>2</v>
      </c>
      <c r="AE231" s="3">
        <v>2</v>
      </c>
      <c r="AF231" s="3">
        <v>5</v>
      </c>
      <c r="AG231" s="3">
        <v>8</v>
      </c>
      <c r="AH231" s="3">
        <v>1</v>
      </c>
      <c r="AI231" s="3">
        <v>1</v>
      </c>
      <c r="AJ231" s="3">
        <v>1</v>
      </c>
      <c r="AK231" s="3">
        <v>2</v>
      </c>
      <c r="AL231" s="3">
        <v>4</v>
      </c>
      <c r="AM231" s="3">
        <v>7</v>
      </c>
      <c r="AN231" s="3">
        <v>1</v>
      </c>
      <c r="AO231" s="3">
        <v>1</v>
      </c>
      <c r="AP231" s="3">
        <v>0</v>
      </c>
      <c r="AQ231" s="3">
        <v>0</v>
      </c>
      <c r="AR231" s="2" t="s">
        <v>8</v>
      </c>
      <c r="AS231" s="2" t="s">
        <v>6</v>
      </c>
      <c r="AT231" s="5" t="str">
        <f>HYPERLINK("http://catalog.hathitrust.org/Record/000418047","HathiTrust Record")</f>
        <v>HathiTrust Record</v>
      </c>
      <c r="AU231" s="5" t="str">
        <f>HYPERLINK("https://creighton-primo.hosted.exlibrisgroup.com/primo-explore/search?tab=default_tab&amp;search_scope=EVERYTHING&amp;vid=01CRU&amp;lang=en_US&amp;offset=0&amp;query=any,contains,991001177019702656","Catalog Record")</f>
        <v>Catalog Record</v>
      </c>
      <c r="AV231" s="5" t="str">
        <f>HYPERLINK("http://www.worldcat.org/oclc/11623382","WorldCat Record")</f>
        <v>WorldCat Record</v>
      </c>
      <c r="AW231" s="2" t="s">
        <v>3012</v>
      </c>
      <c r="AX231" s="2" t="s">
        <v>3013</v>
      </c>
      <c r="AY231" s="2" t="s">
        <v>3014</v>
      </c>
      <c r="AZ231" s="2" t="s">
        <v>3014</v>
      </c>
      <c r="BA231" s="2" t="s">
        <v>3015</v>
      </c>
      <c r="BB231" s="2" t="s">
        <v>21</v>
      </c>
      <c r="BD231" s="2" t="s">
        <v>3016</v>
      </c>
      <c r="BE231" s="2" t="s">
        <v>3017</v>
      </c>
      <c r="BF231" s="2" t="s">
        <v>3018</v>
      </c>
    </row>
    <row r="232" spans="1:58" ht="42.75" customHeight="1" x14ac:dyDescent="0.25">
      <c r="A232" s="8" t="s">
        <v>8</v>
      </c>
      <c r="B232" s="1" t="s">
        <v>0</v>
      </c>
      <c r="C232" s="1" t="s">
        <v>1</v>
      </c>
      <c r="D232" s="1" t="s">
        <v>3019</v>
      </c>
      <c r="E232" s="1" t="s">
        <v>3020</v>
      </c>
      <c r="F232" s="1" t="s">
        <v>3021</v>
      </c>
      <c r="H232" s="2" t="s">
        <v>8</v>
      </c>
      <c r="I232" s="2" t="s">
        <v>7</v>
      </c>
      <c r="J232" s="2" t="s">
        <v>8</v>
      </c>
      <c r="K232" s="2" t="s">
        <v>8</v>
      </c>
      <c r="L232" s="2" t="s">
        <v>9</v>
      </c>
      <c r="M232" s="1" t="s">
        <v>3022</v>
      </c>
      <c r="N232" s="1" t="s">
        <v>3023</v>
      </c>
      <c r="O232" s="2" t="s">
        <v>1459</v>
      </c>
      <c r="Q232" s="2" t="s">
        <v>12</v>
      </c>
      <c r="R232" s="2" t="s">
        <v>13</v>
      </c>
      <c r="S232" s="1" t="s">
        <v>3024</v>
      </c>
      <c r="T232" s="2" t="s">
        <v>14</v>
      </c>
      <c r="U232" s="3">
        <v>2</v>
      </c>
      <c r="V232" s="3">
        <v>2</v>
      </c>
      <c r="W232" s="4" t="s">
        <v>3025</v>
      </c>
      <c r="X232" s="4" t="s">
        <v>3025</v>
      </c>
      <c r="Y232" s="4" t="s">
        <v>2327</v>
      </c>
      <c r="Z232" s="4" t="s">
        <v>2327</v>
      </c>
      <c r="AA232" s="3">
        <v>82</v>
      </c>
      <c r="AB232" s="3">
        <v>74</v>
      </c>
      <c r="AC232" s="3">
        <v>155</v>
      </c>
      <c r="AD232" s="3">
        <v>1</v>
      </c>
      <c r="AE232" s="3">
        <v>1</v>
      </c>
      <c r="AF232" s="3">
        <v>2</v>
      </c>
      <c r="AG232" s="3">
        <v>4</v>
      </c>
      <c r="AH232" s="3">
        <v>0</v>
      </c>
      <c r="AI232" s="3">
        <v>0</v>
      </c>
      <c r="AJ232" s="3">
        <v>1</v>
      </c>
      <c r="AK232" s="3">
        <v>1</v>
      </c>
      <c r="AL232" s="3">
        <v>1</v>
      </c>
      <c r="AM232" s="3">
        <v>3</v>
      </c>
      <c r="AN232" s="3">
        <v>0</v>
      </c>
      <c r="AO232" s="3">
        <v>0</v>
      </c>
      <c r="AP232" s="3">
        <v>0</v>
      </c>
      <c r="AQ232" s="3">
        <v>0</v>
      </c>
      <c r="AR232" s="2" t="s">
        <v>8</v>
      </c>
      <c r="AS232" s="2" t="s">
        <v>6</v>
      </c>
      <c r="AT232" s="5" t="str">
        <f>HYPERLINK("http://catalog.hathitrust.org/Record/000693632","HathiTrust Record")</f>
        <v>HathiTrust Record</v>
      </c>
      <c r="AU232" s="5" t="str">
        <f>HYPERLINK("https://creighton-primo.hosted.exlibrisgroup.com/primo-explore/search?tab=default_tab&amp;search_scope=EVERYTHING&amp;vid=01CRU&amp;lang=en_US&amp;offset=0&amp;query=any,contains,991001176979702656","Catalog Record")</f>
        <v>Catalog Record</v>
      </c>
      <c r="AV232" s="5" t="str">
        <f>HYPERLINK("http://www.worldcat.org/oclc/340277","WorldCat Record")</f>
        <v>WorldCat Record</v>
      </c>
      <c r="AW232" s="2" t="s">
        <v>3026</v>
      </c>
      <c r="AX232" s="2" t="s">
        <v>3027</v>
      </c>
      <c r="AY232" s="2" t="s">
        <v>3028</v>
      </c>
      <c r="AZ232" s="2" t="s">
        <v>3028</v>
      </c>
      <c r="BA232" s="2" t="s">
        <v>3029</v>
      </c>
      <c r="BB232" s="2" t="s">
        <v>21</v>
      </c>
      <c r="BD232" s="2" t="s">
        <v>3030</v>
      </c>
      <c r="BE232" s="2" t="s">
        <v>3031</v>
      </c>
      <c r="BF232" s="2" t="s">
        <v>3032</v>
      </c>
    </row>
    <row r="233" spans="1:58" ht="42.75" customHeight="1" x14ac:dyDescent="0.25">
      <c r="A233" s="8" t="s">
        <v>8</v>
      </c>
      <c r="B233" s="1" t="s">
        <v>0</v>
      </c>
      <c r="C233" s="1" t="s">
        <v>1</v>
      </c>
      <c r="D233" s="1" t="s">
        <v>3033</v>
      </c>
      <c r="E233" s="1" t="s">
        <v>3034</v>
      </c>
      <c r="F233" s="1" t="s">
        <v>3035</v>
      </c>
      <c r="H233" s="2" t="s">
        <v>8</v>
      </c>
      <c r="I233" s="2" t="s">
        <v>7</v>
      </c>
      <c r="J233" s="2" t="s">
        <v>8</v>
      </c>
      <c r="K233" s="2" t="s">
        <v>8</v>
      </c>
      <c r="L233" s="2" t="s">
        <v>9</v>
      </c>
      <c r="M233" s="1" t="s">
        <v>3036</v>
      </c>
      <c r="N233" s="1" t="s">
        <v>3037</v>
      </c>
      <c r="O233" s="2" t="s">
        <v>1791</v>
      </c>
      <c r="Q233" s="2" t="s">
        <v>12</v>
      </c>
      <c r="R233" s="2" t="s">
        <v>815</v>
      </c>
      <c r="T233" s="2" t="s">
        <v>14</v>
      </c>
      <c r="U233" s="3">
        <v>8</v>
      </c>
      <c r="V233" s="3">
        <v>8</v>
      </c>
      <c r="W233" s="4" t="s">
        <v>3038</v>
      </c>
      <c r="X233" s="4" t="s">
        <v>3038</v>
      </c>
      <c r="Y233" s="4" t="s">
        <v>1254</v>
      </c>
      <c r="Z233" s="4" t="s">
        <v>1254</v>
      </c>
      <c r="AA233" s="3">
        <v>352</v>
      </c>
      <c r="AB233" s="3">
        <v>331</v>
      </c>
      <c r="AC233" s="3">
        <v>336</v>
      </c>
      <c r="AD233" s="3">
        <v>1</v>
      </c>
      <c r="AE233" s="3">
        <v>1</v>
      </c>
      <c r="AF233" s="3">
        <v>7</v>
      </c>
      <c r="AG233" s="3">
        <v>7</v>
      </c>
      <c r="AH233" s="3">
        <v>2</v>
      </c>
      <c r="AI233" s="3">
        <v>2</v>
      </c>
      <c r="AJ233" s="3">
        <v>2</v>
      </c>
      <c r="AK233" s="3">
        <v>2</v>
      </c>
      <c r="AL233" s="3">
        <v>5</v>
      </c>
      <c r="AM233" s="3">
        <v>5</v>
      </c>
      <c r="AN233" s="3">
        <v>0</v>
      </c>
      <c r="AO233" s="3">
        <v>0</v>
      </c>
      <c r="AP233" s="3">
        <v>0</v>
      </c>
      <c r="AQ233" s="3">
        <v>0</v>
      </c>
      <c r="AR233" s="2" t="s">
        <v>8</v>
      </c>
      <c r="AS233" s="2" t="s">
        <v>6</v>
      </c>
      <c r="AT233" s="5" t="str">
        <f>HYPERLINK("http://catalog.hathitrust.org/Record/001557733","HathiTrust Record")</f>
        <v>HathiTrust Record</v>
      </c>
      <c r="AU233" s="5" t="str">
        <f>HYPERLINK("https://creighton-primo.hosted.exlibrisgroup.com/primo-explore/search?tab=default_tab&amp;search_scope=EVERYTHING&amp;vid=01CRU&amp;lang=en_US&amp;offset=0&amp;query=any,contains,991001176739702656","Catalog Record")</f>
        <v>Catalog Record</v>
      </c>
      <c r="AV233" s="5" t="str">
        <f>HYPERLINK("http://www.worldcat.org/oclc/2197","WorldCat Record")</f>
        <v>WorldCat Record</v>
      </c>
      <c r="AW233" s="2" t="s">
        <v>3039</v>
      </c>
      <c r="AX233" s="2" t="s">
        <v>3040</v>
      </c>
      <c r="AY233" s="2" t="s">
        <v>3041</v>
      </c>
      <c r="AZ233" s="2" t="s">
        <v>3041</v>
      </c>
      <c r="BA233" s="2" t="s">
        <v>3042</v>
      </c>
      <c r="BB233" s="2" t="s">
        <v>21</v>
      </c>
      <c r="BE233" s="2" t="s">
        <v>3043</v>
      </c>
      <c r="BF233" s="2" t="s">
        <v>3044</v>
      </c>
    </row>
    <row r="234" spans="1:58" ht="42.75" customHeight="1" x14ac:dyDescent="0.25">
      <c r="A234" s="8" t="s">
        <v>8</v>
      </c>
      <c r="B234" s="1" t="s">
        <v>0</v>
      </c>
      <c r="C234" s="1" t="s">
        <v>1</v>
      </c>
      <c r="D234" s="1" t="s">
        <v>3045</v>
      </c>
      <c r="E234" s="1" t="s">
        <v>3046</v>
      </c>
      <c r="F234" s="1" t="s">
        <v>3047</v>
      </c>
      <c r="H234" s="2" t="s">
        <v>8</v>
      </c>
      <c r="I234" s="2" t="s">
        <v>7</v>
      </c>
      <c r="J234" s="2" t="s">
        <v>8</v>
      </c>
      <c r="K234" s="2" t="s">
        <v>8</v>
      </c>
      <c r="L234" s="2" t="s">
        <v>9</v>
      </c>
      <c r="M234" s="1" t="s">
        <v>3048</v>
      </c>
      <c r="N234" s="1" t="s">
        <v>3049</v>
      </c>
      <c r="O234" s="2" t="s">
        <v>731</v>
      </c>
      <c r="Q234" s="2" t="s">
        <v>12</v>
      </c>
      <c r="R234" s="2" t="s">
        <v>520</v>
      </c>
      <c r="T234" s="2" t="s">
        <v>14</v>
      </c>
      <c r="U234" s="3">
        <v>3</v>
      </c>
      <c r="V234" s="3">
        <v>3</v>
      </c>
      <c r="W234" s="4" t="s">
        <v>2958</v>
      </c>
      <c r="X234" s="4" t="s">
        <v>2958</v>
      </c>
      <c r="Y234" s="4" t="s">
        <v>3050</v>
      </c>
      <c r="Z234" s="4" t="s">
        <v>3050</v>
      </c>
      <c r="AA234" s="3">
        <v>45</v>
      </c>
      <c r="AB234" s="3">
        <v>44</v>
      </c>
      <c r="AC234" s="3">
        <v>47</v>
      </c>
      <c r="AD234" s="3">
        <v>1</v>
      </c>
      <c r="AE234" s="3">
        <v>1</v>
      </c>
      <c r="AF234" s="3">
        <v>1</v>
      </c>
      <c r="AG234" s="3">
        <v>1</v>
      </c>
      <c r="AH234" s="3">
        <v>0</v>
      </c>
      <c r="AI234" s="3">
        <v>0</v>
      </c>
      <c r="AJ234" s="3">
        <v>1</v>
      </c>
      <c r="AK234" s="3">
        <v>1</v>
      </c>
      <c r="AL234" s="3">
        <v>0</v>
      </c>
      <c r="AM234" s="3">
        <v>0</v>
      </c>
      <c r="AN234" s="3">
        <v>0</v>
      </c>
      <c r="AO234" s="3">
        <v>0</v>
      </c>
      <c r="AP234" s="3">
        <v>0</v>
      </c>
      <c r="AQ234" s="3">
        <v>0</v>
      </c>
      <c r="AR234" s="2" t="s">
        <v>8</v>
      </c>
      <c r="AS234" s="2" t="s">
        <v>8</v>
      </c>
      <c r="AU234" s="5" t="str">
        <f>HYPERLINK("https://creighton-primo.hosted.exlibrisgroup.com/primo-explore/search?tab=default_tab&amp;search_scope=EVERYTHING&amp;vid=01CRU&amp;lang=en_US&amp;offset=0&amp;query=any,contains,991000323719702656","Catalog Record")</f>
        <v>Catalog Record</v>
      </c>
      <c r="AV234" s="5" t="str">
        <f>HYPERLINK("http://www.worldcat.org/oclc/39650737","WorldCat Record")</f>
        <v>WorldCat Record</v>
      </c>
      <c r="AW234" s="2" t="s">
        <v>3051</v>
      </c>
      <c r="AX234" s="2" t="s">
        <v>3052</v>
      </c>
      <c r="AY234" s="2" t="s">
        <v>3053</v>
      </c>
      <c r="AZ234" s="2" t="s">
        <v>3053</v>
      </c>
      <c r="BA234" s="2" t="s">
        <v>3054</v>
      </c>
      <c r="BB234" s="2" t="s">
        <v>21</v>
      </c>
      <c r="BD234" s="2" t="s">
        <v>3055</v>
      </c>
      <c r="BE234" s="2" t="s">
        <v>3056</v>
      </c>
      <c r="BF234" s="2" t="s">
        <v>3057</v>
      </c>
    </row>
    <row r="235" spans="1:58" ht="42.75" customHeight="1" x14ac:dyDescent="0.25">
      <c r="A235" s="8" t="s">
        <v>8</v>
      </c>
      <c r="B235" s="1" t="s">
        <v>0</v>
      </c>
      <c r="C235" s="1" t="s">
        <v>1</v>
      </c>
      <c r="D235" s="1" t="s">
        <v>3058</v>
      </c>
      <c r="E235" s="1" t="s">
        <v>3059</v>
      </c>
      <c r="F235" s="1" t="s">
        <v>3060</v>
      </c>
      <c r="H235" s="2" t="s">
        <v>8</v>
      </c>
      <c r="I235" s="2" t="s">
        <v>7</v>
      </c>
      <c r="J235" s="2" t="s">
        <v>6</v>
      </c>
      <c r="K235" s="2" t="s">
        <v>8</v>
      </c>
      <c r="L235" s="2" t="s">
        <v>9</v>
      </c>
      <c r="M235" s="1" t="s">
        <v>625</v>
      </c>
      <c r="N235" s="1" t="s">
        <v>3061</v>
      </c>
      <c r="O235" s="2" t="s">
        <v>144</v>
      </c>
      <c r="Q235" s="2" t="s">
        <v>12</v>
      </c>
      <c r="R235" s="2" t="s">
        <v>13</v>
      </c>
      <c r="T235" s="2" t="s">
        <v>14</v>
      </c>
      <c r="U235" s="3">
        <v>7</v>
      </c>
      <c r="V235" s="3">
        <v>7</v>
      </c>
      <c r="W235" s="4" t="s">
        <v>3062</v>
      </c>
      <c r="X235" s="4" t="s">
        <v>3062</v>
      </c>
      <c r="Y235" s="4" t="s">
        <v>1254</v>
      </c>
      <c r="Z235" s="4" t="s">
        <v>1254</v>
      </c>
      <c r="AA235" s="3">
        <v>635</v>
      </c>
      <c r="AB235" s="3">
        <v>526</v>
      </c>
      <c r="AC235" s="3">
        <v>632</v>
      </c>
      <c r="AD235" s="3">
        <v>5</v>
      </c>
      <c r="AE235" s="3">
        <v>6</v>
      </c>
      <c r="AF235" s="3">
        <v>27</v>
      </c>
      <c r="AG235" s="3">
        <v>33</v>
      </c>
      <c r="AH235" s="3">
        <v>9</v>
      </c>
      <c r="AI235" s="3">
        <v>10</v>
      </c>
      <c r="AJ235" s="3">
        <v>3</v>
      </c>
      <c r="AK235" s="3">
        <v>5</v>
      </c>
      <c r="AL235" s="3">
        <v>15</v>
      </c>
      <c r="AM235" s="3">
        <v>20</v>
      </c>
      <c r="AN235" s="3">
        <v>3</v>
      </c>
      <c r="AO235" s="3">
        <v>4</v>
      </c>
      <c r="AP235" s="3">
        <v>2</v>
      </c>
      <c r="AQ235" s="3">
        <v>2</v>
      </c>
      <c r="AR235" s="2" t="s">
        <v>8</v>
      </c>
      <c r="AS235" s="2" t="s">
        <v>6</v>
      </c>
      <c r="AT235" s="5" t="str">
        <f>HYPERLINK("http://catalog.hathitrust.org/Record/000172526","HathiTrust Record")</f>
        <v>HathiTrust Record</v>
      </c>
      <c r="AU235" s="5" t="str">
        <f>HYPERLINK("https://creighton-primo.hosted.exlibrisgroup.com/primo-explore/search?tab=default_tab&amp;search_scope=EVERYTHING&amp;vid=01CRU&amp;lang=en_US&amp;offset=0&amp;query=any,contains,991001176709702656","Catalog Record")</f>
        <v>Catalog Record</v>
      </c>
      <c r="AV235" s="5" t="str">
        <f>HYPERLINK("http://www.worldcat.org/oclc/73764","WorldCat Record")</f>
        <v>WorldCat Record</v>
      </c>
      <c r="AW235" s="2" t="s">
        <v>3063</v>
      </c>
      <c r="AX235" s="2" t="s">
        <v>3064</v>
      </c>
      <c r="AY235" s="2" t="s">
        <v>3065</v>
      </c>
      <c r="AZ235" s="2" t="s">
        <v>3065</v>
      </c>
      <c r="BA235" s="2" t="s">
        <v>3066</v>
      </c>
      <c r="BB235" s="2" t="s">
        <v>21</v>
      </c>
      <c r="BE235" s="2" t="s">
        <v>3067</v>
      </c>
      <c r="BF235" s="2" t="s">
        <v>3068</v>
      </c>
    </row>
    <row r="236" spans="1:58" ht="42.75" customHeight="1" x14ac:dyDescent="0.25">
      <c r="A236" s="8" t="s">
        <v>8</v>
      </c>
      <c r="B236" s="1" t="s">
        <v>0</v>
      </c>
      <c r="C236" s="1" t="s">
        <v>1</v>
      </c>
      <c r="D236" s="1" t="s">
        <v>3069</v>
      </c>
      <c r="E236" s="1" t="s">
        <v>3070</v>
      </c>
      <c r="F236" s="1" t="s">
        <v>3071</v>
      </c>
      <c r="H236" s="2" t="s">
        <v>8</v>
      </c>
      <c r="I236" s="2" t="s">
        <v>7</v>
      </c>
      <c r="J236" s="2" t="s">
        <v>8</v>
      </c>
      <c r="K236" s="2" t="s">
        <v>8</v>
      </c>
      <c r="L236" s="2" t="s">
        <v>9</v>
      </c>
      <c r="N236" s="1" t="s">
        <v>3072</v>
      </c>
      <c r="O236" s="2" t="s">
        <v>114</v>
      </c>
      <c r="Q236" s="2" t="s">
        <v>12</v>
      </c>
      <c r="R236" s="2" t="s">
        <v>13</v>
      </c>
      <c r="T236" s="2" t="s">
        <v>14</v>
      </c>
      <c r="U236" s="3">
        <v>1</v>
      </c>
      <c r="V236" s="3">
        <v>1</v>
      </c>
      <c r="W236" s="4" t="s">
        <v>3073</v>
      </c>
      <c r="X236" s="4" t="s">
        <v>3073</v>
      </c>
      <c r="Y236" s="4" t="s">
        <v>1254</v>
      </c>
      <c r="Z236" s="4" t="s">
        <v>1254</v>
      </c>
      <c r="AA236" s="3">
        <v>114</v>
      </c>
      <c r="AB236" s="3">
        <v>99</v>
      </c>
      <c r="AC236" s="3">
        <v>102</v>
      </c>
      <c r="AD236" s="3">
        <v>2</v>
      </c>
      <c r="AE236" s="3">
        <v>2</v>
      </c>
      <c r="AF236" s="3">
        <v>4</v>
      </c>
      <c r="AG236" s="3">
        <v>4</v>
      </c>
      <c r="AH236" s="3">
        <v>0</v>
      </c>
      <c r="AI236" s="3">
        <v>0</v>
      </c>
      <c r="AJ236" s="3">
        <v>1</v>
      </c>
      <c r="AK236" s="3">
        <v>1</v>
      </c>
      <c r="AL236" s="3">
        <v>3</v>
      </c>
      <c r="AM236" s="3">
        <v>3</v>
      </c>
      <c r="AN236" s="3">
        <v>1</v>
      </c>
      <c r="AO236" s="3">
        <v>1</v>
      </c>
      <c r="AP236" s="3">
        <v>0</v>
      </c>
      <c r="AQ236" s="3">
        <v>0</v>
      </c>
      <c r="AR236" s="2" t="s">
        <v>8</v>
      </c>
      <c r="AS236" s="2" t="s">
        <v>6</v>
      </c>
      <c r="AT236" s="5" t="str">
        <f>HYPERLINK("http://catalog.hathitrust.org/Record/001577179","HathiTrust Record")</f>
        <v>HathiTrust Record</v>
      </c>
      <c r="AU236" s="5" t="str">
        <f>HYPERLINK("https://creighton-primo.hosted.exlibrisgroup.com/primo-explore/search?tab=default_tab&amp;search_scope=EVERYTHING&amp;vid=01CRU&amp;lang=en_US&amp;offset=0&amp;query=any,contains,991001176649702656","Catalog Record")</f>
        <v>Catalog Record</v>
      </c>
      <c r="AV236" s="5" t="str">
        <f>HYPERLINK("http://www.worldcat.org/oclc/695839","WorldCat Record")</f>
        <v>WorldCat Record</v>
      </c>
      <c r="AW236" s="2" t="s">
        <v>3074</v>
      </c>
      <c r="AX236" s="2" t="s">
        <v>3075</v>
      </c>
      <c r="AY236" s="2" t="s">
        <v>3076</v>
      </c>
      <c r="AZ236" s="2" t="s">
        <v>3076</v>
      </c>
      <c r="BA236" s="2" t="s">
        <v>3077</v>
      </c>
      <c r="BB236" s="2" t="s">
        <v>21</v>
      </c>
      <c r="BE236" s="2" t="s">
        <v>3078</v>
      </c>
      <c r="BF236" s="2" t="s">
        <v>3079</v>
      </c>
    </row>
    <row r="237" spans="1:58" ht="42.75" customHeight="1" x14ac:dyDescent="0.25">
      <c r="A237" s="8" t="s">
        <v>8</v>
      </c>
      <c r="B237" s="1" t="s">
        <v>0</v>
      </c>
      <c r="C237" s="1" t="s">
        <v>1</v>
      </c>
      <c r="D237" s="1" t="s">
        <v>3080</v>
      </c>
      <c r="E237" s="1" t="s">
        <v>3081</v>
      </c>
      <c r="F237" s="1" t="s">
        <v>3082</v>
      </c>
      <c r="H237" s="2" t="s">
        <v>8</v>
      </c>
      <c r="I237" s="2" t="s">
        <v>7</v>
      </c>
      <c r="J237" s="2" t="s">
        <v>8</v>
      </c>
      <c r="K237" s="2" t="s">
        <v>6</v>
      </c>
      <c r="L237" s="2" t="s">
        <v>9</v>
      </c>
      <c r="M237" s="1" t="s">
        <v>3083</v>
      </c>
      <c r="N237" s="1" t="s">
        <v>3084</v>
      </c>
      <c r="O237" s="2" t="s">
        <v>564</v>
      </c>
      <c r="Q237" s="2" t="s">
        <v>12</v>
      </c>
      <c r="R237" s="2" t="s">
        <v>520</v>
      </c>
      <c r="T237" s="2" t="s">
        <v>14</v>
      </c>
      <c r="U237" s="3">
        <v>2</v>
      </c>
      <c r="V237" s="3">
        <v>2</v>
      </c>
      <c r="W237" s="4" t="s">
        <v>3085</v>
      </c>
      <c r="X237" s="4" t="s">
        <v>3085</v>
      </c>
      <c r="Y237" s="4" t="s">
        <v>2327</v>
      </c>
      <c r="Z237" s="4" t="s">
        <v>2327</v>
      </c>
      <c r="AA237" s="3">
        <v>24</v>
      </c>
      <c r="AB237" s="3">
        <v>20</v>
      </c>
      <c r="AC237" s="3">
        <v>258</v>
      </c>
      <c r="AD237" s="3">
        <v>1</v>
      </c>
      <c r="AE237" s="3">
        <v>2</v>
      </c>
      <c r="AF237" s="3">
        <v>0</v>
      </c>
      <c r="AG237" s="3">
        <v>8</v>
      </c>
      <c r="AH237" s="3">
        <v>0</v>
      </c>
      <c r="AI237" s="3">
        <v>4</v>
      </c>
      <c r="AJ237" s="3">
        <v>0</v>
      </c>
      <c r="AK237" s="3">
        <v>1</v>
      </c>
      <c r="AL237" s="3">
        <v>0</v>
      </c>
      <c r="AM237" s="3">
        <v>4</v>
      </c>
      <c r="AN237" s="3">
        <v>0</v>
      </c>
      <c r="AO237" s="3">
        <v>1</v>
      </c>
      <c r="AP237" s="3">
        <v>0</v>
      </c>
      <c r="AQ237" s="3">
        <v>0</v>
      </c>
      <c r="AR237" s="2" t="s">
        <v>8</v>
      </c>
      <c r="AS237" s="2" t="s">
        <v>8</v>
      </c>
      <c r="AU237" s="5" t="str">
        <f>HYPERLINK("https://creighton-primo.hosted.exlibrisgroup.com/primo-explore/search?tab=default_tab&amp;search_scope=EVERYTHING&amp;vid=01CRU&amp;lang=en_US&amp;offset=0&amp;query=any,contains,991001176539702656","Catalog Record")</f>
        <v>Catalog Record</v>
      </c>
      <c r="AV237" s="5" t="str">
        <f>HYPERLINK("http://www.worldcat.org/oclc/3074944","WorldCat Record")</f>
        <v>WorldCat Record</v>
      </c>
      <c r="AW237" s="2" t="s">
        <v>3086</v>
      </c>
      <c r="AX237" s="2" t="s">
        <v>3087</v>
      </c>
      <c r="AY237" s="2" t="s">
        <v>3088</v>
      </c>
      <c r="AZ237" s="2" t="s">
        <v>3088</v>
      </c>
      <c r="BA237" s="2" t="s">
        <v>3089</v>
      </c>
      <c r="BB237" s="2" t="s">
        <v>21</v>
      </c>
      <c r="BE237" s="2" t="s">
        <v>3090</v>
      </c>
      <c r="BF237" s="2" t="s">
        <v>3091</v>
      </c>
    </row>
    <row r="238" spans="1:58" ht="42.75" customHeight="1" x14ac:dyDescent="0.25">
      <c r="A238" s="8" t="s">
        <v>8</v>
      </c>
      <c r="B238" s="1" t="s">
        <v>0</v>
      </c>
      <c r="C238" s="1" t="s">
        <v>1</v>
      </c>
      <c r="D238" s="1" t="s">
        <v>3092</v>
      </c>
      <c r="E238" s="1" t="s">
        <v>3093</v>
      </c>
      <c r="F238" s="1" t="s">
        <v>3094</v>
      </c>
      <c r="H238" s="2" t="s">
        <v>8</v>
      </c>
      <c r="I238" s="2" t="s">
        <v>7</v>
      </c>
      <c r="J238" s="2" t="s">
        <v>8</v>
      </c>
      <c r="K238" s="2" t="s">
        <v>8</v>
      </c>
      <c r="L238" s="2" t="s">
        <v>9</v>
      </c>
      <c r="M238" s="1" t="s">
        <v>3095</v>
      </c>
      <c r="N238" s="1" t="s">
        <v>3096</v>
      </c>
      <c r="O238" s="2" t="s">
        <v>2089</v>
      </c>
      <c r="P238" s="1" t="s">
        <v>83</v>
      </c>
      <c r="Q238" s="2" t="s">
        <v>12</v>
      </c>
      <c r="R238" s="2" t="s">
        <v>774</v>
      </c>
      <c r="T238" s="2" t="s">
        <v>14</v>
      </c>
      <c r="U238" s="3">
        <v>1</v>
      </c>
      <c r="V238" s="3">
        <v>1</v>
      </c>
      <c r="W238" s="4" t="s">
        <v>3097</v>
      </c>
      <c r="X238" s="4" t="s">
        <v>3097</v>
      </c>
      <c r="Y238" s="4" t="s">
        <v>3098</v>
      </c>
      <c r="Z238" s="4" t="s">
        <v>3098</v>
      </c>
      <c r="AA238" s="3">
        <v>138</v>
      </c>
      <c r="AB238" s="3">
        <v>105</v>
      </c>
      <c r="AC238" s="3">
        <v>293</v>
      </c>
      <c r="AD238" s="3">
        <v>1</v>
      </c>
      <c r="AE238" s="3">
        <v>2</v>
      </c>
      <c r="AF238" s="3">
        <v>1</v>
      </c>
      <c r="AG238" s="3">
        <v>4</v>
      </c>
      <c r="AH238" s="3">
        <v>0</v>
      </c>
      <c r="AI238" s="3">
        <v>0</v>
      </c>
      <c r="AJ238" s="3">
        <v>1</v>
      </c>
      <c r="AK238" s="3">
        <v>1</v>
      </c>
      <c r="AL238" s="3">
        <v>1</v>
      </c>
      <c r="AM238" s="3">
        <v>3</v>
      </c>
      <c r="AN238" s="3">
        <v>0</v>
      </c>
      <c r="AO238" s="3">
        <v>1</v>
      </c>
      <c r="AP238" s="3">
        <v>0</v>
      </c>
      <c r="AQ238" s="3">
        <v>0</v>
      </c>
      <c r="AR238" s="2" t="s">
        <v>8</v>
      </c>
      <c r="AS238" s="2" t="s">
        <v>8</v>
      </c>
      <c r="AU238" s="5" t="str">
        <f>HYPERLINK("https://creighton-primo.hosted.exlibrisgroup.com/primo-explore/search?tab=default_tab&amp;search_scope=EVERYTHING&amp;vid=01CRU&amp;lang=en_US&amp;offset=0&amp;query=any,contains,991000447099702656","Catalog Record")</f>
        <v>Catalog Record</v>
      </c>
      <c r="AV238" s="5" t="str">
        <f>HYPERLINK("http://www.worldcat.org/oclc/61432386","WorldCat Record")</f>
        <v>WorldCat Record</v>
      </c>
      <c r="AW238" s="2" t="s">
        <v>3099</v>
      </c>
      <c r="AX238" s="2" t="s">
        <v>3100</v>
      </c>
      <c r="AY238" s="2" t="s">
        <v>3101</v>
      </c>
      <c r="AZ238" s="2" t="s">
        <v>3101</v>
      </c>
      <c r="BA238" s="2" t="s">
        <v>3102</v>
      </c>
      <c r="BB238" s="2" t="s">
        <v>21</v>
      </c>
      <c r="BD238" s="2" t="s">
        <v>3103</v>
      </c>
      <c r="BE238" s="2" t="s">
        <v>3104</v>
      </c>
      <c r="BF238" s="2" t="s">
        <v>3105</v>
      </c>
    </row>
    <row r="239" spans="1:58" ht="42.75" customHeight="1" x14ac:dyDescent="0.25">
      <c r="A239" s="8" t="s">
        <v>8</v>
      </c>
      <c r="B239" s="1" t="s">
        <v>0</v>
      </c>
      <c r="C239" s="1" t="s">
        <v>1</v>
      </c>
      <c r="D239" s="1" t="s">
        <v>3106</v>
      </c>
      <c r="E239" s="1" t="s">
        <v>3107</v>
      </c>
      <c r="F239" s="1" t="s">
        <v>3108</v>
      </c>
      <c r="H239" s="2" t="s">
        <v>8</v>
      </c>
      <c r="I239" s="2" t="s">
        <v>7</v>
      </c>
      <c r="J239" s="2" t="s">
        <v>8</v>
      </c>
      <c r="K239" s="2" t="s">
        <v>8</v>
      </c>
      <c r="L239" s="2" t="s">
        <v>9</v>
      </c>
      <c r="N239" s="1" t="s">
        <v>3109</v>
      </c>
      <c r="O239" s="2" t="s">
        <v>1327</v>
      </c>
      <c r="Q239" s="2" t="s">
        <v>12</v>
      </c>
      <c r="R239" s="2" t="s">
        <v>34</v>
      </c>
      <c r="T239" s="2" t="s">
        <v>14</v>
      </c>
      <c r="U239" s="3">
        <v>6</v>
      </c>
      <c r="V239" s="3">
        <v>6</v>
      </c>
      <c r="W239" s="4" t="s">
        <v>3110</v>
      </c>
      <c r="X239" s="4" t="s">
        <v>3110</v>
      </c>
      <c r="Y239" s="4" t="s">
        <v>1144</v>
      </c>
      <c r="Z239" s="4" t="s">
        <v>1144</v>
      </c>
      <c r="AA239" s="3">
        <v>234</v>
      </c>
      <c r="AB239" s="3">
        <v>200</v>
      </c>
      <c r="AC239" s="3">
        <v>202</v>
      </c>
      <c r="AD239" s="3">
        <v>1</v>
      </c>
      <c r="AE239" s="3">
        <v>1</v>
      </c>
      <c r="AF239" s="3">
        <v>5</v>
      </c>
      <c r="AG239" s="3">
        <v>5</v>
      </c>
      <c r="AH239" s="3">
        <v>0</v>
      </c>
      <c r="AI239" s="3">
        <v>0</v>
      </c>
      <c r="AJ239" s="3">
        <v>1</v>
      </c>
      <c r="AK239" s="3">
        <v>1</v>
      </c>
      <c r="AL239" s="3">
        <v>5</v>
      </c>
      <c r="AM239" s="3">
        <v>5</v>
      </c>
      <c r="AN239" s="3">
        <v>0</v>
      </c>
      <c r="AO239" s="3">
        <v>0</v>
      </c>
      <c r="AP239" s="3">
        <v>0</v>
      </c>
      <c r="AQ239" s="3">
        <v>0</v>
      </c>
      <c r="AR239" s="2" t="s">
        <v>8</v>
      </c>
      <c r="AS239" s="2" t="s">
        <v>6</v>
      </c>
      <c r="AT239" s="5" t="str">
        <f>HYPERLINK("http://catalog.hathitrust.org/Record/000360009","HathiTrust Record")</f>
        <v>HathiTrust Record</v>
      </c>
      <c r="AU239" s="5" t="str">
        <f>HYPERLINK("https://creighton-primo.hosted.exlibrisgroup.com/primo-explore/search?tab=default_tab&amp;search_scope=EVERYTHING&amp;vid=01CRU&amp;lang=en_US&amp;offset=0&amp;query=any,contains,991001176239702656","Catalog Record")</f>
        <v>Catalog Record</v>
      </c>
      <c r="AV239" s="5" t="str">
        <f>HYPERLINK("http://www.worldcat.org/oclc/12978495","WorldCat Record")</f>
        <v>WorldCat Record</v>
      </c>
      <c r="AW239" s="2" t="s">
        <v>3111</v>
      </c>
      <c r="AX239" s="2" t="s">
        <v>3112</v>
      </c>
      <c r="AY239" s="2" t="s">
        <v>3113</v>
      </c>
      <c r="AZ239" s="2" t="s">
        <v>3113</v>
      </c>
      <c r="BA239" s="2" t="s">
        <v>3114</v>
      </c>
      <c r="BB239" s="2" t="s">
        <v>21</v>
      </c>
      <c r="BD239" s="2" t="s">
        <v>3115</v>
      </c>
      <c r="BE239" s="2" t="s">
        <v>3116</v>
      </c>
      <c r="BF239" s="2" t="s">
        <v>3117</v>
      </c>
    </row>
    <row r="240" spans="1:58" ht="42.75" customHeight="1" x14ac:dyDescent="0.25">
      <c r="A240" s="8" t="s">
        <v>8</v>
      </c>
      <c r="B240" s="1" t="s">
        <v>0</v>
      </c>
      <c r="C240" s="1" t="s">
        <v>1</v>
      </c>
      <c r="D240" s="1" t="s">
        <v>3118</v>
      </c>
      <c r="E240" s="1" t="s">
        <v>3119</v>
      </c>
      <c r="F240" s="1" t="s">
        <v>3120</v>
      </c>
      <c r="H240" s="2" t="s">
        <v>8</v>
      </c>
      <c r="I240" s="2" t="s">
        <v>7</v>
      </c>
      <c r="J240" s="2" t="s">
        <v>8</v>
      </c>
      <c r="K240" s="2" t="s">
        <v>6</v>
      </c>
      <c r="L240" s="2" t="s">
        <v>9</v>
      </c>
      <c r="M240" s="1" t="s">
        <v>3121</v>
      </c>
      <c r="N240" s="1" t="s">
        <v>3122</v>
      </c>
      <c r="O240" s="2" t="s">
        <v>67</v>
      </c>
      <c r="Q240" s="2" t="s">
        <v>12</v>
      </c>
      <c r="R240" s="2" t="s">
        <v>34</v>
      </c>
      <c r="T240" s="2" t="s">
        <v>14</v>
      </c>
      <c r="U240" s="3">
        <v>16</v>
      </c>
      <c r="V240" s="3">
        <v>16</v>
      </c>
      <c r="W240" s="4" t="s">
        <v>3123</v>
      </c>
      <c r="X240" s="4" t="s">
        <v>3123</v>
      </c>
      <c r="Y240" s="4" t="s">
        <v>2327</v>
      </c>
      <c r="Z240" s="4" t="s">
        <v>2327</v>
      </c>
      <c r="AA240" s="3">
        <v>573</v>
      </c>
      <c r="AB240" s="3">
        <v>549</v>
      </c>
      <c r="AC240" s="3">
        <v>1338</v>
      </c>
      <c r="AD240" s="3">
        <v>3</v>
      </c>
      <c r="AE240" s="3">
        <v>7</v>
      </c>
      <c r="AF240" s="3">
        <v>13</v>
      </c>
      <c r="AG240" s="3">
        <v>32</v>
      </c>
      <c r="AH240" s="3">
        <v>7</v>
      </c>
      <c r="AI240" s="3">
        <v>15</v>
      </c>
      <c r="AJ240" s="3">
        <v>0</v>
      </c>
      <c r="AK240" s="3">
        <v>5</v>
      </c>
      <c r="AL240" s="3">
        <v>8</v>
      </c>
      <c r="AM240" s="3">
        <v>15</v>
      </c>
      <c r="AN240" s="3">
        <v>1</v>
      </c>
      <c r="AO240" s="3">
        <v>5</v>
      </c>
      <c r="AP240" s="3">
        <v>1</v>
      </c>
      <c r="AQ240" s="3">
        <v>1</v>
      </c>
      <c r="AR240" s="2" t="s">
        <v>8</v>
      </c>
      <c r="AS240" s="2" t="s">
        <v>6</v>
      </c>
      <c r="AT240" s="5" t="str">
        <f>HYPERLINK("http://catalog.hathitrust.org/Record/000473050","HathiTrust Record")</f>
        <v>HathiTrust Record</v>
      </c>
      <c r="AU240" s="5" t="str">
        <f>HYPERLINK("https://creighton-primo.hosted.exlibrisgroup.com/primo-explore/search?tab=default_tab&amp;search_scope=EVERYTHING&amp;vid=01CRU&amp;lang=en_US&amp;offset=0&amp;query=any,contains,991001176279702656","Catalog Record")</f>
        <v>Catalog Record</v>
      </c>
      <c r="AV240" s="5" t="str">
        <f>HYPERLINK("http://www.worldcat.org/oclc/12083021","WorldCat Record")</f>
        <v>WorldCat Record</v>
      </c>
      <c r="AW240" s="2" t="s">
        <v>3124</v>
      </c>
      <c r="AX240" s="2" t="s">
        <v>3125</v>
      </c>
      <c r="AY240" s="2" t="s">
        <v>3126</v>
      </c>
      <c r="AZ240" s="2" t="s">
        <v>3126</v>
      </c>
      <c r="BA240" s="2" t="s">
        <v>3127</v>
      </c>
      <c r="BB240" s="2" t="s">
        <v>21</v>
      </c>
      <c r="BD240" s="2" t="s">
        <v>3128</v>
      </c>
      <c r="BE240" s="2" t="s">
        <v>3129</v>
      </c>
      <c r="BF240" s="2" t="s">
        <v>3130</v>
      </c>
    </row>
    <row r="241" spans="1:58" ht="42.75" customHeight="1" x14ac:dyDescent="0.25">
      <c r="A241" s="8" t="s">
        <v>8</v>
      </c>
      <c r="B241" s="1" t="s">
        <v>0</v>
      </c>
      <c r="C241" s="1" t="s">
        <v>1</v>
      </c>
      <c r="D241" s="1" t="s">
        <v>3131</v>
      </c>
      <c r="E241" s="1" t="s">
        <v>3132</v>
      </c>
      <c r="F241" s="1" t="s">
        <v>3133</v>
      </c>
      <c r="H241" s="2" t="s">
        <v>8</v>
      </c>
      <c r="I241" s="2" t="s">
        <v>7</v>
      </c>
      <c r="J241" s="2" t="s">
        <v>8</v>
      </c>
      <c r="K241" s="2" t="s">
        <v>8</v>
      </c>
      <c r="L241" s="2" t="s">
        <v>9</v>
      </c>
      <c r="N241" s="1" t="s">
        <v>3134</v>
      </c>
      <c r="O241" s="2" t="s">
        <v>731</v>
      </c>
      <c r="Q241" s="2" t="s">
        <v>12</v>
      </c>
      <c r="R241" s="2" t="s">
        <v>520</v>
      </c>
      <c r="T241" s="2" t="s">
        <v>14</v>
      </c>
      <c r="U241" s="3">
        <v>0</v>
      </c>
      <c r="V241" s="3">
        <v>0</v>
      </c>
      <c r="W241" s="4" t="s">
        <v>1643</v>
      </c>
      <c r="X241" s="4" t="s">
        <v>1643</v>
      </c>
      <c r="Y241" s="4" t="s">
        <v>1643</v>
      </c>
      <c r="Z241" s="4" t="s">
        <v>1643</v>
      </c>
      <c r="AA241" s="3">
        <v>40</v>
      </c>
      <c r="AB241" s="3">
        <v>36</v>
      </c>
      <c r="AC241" s="3">
        <v>36</v>
      </c>
      <c r="AD241" s="3">
        <v>1</v>
      </c>
      <c r="AE241" s="3">
        <v>1</v>
      </c>
      <c r="AF241" s="3">
        <v>0</v>
      </c>
      <c r="AG241" s="3">
        <v>0</v>
      </c>
      <c r="AH241" s="3">
        <v>0</v>
      </c>
      <c r="AI241" s="3">
        <v>0</v>
      </c>
      <c r="AJ241" s="3">
        <v>0</v>
      </c>
      <c r="AK241" s="3">
        <v>0</v>
      </c>
      <c r="AL241" s="3">
        <v>0</v>
      </c>
      <c r="AM241" s="3">
        <v>0</v>
      </c>
      <c r="AN241" s="3">
        <v>0</v>
      </c>
      <c r="AO241" s="3">
        <v>0</v>
      </c>
      <c r="AP241" s="3">
        <v>0</v>
      </c>
      <c r="AQ241" s="3">
        <v>0</v>
      </c>
      <c r="AR241" s="2" t="s">
        <v>8</v>
      </c>
      <c r="AS241" s="2" t="s">
        <v>8</v>
      </c>
      <c r="AU241" s="5" t="str">
        <f>HYPERLINK("https://creighton-primo.hosted.exlibrisgroup.com/primo-explore/search?tab=default_tab&amp;search_scope=EVERYTHING&amp;vid=01CRU&amp;lang=en_US&amp;offset=0&amp;query=any,contains,991000396539702656","Catalog Record")</f>
        <v>Catalog Record</v>
      </c>
      <c r="AV241" s="5" t="str">
        <f>HYPERLINK("http://www.worldcat.org/oclc/38562275","WorldCat Record")</f>
        <v>WorldCat Record</v>
      </c>
      <c r="AW241" s="2" t="s">
        <v>3135</v>
      </c>
      <c r="AX241" s="2" t="s">
        <v>3136</v>
      </c>
      <c r="AY241" s="2" t="s">
        <v>3137</v>
      </c>
      <c r="AZ241" s="2" t="s">
        <v>3137</v>
      </c>
      <c r="BA241" s="2" t="s">
        <v>3138</v>
      </c>
      <c r="BB241" s="2" t="s">
        <v>21</v>
      </c>
      <c r="BD241" s="2" t="s">
        <v>3139</v>
      </c>
      <c r="BE241" s="2" t="s">
        <v>3140</v>
      </c>
      <c r="BF241" s="2" t="s">
        <v>3141</v>
      </c>
    </row>
    <row r="242" spans="1:58" ht="42.75" customHeight="1" x14ac:dyDescent="0.25">
      <c r="A242" s="8" t="s">
        <v>8</v>
      </c>
      <c r="B242" s="1" t="s">
        <v>0</v>
      </c>
      <c r="C242" s="1" t="s">
        <v>1</v>
      </c>
      <c r="D242" s="1" t="s">
        <v>3142</v>
      </c>
      <c r="E242" s="1" t="s">
        <v>3143</v>
      </c>
      <c r="F242" s="1" t="s">
        <v>3144</v>
      </c>
      <c r="H242" s="2" t="s">
        <v>8</v>
      </c>
      <c r="I242" s="2" t="s">
        <v>7</v>
      </c>
      <c r="J242" s="2" t="s">
        <v>8</v>
      </c>
      <c r="K242" s="2" t="s">
        <v>8</v>
      </c>
      <c r="L242" s="2" t="s">
        <v>9</v>
      </c>
      <c r="N242" s="1" t="s">
        <v>3145</v>
      </c>
      <c r="O242" s="2" t="s">
        <v>224</v>
      </c>
      <c r="P242" s="1" t="s">
        <v>3146</v>
      </c>
      <c r="Q242" s="2" t="s">
        <v>12</v>
      </c>
      <c r="R242" s="2" t="s">
        <v>774</v>
      </c>
      <c r="T242" s="2" t="s">
        <v>14</v>
      </c>
      <c r="U242" s="3">
        <v>5</v>
      </c>
      <c r="V242" s="3">
        <v>5</v>
      </c>
      <c r="W242" s="4" t="s">
        <v>3073</v>
      </c>
      <c r="X242" s="4" t="s">
        <v>3073</v>
      </c>
      <c r="Y242" s="4" t="s">
        <v>2327</v>
      </c>
      <c r="Z242" s="4" t="s">
        <v>2327</v>
      </c>
      <c r="AA242" s="3">
        <v>159</v>
      </c>
      <c r="AB242" s="3">
        <v>139</v>
      </c>
      <c r="AC242" s="3">
        <v>252</v>
      </c>
      <c r="AD242" s="3">
        <v>2</v>
      </c>
      <c r="AE242" s="3">
        <v>3</v>
      </c>
      <c r="AF242" s="3">
        <v>1</v>
      </c>
      <c r="AG242" s="3">
        <v>2</v>
      </c>
      <c r="AH242" s="3">
        <v>0</v>
      </c>
      <c r="AI242" s="3">
        <v>0</v>
      </c>
      <c r="AJ242" s="3">
        <v>0</v>
      </c>
      <c r="AK242" s="3">
        <v>0</v>
      </c>
      <c r="AL242" s="3">
        <v>0</v>
      </c>
      <c r="AM242" s="3">
        <v>0</v>
      </c>
      <c r="AN242" s="3">
        <v>1</v>
      </c>
      <c r="AO242" s="3">
        <v>2</v>
      </c>
      <c r="AP242" s="3">
        <v>0</v>
      </c>
      <c r="AQ242" s="3">
        <v>0</v>
      </c>
      <c r="AR242" s="2" t="s">
        <v>8</v>
      </c>
      <c r="AS242" s="2" t="s">
        <v>8</v>
      </c>
      <c r="AU242" s="5" t="str">
        <f>HYPERLINK("https://creighton-primo.hosted.exlibrisgroup.com/primo-explore/search?tab=default_tab&amp;search_scope=EVERYTHING&amp;vid=01CRU&amp;lang=en_US&amp;offset=0&amp;query=any,contains,991001176019702656","Catalog Record")</f>
        <v>Catalog Record</v>
      </c>
      <c r="AV242" s="5" t="str">
        <f>HYPERLINK("http://www.worldcat.org/oclc/5726968","WorldCat Record")</f>
        <v>WorldCat Record</v>
      </c>
      <c r="AW242" s="2" t="s">
        <v>3147</v>
      </c>
      <c r="AX242" s="2" t="s">
        <v>3148</v>
      </c>
      <c r="AY242" s="2" t="s">
        <v>3149</v>
      </c>
      <c r="AZ242" s="2" t="s">
        <v>3149</v>
      </c>
      <c r="BA242" s="2" t="s">
        <v>3150</v>
      </c>
      <c r="BB242" s="2" t="s">
        <v>21</v>
      </c>
      <c r="BD242" s="2" t="s">
        <v>3151</v>
      </c>
      <c r="BE242" s="2" t="s">
        <v>3152</v>
      </c>
      <c r="BF242" s="2" t="s">
        <v>3153</v>
      </c>
    </row>
    <row r="243" spans="1:58" ht="42.75" customHeight="1" x14ac:dyDescent="0.25">
      <c r="A243" s="8" t="s">
        <v>8</v>
      </c>
      <c r="B243" s="1" t="s">
        <v>0</v>
      </c>
      <c r="C243" s="1" t="s">
        <v>1</v>
      </c>
      <c r="D243" s="1" t="s">
        <v>3154</v>
      </c>
      <c r="E243" s="1" t="s">
        <v>3155</v>
      </c>
      <c r="F243" s="1" t="s">
        <v>3156</v>
      </c>
      <c r="H243" s="2" t="s">
        <v>8</v>
      </c>
      <c r="I243" s="2" t="s">
        <v>7</v>
      </c>
      <c r="J243" s="2" t="s">
        <v>8</v>
      </c>
      <c r="K243" s="2" t="s">
        <v>8</v>
      </c>
      <c r="L243" s="2" t="s">
        <v>9</v>
      </c>
      <c r="M243" s="1" t="s">
        <v>3157</v>
      </c>
      <c r="N243" s="1" t="s">
        <v>3158</v>
      </c>
      <c r="O243" s="2" t="s">
        <v>1791</v>
      </c>
      <c r="Q243" s="2" t="s">
        <v>12</v>
      </c>
      <c r="R243" s="2" t="s">
        <v>815</v>
      </c>
      <c r="T243" s="2" t="s">
        <v>14</v>
      </c>
      <c r="U243" s="3">
        <v>8</v>
      </c>
      <c r="V243" s="3">
        <v>8</v>
      </c>
      <c r="W243" s="4" t="s">
        <v>3159</v>
      </c>
      <c r="X243" s="4" t="s">
        <v>3159</v>
      </c>
      <c r="Y243" s="4" t="s">
        <v>2327</v>
      </c>
      <c r="Z243" s="4" t="s">
        <v>2327</v>
      </c>
      <c r="AA243" s="3">
        <v>780</v>
      </c>
      <c r="AB243" s="3">
        <v>705</v>
      </c>
      <c r="AC243" s="3">
        <v>707</v>
      </c>
      <c r="AD243" s="3">
        <v>5</v>
      </c>
      <c r="AE243" s="3">
        <v>5</v>
      </c>
      <c r="AF243" s="3">
        <v>25</v>
      </c>
      <c r="AG243" s="3">
        <v>25</v>
      </c>
      <c r="AH243" s="3">
        <v>8</v>
      </c>
      <c r="AI243" s="3">
        <v>8</v>
      </c>
      <c r="AJ243" s="3">
        <v>4</v>
      </c>
      <c r="AK243" s="3">
        <v>4</v>
      </c>
      <c r="AL243" s="3">
        <v>14</v>
      </c>
      <c r="AM243" s="3">
        <v>14</v>
      </c>
      <c r="AN243" s="3">
        <v>4</v>
      </c>
      <c r="AO243" s="3">
        <v>4</v>
      </c>
      <c r="AP243" s="3">
        <v>0</v>
      </c>
      <c r="AQ243" s="3">
        <v>0</v>
      </c>
      <c r="AR243" s="2" t="s">
        <v>8</v>
      </c>
      <c r="AS243" s="2" t="s">
        <v>6</v>
      </c>
      <c r="AT243" s="5" t="str">
        <f>HYPERLINK("http://catalog.hathitrust.org/Record/001557725","HathiTrust Record")</f>
        <v>HathiTrust Record</v>
      </c>
      <c r="AU243" s="5" t="str">
        <f>HYPERLINK("https://creighton-primo.hosted.exlibrisgroup.com/primo-explore/search?tab=default_tab&amp;search_scope=EVERYTHING&amp;vid=01CRU&amp;lang=en_US&amp;offset=0&amp;query=any,contains,991001175979702656","Catalog Record")</f>
        <v>Catalog Record</v>
      </c>
      <c r="AV243" s="5" t="str">
        <f>HYPERLINK("http://www.worldcat.org/oclc/293581","WorldCat Record")</f>
        <v>WorldCat Record</v>
      </c>
      <c r="AW243" s="2" t="s">
        <v>3160</v>
      </c>
      <c r="AX243" s="2" t="s">
        <v>3161</v>
      </c>
      <c r="AY243" s="2" t="s">
        <v>3162</v>
      </c>
      <c r="AZ243" s="2" t="s">
        <v>3162</v>
      </c>
      <c r="BA243" s="2" t="s">
        <v>3163</v>
      </c>
      <c r="BB243" s="2" t="s">
        <v>21</v>
      </c>
      <c r="BE243" s="2" t="s">
        <v>3164</v>
      </c>
      <c r="BF243" s="2" t="s">
        <v>3165</v>
      </c>
    </row>
    <row r="244" spans="1:58" ht="42.75" customHeight="1" x14ac:dyDescent="0.25">
      <c r="A244" s="8" t="s">
        <v>8</v>
      </c>
      <c r="B244" s="1" t="s">
        <v>0</v>
      </c>
      <c r="C244" s="1" t="s">
        <v>1</v>
      </c>
      <c r="D244" s="1" t="s">
        <v>3166</v>
      </c>
      <c r="E244" s="1" t="s">
        <v>3167</v>
      </c>
      <c r="F244" s="1" t="s">
        <v>3168</v>
      </c>
      <c r="H244" s="2" t="s">
        <v>8</v>
      </c>
      <c r="I244" s="2" t="s">
        <v>7</v>
      </c>
      <c r="J244" s="2" t="s">
        <v>8</v>
      </c>
      <c r="K244" s="2" t="s">
        <v>8</v>
      </c>
      <c r="L244" s="2" t="s">
        <v>9</v>
      </c>
      <c r="M244" s="1" t="s">
        <v>3169</v>
      </c>
      <c r="N244" s="1" t="s">
        <v>3170</v>
      </c>
      <c r="O244" s="2" t="s">
        <v>1629</v>
      </c>
      <c r="Q244" s="2" t="s">
        <v>12</v>
      </c>
      <c r="R244" s="2" t="s">
        <v>34</v>
      </c>
      <c r="T244" s="2" t="s">
        <v>14</v>
      </c>
      <c r="U244" s="3">
        <v>12</v>
      </c>
      <c r="V244" s="3">
        <v>12</v>
      </c>
      <c r="W244" s="4" t="s">
        <v>3110</v>
      </c>
      <c r="X244" s="4" t="s">
        <v>3110</v>
      </c>
      <c r="Y244" s="4" t="s">
        <v>2327</v>
      </c>
      <c r="Z244" s="4" t="s">
        <v>2327</v>
      </c>
      <c r="AA244" s="3">
        <v>539</v>
      </c>
      <c r="AB244" s="3">
        <v>425</v>
      </c>
      <c r="AC244" s="3">
        <v>427</v>
      </c>
      <c r="AD244" s="3">
        <v>4</v>
      </c>
      <c r="AE244" s="3">
        <v>4</v>
      </c>
      <c r="AF244" s="3">
        <v>18</v>
      </c>
      <c r="AG244" s="3">
        <v>18</v>
      </c>
      <c r="AH244" s="3">
        <v>8</v>
      </c>
      <c r="AI244" s="3">
        <v>8</v>
      </c>
      <c r="AJ244" s="3">
        <v>5</v>
      </c>
      <c r="AK244" s="3">
        <v>5</v>
      </c>
      <c r="AL244" s="3">
        <v>6</v>
      </c>
      <c r="AM244" s="3">
        <v>6</v>
      </c>
      <c r="AN244" s="3">
        <v>3</v>
      </c>
      <c r="AO244" s="3">
        <v>3</v>
      </c>
      <c r="AP244" s="3">
        <v>0</v>
      </c>
      <c r="AQ244" s="3">
        <v>0</v>
      </c>
      <c r="AR244" s="2" t="s">
        <v>8</v>
      </c>
      <c r="AS244" s="2" t="s">
        <v>6</v>
      </c>
      <c r="AT244" s="5" t="str">
        <f>HYPERLINK("http://catalog.hathitrust.org/Record/000365522","HathiTrust Record")</f>
        <v>HathiTrust Record</v>
      </c>
      <c r="AU244" s="5" t="str">
        <f>HYPERLINK("https://creighton-primo.hosted.exlibrisgroup.com/primo-explore/search?tab=default_tab&amp;search_scope=EVERYTHING&amp;vid=01CRU&amp;lang=en_US&amp;offset=0&amp;query=any,contains,991001175849702656","Catalog Record")</f>
        <v>Catalog Record</v>
      </c>
      <c r="AV244" s="5" t="str">
        <f>HYPERLINK("http://www.worldcat.org/oclc/11158789","WorldCat Record")</f>
        <v>WorldCat Record</v>
      </c>
      <c r="AW244" s="2" t="s">
        <v>3171</v>
      </c>
      <c r="AX244" s="2" t="s">
        <v>3172</v>
      </c>
      <c r="AY244" s="2" t="s">
        <v>3173</v>
      </c>
      <c r="AZ244" s="2" t="s">
        <v>3173</v>
      </c>
      <c r="BA244" s="2" t="s">
        <v>3174</v>
      </c>
      <c r="BB244" s="2" t="s">
        <v>21</v>
      </c>
      <c r="BD244" s="2" t="s">
        <v>3175</v>
      </c>
      <c r="BE244" s="2" t="s">
        <v>3176</v>
      </c>
      <c r="BF244" s="2" t="s">
        <v>3177</v>
      </c>
    </row>
    <row r="245" spans="1:58" ht="42.75" customHeight="1" x14ac:dyDescent="0.25">
      <c r="A245" s="8" t="s">
        <v>8</v>
      </c>
      <c r="B245" s="1" t="s">
        <v>0</v>
      </c>
      <c r="C245" s="1" t="s">
        <v>1</v>
      </c>
      <c r="D245" s="1" t="s">
        <v>3178</v>
      </c>
      <c r="E245" s="1" t="s">
        <v>3179</v>
      </c>
      <c r="F245" s="1" t="s">
        <v>3180</v>
      </c>
      <c r="H245" s="2" t="s">
        <v>8</v>
      </c>
      <c r="I245" s="2" t="s">
        <v>7</v>
      </c>
      <c r="J245" s="2" t="s">
        <v>8</v>
      </c>
      <c r="K245" s="2" t="s">
        <v>8</v>
      </c>
      <c r="L245" s="2" t="s">
        <v>9</v>
      </c>
      <c r="N245" s="1" t="s">
        <v>3181</v>
      </c>
      <c r="O245" s="2" t="s">
        <v>208</v>
      </c>
      <c r="Q245" s="2" t="s">
        <v>12</v>
      </c>
      <c r="R245" s="2" t="s">
        <v>774</v>
      </c>
      <c r="T245" s="2" t="s">
        <v>14</v>
      </c>
      <c r="U245" s="3">
        <v>6</v>
      </c>
      <c r="V245" s="3">
        <v>6</v>
      </c>
      <c r="W245" s="4" t="s">
        <v>3182</v>
      </c>
      <c r="X245" s="4" t="s">
        <v>3182</v>
      </c>
      <c r="Y245" s="4" t="s">
        <v>2327</v>
      </c>
      <c r="Z245" s="4" t="s">
        <v>2327</v>
      </c>
      <c r="AA245" s="3">
        <v>206</v>
      </c>
      <c r="AB245" s="3">
        <v>167</v>
      </c>
      <c r="AC245" s="3">
        <v>174</v>
      </c>
      <c r="AD245" s="3">
        <v>2</v>
      </c>
      <c r="AE245" s="3">
        <v>2</v>
      </c>
      <c r="AF245" s="3">
        <v>5</v>
      </c>
      <c r="AG245" s="3">
        <v>5</v>
      </c>
      <c r="AH245" s="3">
        <v>0</v>
      </c>
      <c r="AI245" s="3">
        <v>0</v>
      </c>
      <c r="AJ245" s="3">
        <v>1</v>
      </c>
      <c r="AK245" s="3">
        <v>1</v>
      </c>
      <c r="AL245" s="3">
        <v>4</v>
      </c>
      <c r="AM245" s="3">
        <v>4</v>
      </c>
      <c r="AN245" s="3">
        <v>1</v>
      </c>
      <c r="AO245" s="3">
        <v>1</v>
      </c>
      <c r="AP245" s="3">
        <v>0</v>
      </c>
      <c r="AQ245" s="3">
        <v>0</v>
      </c>
      <c r="AR245" s="2" t="s">
        <v>8</v>
      </c>
      <c r="AS245" s="2" t="s">
        <v>6</v>
      </c>
      <c r="AT245" s="5" t="str">
        <f>HYPERLINK("http://catalog.hathitrust.org/Record/000251797","HathiTrust Record")</f>
        <v>HathiTrust Record</v>
      </c>
      <c r="AU245" s="5" t="str">
        <f>HYPERLINK("https://creighton-primo.hosted.exlibrisgroup.com/primo-explore/search?tab=default_tab&amp;search_scope=EVERYTHING&amp;vid=01CRU&amp;lang=en_US&amp;offset=0&amp;query=any,contains,991001175769702656","Catalog Record")</f>
        <v>Catalog Record</v>
      </c>
      <c r="AV245" s="5" t="str">
        <f>HYPERLINK("http://www.worldcat.org/oclc/3016744","WorldCat Record")</f>
        <v>WorldCat Record</v>
      </c>
      <c r="AW245" s="2" t="s">
        <v>3183</v>
      </c>
      <c r="AX245" s="2" t="s">
        <v>3184</v>
      </c>
      <c r="AY245" s="2" t="s">
        <v>3185</v>
      </c>
      <c r="AZ245" s="2" t="s">
        <v>3185</v>
      </c>
      <c r="BA245" s="2" t="s">
        <v>3186</v>
      </c>
      <c r="BB245" s="2" t="s">
        <v>21</v>
      </c>
      <c r="BD245" s="2" t="s">
        <v>3187</v>
      </c>
      <c r="BE245" s="2" t="s">
        <v>3188</v>
      </c>
      <c r="BF245" s="2" t="s">
        <v>3189</v>
      </c>
    </row>
    <row r="246" spans="1:58" ht="42.75" customHeight="1" x14ac:dyDescent="0.25">
      <c r="A246" s="8" t="s">
        <v>8</v>
      </c>
      <c r="B246" s="1" t="s">
        <v>0</v>
      </c>
      <c r="C246" s="1" t="s">
        <v>1</v>
      </c>
      <c r="D246" s="1" t="s">
        <v>3190</v>
      </c>
      <c r="E246" s="1" t="s">
        <v>3191</v>
      </c>
      <c r="F246" s="1" t="s">
        <v>3192</v>
      </c>
      <c r="H246" s="2" t="s">
        <v>8</v>
      </c>
      <c r="I246" s="2" t="s">
        <v>7</v>
      </c>
      <c r="J246" s="2" t="s">
        <v>8</v>
      </c>
      <c r="K246" s="2" t="s">
        <v>8</v>
      </c>
      <c r="L246" s="2" t="s">
        <v>9</v>
      </c>
      <c r="M246" s="1" t="s">
        <v>3193</v>
      </c>
      <c r="N246" s="1" t="s">
        <v>3194</v>
      </c>
      <c r="O246" s="2" t="s">
        <v>128</v>
      </c>
      <c r="Q246" s="2" t="s">
        <v>12</v>
      </c>
      <c r="R246" s="2" t="s">
        <v>774</v>
      </c>
      <c r="T246" s="2" t="s">
        <v>14</v>
      </c>
      <c r="U246" s="3">
        <v>6</v>
      </c>
      <c r="V246" s="3">
        <v>6</v>
      </c>
      <c r="W246" s="4" t="s">
        <v>3195</v>
      </c>
      <c r="X246" s="4" t="s">
        <v>3195</v>
      </c>
      <c r="Y246" s="4" t="s">
        <v>2327</v>
      </c>
      <c r="Z246" s="4" t="s">
        <v>2327</v>
      </c>
      <c r="AA246" s="3">
        <v>265</v>
      </c>
      <c r="AB246" s="3">
        <v>209</v>
      </c>
      <c r="AC246" s="3">
        <v>211</v>
      </c>
      <c r="AD246" s="3">
        <v>3</v>
      </c>
      <c r="AE246" s="3">
        <v>3</v>
      </c>
      <c r="AF246" s="3">
        <v>9</v>
      </c>
      <c r="AG246" s="3">
        <v>9</v>
      </c>
      <c r="AH246" s="3">
        <v>3</v>
      </c>
      <c r="AI246" s="3">
        <v>3</v>
      </c>
      <c r="AJ246" s="3">
        <v>3</v>
      </c>
      <c r="AK246" s="3">
        <v>3</v>
      </c>
      <c r="AL246" s="3">
        <v>5</v>
      </c>
      <c r="AM246" s="3">
        <v>5</v>
      </c>
      <c r="AN246" s="3">
        <v>2</v>
      </c>
      <c r="AO246" s="3">
        <v>2</v>
      </c>
      <c r="AP246" s="3">
        <v>0</v>
      </c>
      <c r="AQ246" s="3">
        <v>0</v>
      </c>
      <c r="AR246" s="2" t="s">
        <v>8</v>
      </c>
      <c r="AS246" s="2" t="s">
        <v>6</v>
      </c>
      <c r="AT246" s="5" t="str">
        <f>HYPERLINK("http://catalog.hathitrust.org/Record/000089607","HathiTrust Record")</f>
        <v>HathiTrust Record</v>
      </c>
      <c r="AU246" s="5" t="str">
        <f>HYPERLINK("https://creighton-primo.hosted.exlibrisgroup.com/primo-explore/search?tab=default_tab&amp;search_scope=EVERYTHING&amp;vid=01CRU&amp;lang=en_US&amp;offset=0&amp;query=any,contains,991001175739702656","Catalog Record")</f>
        <v>Catalog Record</v>
      </c>
      <c r="AV246" s="5" t="str">
        <f>HYPERLINK("http://www.worldcat.org/oclc/3542630","WorldCat Record")</f>
        <v>WorldCat Record</v>
      </c>
      <c r="AW246" s="2" t="s">
        <v>3196</v>
      </c>
      <c r="AX246" s="2" t="s">
        <v>3197</v>
      </c>
      <c r="AY246" s="2" t="s">
        <v>3198</v>
      </c>
      <c r="AZ246" s="2" t="s">
        <v>3198</v>
      </c>
      <c r="BA246" s="2" t="s">
        <v>3199</v>
      </c>
      <c r="BB246" s="2" t="s">
        <v>21</v>
      </c>
      <c r="BD246" s="2" t="s">
        <v>3200</v>
      </c>
      <c r="BE246" s="2" t="s">
        <v>3201</v>
      </c>
      <c r="BF246" s="2" t="s">
        <v>3202</v>
      </c>
    </row>
    <row r="247" spans="1:58" ht="42.75" customHeight="1" x14ac:dyDescent="0.25">
      <c r="A247" s="8" t="s">
        <v>8</v>
      </c>
      <c r="B247" s="1" t="s">
        <v>0</v>
      </c>
      <c r="C247" s="1" t="s">
        <v>1</v>
      </c>
      <c r="D247" s="1" t="s">
        <v>3203</v>
      </c>
      <c r="E247" s="1" t="s">
        <v>3204</v>
      </c>
      <c r="F247" s="1" t="s">
        <v>3205</v>
      </c>
      <c r="H247" s="2" t="s">
        <v>8</v>
      </c>
      <c r="I247" s="2" t="s">
        <v>7</v>
      </c>
      <c r="J247" s="2" t="s">
        <v>8</v>
      </c>
      <c r="K247" s="2" t="s">
        <v>8</v>
      </c>
      <c r="L247" s="2" t="s">
        <v>9</v>
      </c>
      <c r="M247" s="1" t="s">
        <v>3206</v>
      </c>
      <c r="N247" s="1" t="s">
        <v>3207</v>
      </c>
      <c r="O247" s="2" t="s">
        <v>589</v>
      </c>
      <c r="Q247" s="2" t="s">
        <v>12</v>
      </c>
      <c r="R247" s="2" t="s">
        <v>34</v>
      </c>
      <c r="T247" s="2" t="s">
        <v>14</v>
      </c>
      <c r="U247" s="3">
        <v>11</v>
      </c>
      <c r="V247" s="3">
        <v>11</v>
      </c>
      <c r="W247" s="4" t="s">
        <v>1845</v>
      </c>
      <c r="X247" s="4" t="s">
        <v>1845</v>
      </c>
      <c r="Y247" s="4" t="s">
        <v>3208</v>
      </c>
      <c r="Z247" s="4" t="s">
        <v>3208</v>
      </c>
      <c r="AA247" s="3">
        <v>166</v>
      </c>
      <c r="AB247" s="3">
        <v>140</v>
      </c>
      <c r="AC247" s="3">
        <v>147</v>
      </c>
      <c r="AD247" s="3">
        <v>1</v>
      </c>
      <c r="AE247" s="3">
        <v>1</v>
      </c>
      <c r="AF247" s="3">
        <v>1</v>
      </c>
      <c r="AG247" s="3">
        <v>1</v>
      </c>
      <c r="AH247" s="3">
        <v>0</v>
      </c>
      <c r="AI247" s="3">
        <v>0</v>
      </c>
      <c r="AJ247" s="3">
        <v>0</v>
      </c>
      <c r="AK247" s="3">
        <v>0</v>
      </c>
      <c r="AL247" s="3">
        <v>1</v>
      </c>
      <c r="AM247" s="3">
        <v>1</v>
      </c>
      <c r="AN247" s="3">
        <v>0</v>
      </c>
      <c r="AO247" s="3">
        <v>0</v>
      </c>
      <c r="AP247" s="3">
        <v>0</v>
      </c>
      <c r="AQ247" s="3">
        <v>0</v>
      </c>
      <c r="AR247" s="2" t="s">
        <v>8</v>
      </c>
      <c r="AS247" s="2" t="s">
        <v>6</v>
      </c>
      <c r="AT247" s="5" t="str">
        <f>HYPERLINK("http://catalog.hathitrust.org/Record/001950870","HathiTrust Record")</f>
        <v>HathiTrust Record</v>
      </c>
      <c r="AU247" s="5" t="str">
        <f>HYPERLINK("https://creighton-primo.hosted.exlibrisgroup.com/primo-explore/search?tab=default_tab&amp;search_scope=EVERYTHING&amp;vid=01CRU&amp;lang=en_US&amp;offset=0&amp;query=any,contains,991001454559702656","Catalog Record")</f>
        <v>Catalog Record</v>
      </c>
      <c r="AV247" s="5" t="str">
        <f>HYPERLINK("http://www.worldcat.org/oclc/20690297","WorldCat Record")</f>
        <v>WorldCat Record</v>
      </c>
      <c r="AW247" s="2" t="s">
        <v>3209</v>
      </c>
      <c r="AX247" s="2" t="s">
        <v>3210</v>
      </c>
      <c r="AY247" s="2" t="s">
        <v>3211</v>
      </c>
      <c r="AZ247" s="2" t="s">
        <v>3211</v>
      </c>
      <c r="BA247" s="2" t="s">
        <v>3212</v>
      </c>
      <c r="BB247" s="2" t="s">
        <v>21</v>
      </c>
      <c r="BD247" s="2" t="s">
        <v>3213</v>
      </c>
      <c r="BE247" s="2" t="s">
        <v>3214</v>
      </c>
      <c r="BF247" s="2" t="s">
        <v>3215</v>
      </c>
    </row>
    <row r="248" spans="1:58" ht="42.75" customHeight="1" x14ac:dyDescent="0.25">
      <c r="A248" s="8" t="s">
        <v>8</v>
      </c>
      <c r="B248" s="1" t="s">
        <v>0</v>
      </c>
      <c r="C248" s="1" t="s">
        <v>1</v>
      </c>
      <c r="D248" s="1" t="s">
        <v>3216</v>
      </c>
      <c r="E248" s="1" t="s">
        <v>3217</v>
      </c>
      <c r="F248" s="1" t="s">
        <v>3218</v>
      </c>
      <c r="H248" s="2" t="s">
        <v>8</v>
      </c>
      <c r="I248" s="2" t="s">
        <v>7</v>
      </c>
      <c r="J248" s="2" t="s">
        <v>8</v>
      </c>
      <c r="K248" s="2" t="s">
        <v>8</v>
      </c>
      <c r="L248" s="2" t="s">
        <v>9</v>
      </c>
      <c r="N248" s="1" t="s">
        <v>3219</v>
      </c>
      <c r="O248" s="2" t="s">
        <v>589</v>
      </c>
      <c r="Q248" s="2" t="s">
        <v>12</v>
      </c>
      <c r="R248" s="2" t="s">
        <v>456</v>
      </c>
      <c r="T248" s="2" t="s">
        <v>14</v>
      </c>
      <c r="U248" s="3">
        <v>2</v>
      </c>
      <c r="V248" s="3">
        <v>2</v>
      </c>
      <c r="W248" s="4" t="s">
        <v>3220</v>
      </c>
      <c r="X248" s="4" t="s">
        <v>3220</v>
      </c>
      <c r="Y248" s="4" t="s">
        <v>3220</v>
      </c>
      <c r="Z248" s="4" t="s">
        <v>3220</v>
      </c>
      <c r="AA248" s="3">
        <v>43</v>
      </c>
      <c r="AB248" s="3">
        <v>40</v>
      </c>
      <c r="AC248" s="3">
        <v>40</v>
      </c>
      <c r="AD248" s="3">
        <v>1</v>
      </c>
      <c r="AE248" s="3">
        <v>1</v>
      </c>
      <c r="AF248" s="3">
        <v>0</v>
      </c>
      <c r="AG248" s="3">
        <v>0</v>
      </c>
      <c r="AH248" s="3">
        <v>0</v>
      </c>
      <c r="AI248" s="3">
        <v>0</v>
      </c>
      <c r="AJ248" s="3">
        <v>0</v>
      </c>
      <c r="AK248" s="3">
        <v>0</v>
      </c>
      <c r="AL248" s="3">
        <v>0</v>
      </c>
      <c r="AM248" s="3">
        <v>0</v>
      </c>
      <c r="AN248" s="3">
        <v>0</v>
      </c>
      <c r="AO248" s="3">
        <v>0</v>
      </c>
      <c r="AP248" s="3">
        <v>0</v>
      </c>
      <c r="AQ248" s="3">
        <v>0</v>
      </c>
      <c r="AR248" s="2" t="s">
        <v>8</v>
      </c>
      <c r="AS248" s="2" t="s">
        <v>8</v>
      </c>
      <c r="AU248" s="5" t="str">
        <f>HYPERLINK("https://creighton-primo.hosted.exlibrisgroup.com/primo-explore/search?tab=default_tab&amp;search_scope=EVERYTHING&amp;vid=01CRU&amp;lang=en_US&amp;offset=0&amp;query=any,contains,991001449079702656","Catalog Record")</f>
        <v>Catalog Record</v>
      </c>
      <c r="AV248" s="5" t="str">
        <f>HYPERLINK("http://www.worldcat.org/oclc/25677258","WorldCat Record")</f>
        <v>WorldCat Record</v>
      </c>
      <c r="AW248" s="2" t="s">
        <v>3221</v>
      </c>
      <c r="AX248" s="2" t="s">
        <v>3222</v>
      </c>
      <c r="AY248" s="2" t="s">
        <v>3223</v>
      </c>
      <c r="AZ248" s="2" t="s">
        <v>3223</v>
      </c>
      <c r="BA248" s="2" t="s">
        <v>3224</v>
      </c>
      <c r="BB248" s="2" t="s">
        <v>21</v>
      </c>
      <c r="BE248" s="2" t="s">
        <v>3225</v>
      </c>
      <c r="BF248" s="2" t="s">
        <v>3226</v>
      </c>
    </row>
    <row r="249" spans="1:58" ht="42.75" customHeight="1" x14ac:dyDescent="0.25">
      <c r="A249" s="8" t="s">
        <v>8</v>
      </c>
      <c r="B249" s="1" t="s">
        <v>0</v>
      </c>
      <c r="C249" s="1" t="s">
        <v>1</v>
      </c>
      <c r="D249" s="1" t="s">
        <v>3227</v>
      </c>
      <c r="E249" s="1" t="s">
        <v>3228</v>
      </c>
      <c r="F249" s="1" t="s">
        <v>3229</v>
      </c>
      <c r="H249" s="2" t="s">
        <v>8</v>
      </c>
      <c r="I249" s="2" t="s">
        <v>7</v>
      </c>
      <c r="J249" s="2" t="s">
        <v>8</v>
      </c>
      <c r="K249" s="2" t="s">
        <v>8</v>
      </c>
      <c r="L249" s="2" t="s">
        <v>9</v>
      </c>
      <c r="M249" s="1" t="s">
        <v>3230</v>
      </c>
      <c r="N249" s="1" t="s">
        <v>3231</v>
      </c>
      <c r="O249" s="2" t="s">
        <v>266</v>
      </c>
      <c r="Q249" s="2" t="s">
        <v>12</v>
      </c>
      <c r="R249" s="2" t="s">
        <v>267</v>
      </c>
      <c r="T249" s="2" t="s">
        <v>14</v>
      </c>
      <c r="U249" s="3">
        <v>10</v>
      </c>
      <c r="V249" s="3">
        <v>10</v>
      </c>
      <c r="W249" s="4" t="s">
        <v>3232</v>
      </c>
      <c r="X249" s="4" t="s">
        <v>3232</v>
      </c>
      <c r="Y249" s="4" t="s">
        <v>2327</v>
      </c>
      <c r="Z249" s="4" t="s">
        <v>2327</v>
      </c>
      <c r="AA249" s="3">
        <v>26</v>
      </c>
      <c r="AB249" s="3">
        <v>22</v>
      </c>
      <c r="AC249" s="3">
        <v>22</v>
      </c>
      <c r="AD249" s="3">
        <v>1</v>
      </c>
      <c r="AE249" s="3">
        <v>1</v>
      </c>
      <c r="AF249" s="3">
        <v>0</v>
      </c>
      <c r="AG249" s="3">
        <v>0</v>
      </c>
      <c r="AH249" s="3">
        <v>0</v>
      </c>
      <c r="AI249" s="3">
        <v>0</v>
      </c>
      <c r="AJ249" s="3">
        <v>0</v>
      </c>
      <c r="AK249" s="3">
        <v>0</v>
      </c>
      <c r="AL249" s="3">
        <v>0</v>
      </c>
      <c r="AM249" s="3">
        <v>0</v>
      </c>
      <c r="AN249" s="3">
        <v>0</v>
      </c>
      <c r="AO249" s="3">
        <v>0</v>
      </c>
      <c r="AP249" s="3">
        <v>0</v>
      </c>
      <c r="AQ249" s="3">
        <v>0</v>
      </c>
      <c r="AR249" s="2" t="s">
        <v>8</v>
      </c>
      <c r="AS249" s="2" t="s">
        <v>8</v>
      </c>
      <c r="AU249" s="5" t="str">
        <f>HYPERLINK("https://creighton-primo.hosted.exlibrisgroup.com/primo-explore/search?tab=default_tab&amp;search_scope=EVERYTHING&amp;vid=01CRU&amp;lang=en_US&amp;offset=0&amp;query=any,contains,991001175809702656","Catalog Record")</f>
        <v>Catalog Record</v>
      </c>
      <c r="AV249" s="5" t="str">
        <f>HYPERLINK("http://www.worldcat.org/oclc/9621330","WorldCat Record")</f>
        <v>WorldCat Record</v>
      </c>
      <c r="AW249" s="2" t="s">
        <v>3233</v>
      </c>
      <c r="AX249" s="2" t="s">
        <v>3234</v>
      </c>
      <c r="AY249" s="2" t="s">
        <v>3235</v>
      </c>
      <c r="AZ249" s="2" t="s">
        <v>3235</v>
      </c>
      <c r="BA249" s="2" t="s">
        <v>3236</v>
      </c>
      <c r="BB249" s="2" t="s">
        <v>21</v>
      </c>
      <c r="BD249" s="2" t="s">
        <v>3237</v>
      </c>
      <c r="BE249" s="2" t="s">
        <v>3238</v>
      </c>
      <c r="BF249" s="2" t="s">
        <v>3239</v>
      </c>
    </row>
    <row r="250" spans="1:58" ht="42.75" customHeight="1" x14ac:dyDescent="0.25">
      <c r="A250" s="8" t="s">
        <v>8</v>
      </c>
      <c r="B250" s="1" t="s">
        <v>0</v>
      </c>
      <c r="C250" s="1" t="s">
        <v>1</v>
      </c>
      <c r="D250" s="1" t="s">
        <v>3240</v>
      </c>
      <c r="E250" s="1" t="s">
        <v>3241</v>
      </c>
      <c r="F250" s="1" t="s">
        <v>3242</v>
      </c>
      <c r="H250" s="2" t="s">
        <v>8</v>
      </c>
      <c r="I250" s="2" t="s">
        <v>7</v>
      </c>
      <c r="J250" s="2" t="s">
        <v>8</v>
      </c>
      <c r="K250" s="2" t="s">
        <v>8</v>
      </c>
      <c r="L250" s="2" t="s">
        <v>9</v>
      </c>
      <c r="N250" s="1" t="s">
        <v>3243</v>
      </c>
      <c r="O250" s="2" t="s">
        <v>128</v>
      </c>
      <c r="Q250" s="2" t="s">
        <v>12</v>
      </c>
      <c r="R250" s="2" t="s">
        <v>13</v>
      </c>
      <c r="T250" s="2" t="s">
        <v>14</v>
      </c>
      <c r="U250" s="3">
        <v>3</v>
      </c>
      <c r="V250" s="3">
        <v>3</v>
      </c>
      <c r="W250" s="4" t="s">
        <v>3244</v>
      </c>
      <c r="X250" s="4" t="s">
        <v>3244</v>
      </c>
      <c r="Y250" s="4" t="s">
        <v>1766</v>
      </c>
      <c r="Z250" s="4" t="s">
        <v>1766</v>
      </c>
      <c r="AA250" s="3">
        <v>292</v>
      </c>
      <c r="AB250" s="3">
        <v>232</v>
      </c>
      <c r="AC250" s="3">
        <v>427</v>
      </c>
      <c r="AD250" s="3">
        <v>3</v>
      </c>
      <c r="AE250" s="3">
        <v>5</v>
      </c>
      <c r="AF250" s="3">
        <v>11</v>
      </c>
      <c r="AG250" s="3">
        <v>24</v>
      </c>
      <c r="AH250" s="3">
        <v>4</v>
      </c>
      <c r="AI250" s="3">
        <v>9</v>
      </c>
      <c r="AJ250" s="3">
        <v>2</v>
      </c>
      <c r="AK250" s="3">
        <v>5</v>
      </c>
      <c r="AL250" s="3">
        <v>6</v>
      </c>
      <c r="AM250" s="3">
        <v>13</v>
      </c>
      <c r="AN250" s="3">
        <v>2</v>
      </c>
      <c r="AO250" s="3">
        <v>3</v>
      </c>
      <c r="AP250" s="3">
        <v>0</v>
      </c>
      <c r="AQ250" s="3">
        <v>0</v>
      </c>
      <c r="AR250" s="2" t="s">
        <v>8</v>
      </c>
      <c r="AS250" s="2" t="s">
        <v>6</v>
      </c>
      <c r="AT250" s="5" t="str">
        <f>HYPERLINK("http://catalog.hathitrust.org/Record/000215967","HathiTrust Record")</f>
        <v>HathiTrust Record</v>
      </c>
      <c r="AU250" s="5" t="str">
        <f>HYPERLINK("https://creighton-primo.hosted.exlibrisgroup.com/primo-explore/search?tab=default_tab&amp;search_scope=EVERYTHING&amp;vid=01CRU&amp;lang=en_US&amp;offset=0&amp;query=any,contains,991000753599702656","Catalog Record")</f>
        <v>Catalog Record</v>
      </c>
      <c r="AV250" s="5" t="str">
        <f>HYPERLINK("http://www.worldcat.org/oclc/4194084","WorldCat Record")</f>
        <v>WorldCat Record</v>
      </c>
      <c r="AW250" s="2" t="s">
        <v>3245</v>
      </c>
      <c r="AX250" s="2" t="s">
        <v>3246</v>
      </c>
      <c r="AY250" s="2" t="s">
        <v>3247</v>
      </c>
      <c r="AZ250" s="2" t="s">
        <v>3247</v>
      </c>
      <c r="BA250" s="2" t="s">
        <v>3248</v>
      </c>
      <c r="BB250" s="2" t="s">
        <v>21</v>
      </c>
      <c r="BD250" s="2" t="s">
        <v>3249</v>
      </c>
      <c r="BE250" s="2" t="s">
        <v>3250</v>
      </c>
      <c r="BF250" s="2" t="s">
        <v>3251</v>
      </c>
    </row>
    <row r="251" spans="1:58" ht="42.75" customHeight="1" x14ac:dyDescent="0.25">
      <c r="A251" s="8" t="s">
        <v>8</v>
      </c>
      <c r="B251" s="1" t="s">
        <v>0</v>
      </c>
      <c r="C251" s="1" t="s">
        <v>1</v>
      </c>
      <c r="D251" s="1" t="s">
        <v>3252</v>
      </c>
      <c r="E251" s="1" t="s">
        <v>3253</v>
      </c>
      <c r="F251" s="1" t="s">
        <v>3254</v>
      </c>
      <c r="H251" s="2" t="s">
        <v>8</v>
      </c>
      <c r="I251" s="2" t="s">
        <v>7</v>
      </c>
      <c r="J251" s="2" t="s">
        <v>8</v>
      </c>
      <c r="K251" s="2" t="s">
        <v>8</v>
      </c>
      <c r="L251" s="2" t="s">
        <v>9</v>
      </c>
      <c r="M251" s="1" t="s">
        <v>3255</v>
      </c>
      <c r="N251" s="1" t="s">
        <v>3256</v>
      </c>
      <c r="O251" s="2" t="s">
        <v>814</v>
      </c>
      <c r="Q251" s="2" t="s">
        <v>12</v>
      </c>
      <c r="R251" s="2" t="s">
        <v>520</v>
      </c>
      <c r="T251" s="2" t="s">
        <v>14</v>
      </c>
      <c r="U251" s="3">
        <v>1</v>
      </c>
      <c r="V251" s="3">
        <v>1</v>
      </c>
      <c r="W251" s="4" t="s">
        <v>3257</v>
      </c>
      <c r="X251" s="4" t="s">
        <v>3257</v>
      </c>
      <c r="Y251" s="4" t="s">
        <v>3258</v>
      </c>
      <c r="Z251" s="4" t="s">
        <v>3258</v>
      </c>
      <c r="AA251" s="3">
        <v>39</v>
      </c>
      <c r="AB251" s="3">
        <v>38</v>
      </c>
      <c r="AC251" s="3">
        <v>40</v>
      </c>
      <c r="AD251" s="3">
        <v>1</v>
      </c>
      <c r="AE251" s="3">
        <v>1</v>
      </c>
      <c r="AF251" s="3">
        <v>0</v>
      </c>
      <c r="AG251" s="3">
        <v>0</v>
      </c>
      <c r="AH251" s="3">
        <v>0</v>
      </c>
      <c r="AI251" s="3">
        <v>0</v>
      </c>
      <c r="AJ251" s="3">
        <v>0</v>
      </c>
      <c r="AK251" s="3">
        <v>0</v>
      </c>
      <c r="AL251" s="3">
        <v>0</v>
      </c>
      <c r="AM251" s="3">
        <v>0</v>
      </c>
      <c r="AN251" s="3">
        <v>0</v>
      </c>
      <c r="AO251" s="3">
        <v>0</v>
      </c>
      <c r="AP251" s="3">
        <v>0</v>
      </c>
      <c r="AQ251" s="3">
        <v>0</v>
      </c>
      <c r="AR251" s="2" t="s">
        <v>8</v>
      </c>
      <c r="AS251" s="2" t="s">
        <v>6</v>
      </c>
      <c r="AT251" s="5" t="str">
        <f>HYPERLINK("http://catalog.hathitrust.org/Record/004025651","HathiTrust Record")</f>
        <v>HathiTrust Record</v>
      </c>
      <c r="AU251" s="5" t="str">
        <f>HYPERLINK("https://creighton-primo.hosted.exlibrisgroup.com/primo-explore/search?tab=default_tab&amp;search_scope=EVERYTHING&amp;vid=01CRU&amp;lang=en_US&amp;offset=0&amp;query=any,contains,991001407169702656","Catalog Record")</f>
        <v>Catalog Record</v>
      </c>
      <c r="AV251" s="5" t="str">
        <f>HYPERLINK("http://www.worldcat.org/oclc/42683322","WorldCat Record")</f>
        <v>WorldCat Record</v>
      </c>
      <c r="AW251" s="2" t="s">
        <v>3259</v>
      </c>
      <c r="AX251" s="2" t="s">
        <v>3260</v>
      </c>
      <c r="AY251" s="2" t="s">
        <v>3261</v>
      </c>
      <c r="AZ251" s="2" t="s">
        <v>3261</v>
      </c>
      <c r="BA251" s="2" t="s">
        <v>3262</v>
      </c>
      <c r="BB251" s="2" t="s">
        <v>21</v>
      </c>
      <c r="BD251" s="2" t="s">
        <v>3263</v>
      </c>
      <c r="BE251" s="2" t="s">
        <v>3264</v>
      </c>
      <c r="BF251" s="2" t="s">
        <v>3265</v>
      </c>
    </row>
    <row r="252" spans="1:58" ht="42.75" customHeight="1" x14ac:dyDescent="0.25">
      <c r="A252" s="8" t="s">
        <v>8</v>
      </c>
      <c r="B252" s="1" t="s">
        <v>0</v>
      </c>
      <c r="C252" s="1" t="s">
        <v>1</v>
      </c>
      <c r="D252" s="1" t="s">
        <v>3266</v>
      </c>
      <c r="E252" s="1" t="s">
        <v>3267</v>
      </c>
      <c r="F252" s="1" t="s">
        <v>3268</v>
      </c>
      <c r="H252" s="2" t="s">
        <v>8</v>
      </c>
      <c r="I252" s="2" t="s">
        <v>7</v>
      </c>
      <c r="J252" s="2" t="s">
        <v>8</v>
      </c>
      <c r="K252" s="2" t="s">
        <v>8</v>
      </c>
      <c r="L252" s="2" t="s">
        <v>9</v>
      </c>
      <c r="M252" s="1" t="s">
        <v>3269</v>
      </c>
      <c r="N252" s="1" t="s">
        <v>3270</v>
      </c>
      <c r="O252" s="2" t="s">
        <v>1060</v>
      </c>
      <c r="P252" s="1" t="s">
        <v>732</v>
      </c>
      <c r="Q252" s="2" t="s">
        <v>12</v>
      </c>
      <c r="R252" s="2" t="s">
        <v>1340</v>
      </c>
      <c r="T252" s="2" t="s">
        <v>14</v>
      </c>
      <c r="U252" s="3">
        <v>5</v>
      </c>
      <c r="V252" s="3">
        <v>5</v>
      </c>
      <c r="W252" s="4" t="s">
        <v>3271</v>
      </c>
      <c r="X252" s="4" t="s">
        <v>3271</v>
      </c>
      <c r="Y252" s="4" t="s">
        <v>1341</v>
      </c>
      <c r="Z252" s="4" t="s">
        <v>1341</v>
      </c>
      <c r="AA252" s="3">
        <v>12</v>
      </c>
      <c r="AB252" s="3">
        <v>11</v>
      </c>
      <c r="AC252" s="3">
        <v>15</v>
      </c>
      <c r="AD252" s="3">
        <v>1</v>
      </c>
      <c r="AE252" s="3">
        <v>1</v>
      </c>
      <c r="AF252" s="3">
        <v>0</v>
      </c>
      <c r="AG252" s="3">
        <v>0</v>
      </c>
      <c r="AH252" s="3">
        <v>0</v>
      </c>
      <c r="AI252" s="3">
        <v>0</v>
      </c>
      <c r="AJ252" s="3">
        <v>0</v>
      </c>
      <c r="AK252" s="3">
        <v>0</v>
      </c>
      <c r="AL252" s="3">
        <v>0</v>
      </c>
      <c r="AM252" s="3">
        <v>0</v>
      </c>
      <c r="AN252" s="3">
        <v>0</v>
      </c>
      <c r="AO252" s="3">
        <v>0</v>
      </c>
      <c r="AP252" s="3">
        <v>0</v>
      </c>
      <c r="AQ252" s="3">
        <v>0</v>
      </c>
      <c r="AR252" s="2" t="s">
        <v>8</v>
      </c>
      <c r="AS252" s="2" t="s">
        <v>8</v>
      </c>
      <c r="AU252" s="5" t="str">
        <f>HYPERLINK("https://creighton-primo.hosted.exlibrisgroup.com/primo-explore/search?tab=default_tab&amp;search_scope=EVERYTHING&amp;vid=01CRU&amp;lang=en_US&amp;offset=0&amp;query=any,contains,991001560929702656","Catalog Record")</f>
        <v>Catalog Record</v>
      </c>
      <c r="AV252" s="5" t="str">
        <f>HYPERLINK("http://www.worldcat.org/oclc/34795636","WorldCat Record")</f>
        <v>WorldCat Record</v>
      </c>
      <c r="AW252" s="2" t="s">
        <v>3272</v>
      </c>
      <c r="AX252" s="2" t="s">
        <v>3273</v>
      </c>
      <c r="AY252" s="2" t="s">
        <v>3274</v>
      </c>
      <c r="AZ252" s="2" t="s">
        <v>3274</v>
      </c>
      <c r="BA252" s="2" t="s">
        <v>3275</v>
      </c>
      <c r="BB252" s="2" t="s">
        <v>21</v>
      </c>
      <c r="BD252" s="2" t="s">
        <v>3276</v>
      </c>
      <c r="BE252" s="2" t="s">
        <v>3277</v>
      </c>
      <c r="BF252" s="2" t="s">
        <v>3278</v>
      </c>
    </row>
    <row r="253" spans="1:58" ht="42.75" customHeight="1" x14ac:dyDescent="0.25">
      <c r="A253" s="8" t="s">
        <v>8</v>
      </c>
      <c r="B253" s="1" t="s">
        <v>0</v>
      </c>
      <c r="C253" s="1" t="s">
        <v>1</v>
      </c>
      <c r="D253" s="1" t="s">
        <v>3279</v>
      </c>
      <c r="E253" s="1" t="s">
        <v>3280</v>
      </c>
      <c r="F253" s="1" t="s">
        <v>3281</v>
      </c>
      <c r="H253" s="2" t="s">
        <v>8</v>
      </c>
      <c r="I253" s="2" t="s">
        <v>7</v>
      </c>
      <c r="J253" s="2" t="s">
        <v>8</v>
      </c>
      <c r="K253" s="2" t="s">
        <v>8</v>
      </c>
      <c r="L253" s="2" t="s">
        <v>9</v>
      </c>
      <c r="M253" s="1" t="s">
        <v>3282</v>
      </c>
      <c r="N253" s="1" t="s">
        <v>3283</v>
      </c>
      <c r="O253" s="2" t="s">
        <v>3284</v>
      </c>
      <c r="Q253" s="2" t="s">
        <v>12</v>
      </c>
      <c r="R253" s="2" t="s">
        <v>1340</v>
      </c>
      <c r="T253" s="2" t="s">
        <v>14</v>
      </c>
      <c r="U253" s="3">
        <v>2</v>
      </c>
      <c r="V253" s="3">
        <v>2</v>
      </c>
      <c r="W253" s="4" t="s">
        <v>578</v>
      </c>
      <c r="X253" s="4" t="s">
        <v>578</v>
      </c>
      <c r="Y253" s="4" t="s">
        <v>1254</v>
      </c>
      <c r="Z253" s="4" t="s">
        <v>1254</v>
      </c>
      <c r="AA253" s="3">
        <v>72</v>
      </c>
      <c r="AB253" s="3">
        <v>64</v>
      </c>
      <c r="AC253" s="3">
        <v>73</v>
      </c>
      <c r="AD253" s="3">
        <v>1</v>
      </c>
      <c r="AE253" s="3">
        <v>1</v>
      </c>
      <c r="AF253" s="3">
        <v>0</v>
      </c>
      <c r="AG253" s="3">
        <v>0</v>
      </c>
      <c r="AH253" s="3">
        <v>0</v>
      </c>
      <c r="AI253" s="3">
        <v>0</v>
      </c>
      <c r="AJ253" s="3">
        <v>0</v>
      </c>
      <c r="AK253" s="3">
        <v>0</v>
      </c>
      <c r="AL253" s="3">
        <v>0</v>
      </c>
      <c r="AM253" s="3">
        <v>0</v>
      </c>
      <c r="AN253" s="3">
        <v>0</v>
      </c>
      <c r="AO253" s="3">
        <v>0</v>
      </c>
      <c r="AP253" s="3">
        <v>0</v>
      </c>
      <c r="AQ253" s="3">
        <v>0</v>
      </c>
      <c r="AR253" s="2" t="s">
        <v>6</v>
      </c>
      <c r="AS253" s="2" t="s">
        <v>8</v>
      </c>
      <c r="AT253" s="5" t="str">
        <f>HYPERLINK("http://catalog.hathitrust.org/Record/001557718","HathiTrust Record")</f>
        <v>HathiTrust Record</v>
      </c>
      <c r="AU253" s="5" t="str">
        <f>HYPERLINK("https://creighton-primo.hosted.exlibrisgroup.com/primo-explore/search?tab=default_tab&amp;search_scope=EVERYTHING&amp;vid=01CRU&amp;lang=en_US&amp;offset=0&amp;query=any,contains,991001178799702656","Catalog Record")</f>
        <v>Catalog Record</v>
      </c>
      <c r="AV253" s="5" t="str">
        <f>HYPERLINK("http://www.worldcat.org/oclc/3162389","WorldCat Record")</f>
        <v>WorldCat Record</v>
      </c>
      <c r="AW253" s="2" t="s">
        <v>3285</v>
      </c>
      <c r="AX253" s="2" t="s">
        <v>3286</v>
      </c>
      <c r="AY253" s="2" t="s">
        <v>3287</v>
      </c>
      <c r="AZ253" s="2" t="s">
        <v>3287</v>
      </c>
      <c r="BA253" s="2" t="s">
        <v>3288</v>
      </c>
      <c r="BB253" s="2" t="s">
        <v>21</v>
      </c>
      <c r="BE253" s="2" t="s">
        <v>3289</v>
      </c>
      <c r="BF253" s="2" t="s">
        <v>3290</v>
      </c>
    </row>
    <row r="254" spans="1:58" ht="42.75" customHeight="1" x14ac:dyDescent="0.25">
      <c r="A254" s="8" t="s">
        <v>8</v>
      </c>
      <c r="B254" s="1" t="s">
        <v>0</v>
      </c>
      <c r="C254" s="1" t="s">
        <v>1</v>
      </c>
      <c r="D254" s="1" t="s">
        <v>3291</v>
      </c>
      <c r="E254" s="1" t="s">
        <v>3292</v>
      </c>
      <c r="F254" s="1" t="s">
        <v>3293</v>
      </c>
      <c r="H254" s="2" t="s">
        <v>8</v>
      </c>
      <c r="I254" s="2" t="s">
        <v>7</v>
      </c>
      <c r="J254" s="2" t="s">
        <v>8</v>
      </c>
      <c r="K254" s="2" t="s">
        <v>8</v>
      </c>
      <c r="L254" s="2" t="s">
        <v>9</v>
      </c>
      <c r="N254" s="1" t="s">
        <v>3294</v>
      </c>
      <c r="O254" s="2" t="s">
        <v>1060</v>
      </c>
      <c r="Q254" s="2" t="s">
        <v>12</v>
      </c>
      <c r="R254" s="2" t="s">
        <v>1211</v>
      </c>
      <c r="T254" s="2" t="s">
        <v>14</v>
      </c>
      <c r="U254" s="3">
        <v>7</v>
      </c>
      <c r="V254" s="3">
        <v>7</v>
      </c>
      <c r="W254" s="4" t="s">
        <v>3295</v>
      </c>
      <c r="X254" s="4" t="s">
        <v>3295</v>
      </c>
      <c r="Y254" s="4" t="s">
        <v>3296</v>
      </c>
      <c r="Z254" s="4" t="s">
        <v>3296</v>
      </c>
      <c r="AA254" s="3">
        <v>199</v>
      </c>
      <c r="AB254" s="3">
        <v>189</v>
      </c>
      <c r="AC254" s="3">
        <v>196</v>
      </c>
      <c r="AD254" s="3">
        <v>2</v>
      </c>
      <c r="AE254" s="3">
        <v>2</v>
      </c>
      <c r="AF254" s="3">
        <v>5</v>
      </c>
      <c r="AG254" s="3">
        <v>5</v>
      </c>
      <c r="AH254" s="3">
        <v>2</v>
      </c>
      <c r="AI254" s="3">
        <v>2</v>
      </c>
      <c r="AJ254" s="3">
        <v>2</v>
      </c>
      <c r="AK254" s="3">
        <v>2</v>
      </c>
      <c r="AL254" s="3">
        <v>2</v>
      </c>
      <c r="AM254" s="3">
        <v>2</v>
      </c>
      <c r="AN254" s="3">
        <v>0</v>
      </c>
      <c r="AO254" s="3">
        <v>0</v>
      </c>
      <c r="AP254" s="3">
        <v>0</v>
      </c>
      <c r="AQ254" s="3">
        <v>0</v>
      </c>
      <c r="AR254" s="2" t="s">
        <v>8</v>
      </c>
      <c r="AS254" s="2" t="s">
        <v>6</v>
      </c>
      <c r="AT254" s="5" t="str">
        <f>HYPERLINK("http://catalog.hathitrust.org/Record/003100699","HathiTrust Record")</f>
        <v>HathiTrust Record</v>
      </c>
      <c r="AU254" s="5" t="str">
        <f>HYPERLINK("https://creighton-primo.hosted.exlibrisgroup.com/primo-explore/search?tab=default_tab&amp;search_scope=EVERYTHING&amp;vid=01CRU&amp;lang=en_US&amp;offset=0&amp;query=any,contains,991001506009702656","Catalog Record")</f>
        <v>Catalog Record</v>
      </c>
      <c r="AV254" s="5" t="str">
        <f>HYPERLINK("http://www.worldcat.org/oclc/33983438","WorldCat Record")</f>
        <v>WorldCat Record</v>
      </c>
      <c r="AW254" s="2" t="s">
        <v>3297</v>
      </c>
      <c r="AX254" s="2" t="s">
        <v>3298</v>
      </c>
      <c r="AY254" s="2" t="s">
        <v>3299</v>
      </c>
      <c r="AZ254" s="2" t="s">
        <v>3299</v>
      </c>
      <c r="BA254" s="2" t="s">
        <v>3300</v>
      </c>
      <c r="BB254" s="2" t="s">
        <v>21</v>
      </c>
      <c r="BD254" s="2" t="s">
        <v>3301</v>
      </c>
      <c r="BE254" s="2" t="s">
        <v>3302</v>
      </c>
      <c r="BF254" s="2" t="s">
        <v>3303</v>
      </c>
    </row>
    <row r="255" spans="1:58" ht="42.75" customHeight="1" x14ac:dyDescent="0.25">
      <c r="A255" s="8" t="s">
        <v>8</v>
      </c>
      <c r="B255" s="1" t="s">
        <v>0</v>
      </c>
      <c r="C255" s="1" t="s">
        <v>1</v>
      </c>
      <c r="D255" s="1" t="s">
        <v>3304</v>
      </c>
      <c r="E255" s="1" t="s">
        <v>3305</v>
      </c>
      <c r="F255" s="1" t="s">
        <v>3306</v>
      </c>
      <c r="H255" s="2" t="s">
        <v>8</v>
      </c>
      <c r="I255" s="2" t="s">
        <v>7</v>
      </c>
      <c r="J255" s="2" t="s">
        <v>8</v>
      </c>
      <c r="K255" s="2" t="s">
        <v>8</v>
      </c>
      <c r="L255" s="2" t="s">
        <v>9</v>
      </c>
      <c r="M255" s="1" t="s">
        <v>3307</v>
      </c>
      <c r="N255" s="1" t="s">
        <v>3308</v>
      </c>
      <c r="O255" s="2" t="s">
        <v>602</v>
      </c>
      <c r="Q255" s="2" t="s">
        <v>12</v>
      </c>
      <c r="R255" s="2" t="s">
        <v>590</v>
      </c>
      <c r="S255" s="1" t="s">
        <v>3309</v>
      </c>
      <c r="T255" s="2" t="s">
        <v>14</v>
      </c>
      <c r="U255" s="3">
        <v>2</v>
      </c>
      <c r="V255" s="3">
        <v>2</v>
      </c>
      <c r="W255" s="4" t="s">
        <v>3310</v>
      </c>
      <c r="X255" s="4" t="s">
        <v>3310</v>
      </c>
      <c r="Y255" s="4" t="s">
        <v>3310</v>
      </c>
      <c r="Z255" s="4" t="s">
        <v>3310</v>
      </c>
      <c r="AA255" s="3">
        <v>132</v>
      </c>
      <c r="AB255" s="3">
        <v>132</v>
      </c>
      <c r="AC255" s="3">
        <v>132</v>
      </c>
      <c r="AD255" s="3">
        <v>2</v>
      </c>
      <c r="AE255" s="3">
        <v>2</v>
      </c>
      <c r="AF255" s="3">
        <v>2</v>
      </c>
      <c r="AG255" s="3">
        <v>2</v>
      </c>
      <c r="AH255" s="3">
        <v>0</v>
      </c>
      <c r="AI255" s="3">
        <v>0</v>
      </c>
      <c r="AJ255" s="3">
        <v>0</v>
      </c>
      <c r="AK255" s="3">
        <v>0</v>
      </c>
      <c r="AL255" s="3">
        <v>0</v>
      </c>
      <c r="AM255" s="3">
        <v>0</v>
      </c>
      <c r="AN255" s="3">
        <v>0</v>
      </c>
      <c r="AO255" s="3">
        <v>0</v>
      </c>
      <c r="AP255" s="3">
        <v>2</v>
      </c>
      <c r="AQ255" s="3">
        <v>2</v>
      </c>
      <c r="AR255" s="2" t="s">
        <v>8</v>
      </c>
      <c r="AS255" s="2" t="s">
        <v>8</v>
      </c>
      <c r="AU255" s="5" t="str">
        <f>HYPERLINK("https://creighton-primo.hosted.exlibrisgroup.com/primo-explore/search?tab=default_tab&amp;search_scope=EVERYTHING&amp;vid=01CRU&amp;lang=en_US&amp;offset=0&amp;query=any,contains,991001030839702656","Catalog Record")</f>
        <v>Catalog Record</v>
      </c>
      <c r="AV255" s="5" t="str">
        <f>HYPERLINK("http://www.worldcat.org/oclc/23446117","WorldCat Record")</f>
        <v>WorldCat Record</v>
      </c>
      <c r="AW255" s="2" t="s">
        <v>3311</v>
      </c>
      <c r="AX255" s="2" t="s">
        <v>3312</v>
      </c>
      <c r="AY255" s="2" t="s">
        <v>3313</v>
      </c>
      <c r="AZ255" s="2" t="s">
        <v>3313</v>
      </c>
      <c r="BA255" s="2" t="s">
        <v>3314</v>
      </c>
      <c r="BB255" s="2" t="s">
        <v>21</v>
      </c>
      <c r="BD255" s="2" t="s">
        <v>3315</v>
      </c>
      <c r="BE255" s="2" t="s">
        <v>3316</v>
      </c>
      <c r="BF255" s="2" t="s">
        <v>3317</v>
      </c>
    </row>
    <row r="256" spans="1:58" ht="42.75" customHeight="1" x14ac:dyDescent="0.25">
      <c r="A256" s="8" t="s">
        <v>8</v>
      </c>
      <c r="B256" s="1" t="s">
        <v>0</v>
      </c>
      <c r="C256" s="1" t="s">
        <v>1</v>
      </c>
      <c r="D256" s="1" t="s">
        <v>3318</v>
      </c>
      <c r="E256" s="1" t="s">
        <v>3319</v>
      </c>
      <c r="F256" s="1" t="s">
        <v>3320</v>
      </c>
      <c r="H256" s="2" t="s">
        <v>8</v>
      </c>
      <c r="I256" s="2" t="s">
        <v>7</v>
      </c>
      <c r="J256" s="2" t="s">
        <v>8</v>
      </c>
      <c r="K256" s="2" t="s">
        <v>8</v>
      </c>
      <c r="L256" s="2" t="s">
        <v>9</v>
      </c>
      <c r="N256" s="1" t="s">
        <v>3321</v>
      </c>
      <c r="O256" s="2" t="s">
        <v>298</v>
      </c>
      <c r="Q256" s="2" t="s">
        <v>12</v>
      </c>
      <c r="R256" s="2" t="s">
        <v>34</v>
      </c>
      <c r="T256" s="2" t="s">
        <v>14</v>
      </c>
      <c r="U256" s="3">
        <v>4</v>
      </c>
      <c r="V256" s="3">
        <v>4</v>
      </c>
      <c r="W256" s="4" t="s">
        <v>3322</v>
      </c>
      <c r="X256" s="4" t="s">
        <v>3322</v>
      </c>
      <c r="Y256" s="4" t="s">
        <v>3323</v>
      </c>
      <c r="Z256" s="4" t="s">
        <v>3323</v>
      </c>
      <c r="AA256" s="3">
        <v>313</v>
      </c>
      <c r="AB256" s="3">
        <v>249</v>
      </c>
      <c r="AC256" s="3">
        <v>273</v>
      </c>
      <c r="AD256" s="3">
        <v>1</v>
      </c>
      <c r="AE256" s="3">
        <v>1</v>
      </c>
      <c r="AF256" s="3">
        <v>9</v>
      </c>
      <c r="AG256" s="3">
        <v>9</v>
      </c>
      <c r="AH256" s="3">
        <v>3</v>
      </c>
      <c r="AI256" s="3">
        <v>3</v>
      </c>
      <c r="AJ256" s="3">
        <v>3</v>
      </c>
      <c r="AK256" s="3">
        <v>3</v>
      </c>
      <c r="AL256" s="3">
        <v>4</v>
      </c>
      <c r="AM256" s="3">
        <v>4</v>
      </c>
      <c r="AN256" s="3">
        <v>0</v>
      </c>
      <c r="AO256" s="3">
        <v>0</v>
      </c>
      <c r="AP256" s="3">
        <v>0</v>
      </c>
      <c r="AQ256" s="3">
        <v>0</v>
      </c>
      <c r="AR256" s="2" t="s">
        <v>8</v>
      </c>
      <c r="AS256" s="2" t="s">
        <v>8</v>
      </c>
      <c r="AU256" s="5" t="str">
        <f>HYPERLINK("https://creighton-primo.hosted.exlibrisgroup.com/primo-explore/search?tab=default_tab&amp;search_scope=EVERYTHING&amp;vid=01CRU&amp;lang=en_US&amp;offset=0&amp;query=any,contains,991001533499702656","Catalog Record")</f>
        <v>Catalog Record</v>
      </c>
      <c r="AV256" s="5" t="str">
        <f>HYPERLINK("http://www.worldcat.org/oclc/15789505","WorldCat Record")</f>
        <v>WorldCat Record</v>
      </c>
      <c r="AW256" s="2" t="s">
        <v>3324</v>
      </c>
      <c r="AX256" s="2" t="s">
        <v>3325</v>
      </c>
      <c r="AY256" s="2" t="s">
        <v>3326</v>
      </c>
      <c r="AZ256" s="2" t="s">
        <v>3326</v>
      </c>
      <c r="BA256" s="2" t="s">
        <v>3327</v>
      </c>
      <c r="BB256" s="2" t="s">
        <v>21</v>
      </c>
      <c r="BD256" s="2" t="s">
        <v>3328</v>
      </c>
      <c r="BE256" s="2" t="s">
        <v>3329</v>
      </c>
      <c r="BF256" s="2" t="s">
        <v>3330</v>
      </c>
    </row>
    <row r="257" spans="1:58" ht="42.75" customHeight="1" x14ac:dyDescent="0.25">
      <c r="A257" s="8" t="s">
        <v>8</v>
      </c>
      <c r="B257" s="1" t="s">
        <v>0</v>
      </c>
      <c r="C257" s="1" t="s">
        <v>1</v>
      </c>
      <c r="D257" s="1" t="s">
        <v>3331</v>
      </c>
      <c r="E257" s="1" t="s">
        <v>3332</v>
      </c>
      <c r="F257" s="1" t="s">
        <v>3333</v>
      </c>
      <c r="H257" s="2" t="s">
        <v>8</v>
      </c>
      <c r="I257" s="2" t="s">
        <v>7</v>
      </c>
      <c r="J257" s="2" t="s">
        <v>8</v>
      </c>
      <c r="K257" s="2" t="s">
        <v>8</v>
      </c>
      <c r="L257" s="2" t="s">
        <v>9</v>
      </c>
      <c r="N257" s="1" t="s">
        <v>3334</v>
      </c>
      <c r="O257" s="2" t="s">
        <v>830</v>
      </c>
      <c r="Q257" s="2" t="s">
        <v>12</v>
      </c>
      <c r="R257" s="2" t="s">
        <v>628</v>
      </c>
      <c r="S257" s="1" t="s">
        <v>3335</v>
      </c>
      <c r="T257" s="2" t="s">
        <v>14</v>
      </c>
      <c r="U257" s="3">
        <v>3</v>
      </c>
      <c r="V257" s="3">
        <v>3</v>
      </c>
      <c r="W257" s="4" t="s">
        <v>3336</v>
      </c>
      <c r="X257" s="4" t="s">
        <v>3336</v>
      </c>
      <c r="Y257" s="4" t="s">
        <v>3337</v>
      </c>
      <c r="Z257" s="4" t="s">
        <v>3337</v>
      </c>
      <c r="AA257" s="3">
        <v>542</v>
      </c>
      <c r="AB257" s="3">
        <v>507</v>
      </c>
      <c r="AC257" s="3">
        <v>525</v>
      </c>
      <c r="AD257" s="3">
        <v>2</v>
      </c>
      <c r="AE257" s="3">
        <v>2</v>
      </c>
      <c r="AF257" s="3">
        <v>17</v>
      </c>
      <c r="AG257" s="3">
        <v>17</v>
      </c>
      <c r="AH257" s="3">
        <v>8</v>
      </c>
      <c r="AI257" s="3">
        <v>8</v>
      </c>
      <c r="AJ257" s="3">
        <v>6</v>
      </c>
      <c r="AK257" s="3">
        <v>6</v>
      </c>
      <c r="AL257" s="3">
        <v>9</v>
      </c>
      <c r="AM257" s="3">
        <v>9</v>
      </c>
      <c r="AN257" s="3">
        <v>1</v>
      </c>
      <c r="AO257" s="3">
        <v>1</v>
      </c>
      <c r="AP257" s="3">
        <v>0</v>
      </c>
      <c r="AQ257" s="3">
        <v>0</v>
      </c>
      <c r="AR257" s="2" t="s">
        <v>8</v>
      </c>
      <c r="AS257" s="2" t="s">
        <v>8</v>
      </c>
      <c r="AU257" s="5" t="str">
        <f>HYPERLINK("https://creighton-primo.hosted.exlibrisgroup.com/primo-explore/search?tab=default_tab&amp;search_scope=EVERYTHING&amp;vid=01CRU&amp;lang=en_US&amp;offset=0&amp;query=any,contains,991000391609702656","Catalog Record")</f>
        <v>Catalog Record</v>
      </c>
      <c r="AV257" s="5" t="str">
        <f>HYPERLINK("http://www.worldcat.org/oclc/50155637","WorldCat Record")</f>
        <v>WorldCat Record</v>
      </c>
      <c r="AW257" s="2" t="s">
        <v>3338</v>
      </c>
      <c r="AX257" s="2" t="s">
        <v>3339</v>
      </c>
      <c r="AY257" s="2" t="s">
        <v>3340</v>
      </c>
      <c r="AZ257" s="2" t="s">
        <v>3340</v>
      </c>
      <c r="BA257" s="2" t="s">
        <v>3341</v>
      </c>
      <c r="BB257" s="2" t="s">
        <v>21</v>
      </c>
      <c r="BD257" s="2" t="s">
        <v>3342</v>
      </c>
      <c r="BE257" s="2" t="s">
        <v>3343</v>
      </c>
      <c r="BF257" s="2" t="s">
        <v>3344</v>
      </c>
    </row>
    <row r="258" spans="1:58" ht="42.75" customHeight="1" x14ac:dyDescent="0.25">
      <c r="A258" s="8" t="s">
        <v>8</v>
      </c>
      <c r="B258" s="1" t="s">
        <v>0</v>
      </c>
      <c r="C258" s="1" t="s">
        <v>1</v>
      </c>
      <c r="D258" s="1" t="s">
        <v>3345</v>
      </c>
      <c r="E258" s="1" t="s">
        <v>3346</v>
      </c>
      <c r="F258" s="1" t="s">
        <v>3347</v>
      </c>
      <c r="H258" s="2" t="s">
        <v>8</v>
      </c>
      <c r="I258" s="2" t="s">
        <v>7</v>
      </c>
      <c r="J258" s="2" t="s">
        <v>8</v>
      </c>
      <c r="K258" s="2" t="s">
        <v>8</v>
      </c>
      <c r="L258" s="2" t="s">
        <v>9</v>
      </c>
      <c r="M258" s="1" t="s">
        <v>3348</v>
      </c>
      <c r="N258" s="1" t="s">
        <v>3049</v>
      </c>
      <c r="O258" s="2" t="s">
        <v>731</v>
      </c>
      <c r="Q258" s="2" t="s">
        <v>12</v>
      </c>
      <c r="R258" s="2" t="s">
        <v>520</v>
      </c>
      <c r="T258" s="2" t="s">
        <v>14</v>
      </c>
      <c r="U258" s="3">
        <v>8</v>
      </c>
      <c r="V258" s="3">
        <v>8</v>
      </c>
      <c r="W258" s="4" t="s">
        <v>3349</v>
      </c>
      <c r="X258" s="4" t="s">
        <v>3349</v>
      </c>
      <c r="Y258" s="4" t="s">
        <v>3350</v>
      </c>
      <c r="Z258" s="4" t="s">
        <v>3350</v>
      </c>
      <c r="AA258" s="3">
        <v>34</v>
      </c>
      <c r="AB258" s="3">
        <v>32</v>
      </c>
      <c r="AC258" s="3">
        <v>114</v>
      </c>
      <c r="AD258" s="3">
        <v>1</v>
      </c>
      <c r="AE258" s="3">
        <v>1</v>
      </c>
      <c r="AF258" s="3">
        <v>0</v>
      </c>
      <c r="AG258" s="3">
        <v>1</v>
      </c>
      <c r="AH258" s="3">
        <v>0</v>
      </c>
      <c r="AI258" s="3">
        <v>0</v>
      </c>
      <c r="AJ258" s="3">
        <v>0</v>
      </c>
      <c r="AK258" s="3">
        <v>0</v>
      </c>
      <c r="AL258" s="3">
        <v>0</v>
      </c>
      <c r="AM258" s="3">
        <v>1</v>
      </c>
      <c r="AN258" s="3">
        <v>0</v>
      </c>
      <c r="AO258" s="3">
        <v>0</v>
      </c>
      <c r="AP258" s="3">
        <v>0</v>
      </c>
      <c r="AQ258" s="3">
        <v>0</v>
      </c>
      <c r="AR258" s="2" t="s">
        <v>8</v>
      </c>
      <c r="AS258" s="2" t="s">
        <v>8</v>
      </c>
      <c r="AU258" s="5" t="str">
        <f>HYPERLINK("https://creighton-primo.hosted.exlibrisgroup.com/primo-explore/search?tab=default_tab&amp;search_scope=EVERYTHING&amp;vid=01CRU&amp;lang=en_US&amp;offset=0&amp;query=any,contains,991000324399702656","Catalog Record")</f>
        <v>Catalog Record</v>
      </c>
      <c r="AV258" s="5" t="str">
        <f>HYPERLINK("http://www.worldcat.org/oclc/44425695","WorldCat Record")</f>
        <v>WorldCat Record</v>
      </c>
      <c r="AW258" s="2" t="s">
        <v>3351</v>
      </c>
      <c r="AX258" s="2" t="s">
        <v>3352</v>
      </c>
      <c r="AY258" s="2" t="s">
        <v>3353</v>
      </c>
      <c r="AZ258" s="2" t="s">
        <v>3353</v>
      </c>
      <c r="BA258" s="2" t="s">
        <v>3354</v>
      </c>
      <c r="BB258" s="2" t="s">
        <v>21</v>
      </c>
      <c r="BD258" s="2" t="s">
        <v>3355</v>
      </c>
      <c r="BE258" s="2" t="s">
        <v>3356</v>
      </c>
      <c r="BF258" s="2" t="s">
        <v>3357</v>
      </c>
    </row>
    <row r="259" spans="1:58" ht="42.75" customHeight="1" x14ac:dyDescent="0.25">
      <c r="A259" s="8" t="s">
        <v>8</v>
      </c>
      <c r="B259" s="1" t="s">
        <v>0</v>
      </c>
      <c r="C259" s="1" t="s">
        <v>1</v>
      </c>
      <c r="D259" s="1" t="s">
        <v>3358</v>
      </c>
      <c r="E259" s="1" t="s">
        <v>3359</v>
      </c>
      <c r="F259" s="1" t="s">
        <v>3360</v>
      </c>
      <c r="H259" s="2" t="s">
        <v>8</v>
      </c>
      <c r="I259" s="2" t="s">
        <v>7</v>
      </c>
      <c r="J259" s="2" t="s">
        <v>8</v>
      </c>
      <c r="K259" s="2" t="s">
        <v>8</v>
      </c>
      <c r="L259" s="2" t="s">
        <v>9</v>
      </c>
      <c r="M259" s="1" t="s">
        <v>3361</v>
      </c>
      <c r="N259" s="1" t="s">
        <v>3362</v>
      </c>
      <c r="O259" s="2" t="s">
        <v>830</v>
      </c>
      <c r="P259" s="1" t="s">
        <v>2031</v>
      </c>
      <c r="Q259" s="2" t="s">
        <v>12</v>
      </c>
      <c r="R259" s="2" t="s">
        <v>13</v>
      </c>
      <c r="T259" s="2" t="s">
        <v>14</v>
      </c>
      <c r="U259" s="3">
        <v>0</v>
      </c>
      <c r="V259" s="3">
        <v>0</v>
      </c>
      <c r="W259" s="4" t="s">
        <v>3363</v>
      </c>
      <c r="X259" s="4" t="s">
        <v>3363</v>
      </c>
      <c r="Y259" s="4" t="s">
        <v>3363</v>
      </c>
      <c r="Z259" s="4" t="s">
        <v>3363</v>
      </c>
      <c r="AA259" s="3">
        <v>113</v>
      </c>
      <c r="AB259" s="3">
        <v>99</v>
      </c>
      <c r="AC259" s="3">
        <v>356</v>
      </c>
      <c r="AD259" s="3">
        <v>1</v>
      </c>
      <c r="AE259" s="3">
        <v>1</v>
      </c>
      <c r="AF259" s="3">
        <v>0</v>
      </c>
      <c r="AG259" s="3">
        <v>2</v>
      </c>
      <c r="AH259" s="3">
        <v>0</v>
      </c>
      <c r="AI259" s="3">
        <v>0</v>
      </c>
      <c r="AJ259" s="3">
        <v>0</v>
      </c>
      <c r="AK259" s="3">
        <v>2</v>
      </c>
      <c r="AL259" s="3">
        <v>0</v>
      </c>
      <c r="AM259" s="3">
        <v>1</v>
      </c>
      <c r="AN259" s="3">
        <v>0</v>
      </c>
      <c r="AO259" s="3">
        <v>0</v>
      </c>
      <c r="AP259" s="3">
        <v>0</v>
      </c>
      <c r="AQ259" s="3">
        <v>0</v>
      </c>
      <c r="AR259" s="2" t="s">
        <v>8</v>
      </c>
      <c r="AS259" s="2" t="s">
        <v>8</v>
      </c>
      <c r="AU259" s="5" t="str">
        <f>HYPERLINK("https://creighton-primo.hosted.exlibrisgroup.com/primo-explore/search?tab=default_tab&amp;search_scope=EVERYTHING&amp;vid=01CRU&amp;lang=en_US&amp;offset=0&amp;query=any,contains,991000338639702656","Catalog Record")</f>
        <v>Catalog Record</v>
      </c>
      <c r="AV259" s="5" t="str">
        <f>HYPERLINK("http://www.worldcat.org/oclc/49526883","WorldCat Record")</f>
        <v>WorldCat Record</v>
      </c>
      <c r="AW259" s="2" t="s">
        <v>3364</v>
      </c>
      <c r="AX259" s="2" t="s">
        <v>3365</v>
      </c>
      <c r="AY259" s="2" t="s">
        <v>3366</v>
      </c>
      <c r="AZ259" s="2" t="s">
        <v>3366</v>
      </c>
      <c r="BA259" s="2" t="s">
        <v>3367</v>
      </c>
      <c r="BB259" s="2" t="s">
        <v>21</v>
      </c>
      <c r="BD259" s="2" t="s">
        <v>3368</v>
      </c>
      <c r="BE259" s="2" t="s">
        <v>3369</v>
      </c>
      <c r="BF259" s="2" t="s">
        <v>3370</v>
      </c>
    </row>
    <row r="260" spans="1:58" ht="42.75" customHeight="1" x14ac:dyDescent="0.25">
      <c r="A260" s="8" t="s">
        <v>8</v>
      </c>
      <c r="B260" s="1" t="s">
        <v>0</v>
      </c>
      <c r="C260" s="1" t="s">
        <v>1</v>
      </c>
      <c r="D260" s="1" t="s">
        <v>3371</v>
      </c>
      <c r="E260" s="1" t="s">
        <v>3372</v>
      </c>
      <c r="F260" s="1" t="s">
        <v>3373</v>
      </c>
      <c r="H260" s="2" t="s">
        <v>8</v>
      </c>
      <c r="I260" s="2" t="s">
        <v>7</v>
      </c>
      <c r="J260" s="2" t="s">
        <v>8</v>
      </c>
      <c r="K260" s="2" t="s">
        <v>8</v>
      </c>
      <c r="L260" s="2" t="s">
        <v>9</v>
      </c>
      <c r="M260" s="1" t="s">
        <v>3374</v>
      </c>
      <c r="N260" s="1" t="s">
        <v>3375</v>
      </c>
      <c r="O260" s="2" t="s">
        <v>298</v>
      </c>
      <c r="Q260" s="2" t="s">
        <v>12</v>
      </c>
      <c r="R260" s="2" t="s">
        <v>34</v>
      </c>
      <c r="T260" s="2" t="s">
        <v>14</v>
      </c>
      <c r="U260" s="3">
        <v>9</v>
      </c>
      <c r="V260" s="3">
        <v>9</v>
      </c>
      <c r="W260" s="4" t="s">
        <v>3376</v>
      </c>
      <c r="X260" s="4" t="s">
        <v>3376</v>
      </c>
      <c r="Y260" s="4" t="s">
        <v>3377</v>
      </c>
      <c r="Z260" s="4" t="s">
        <v>3377</v>
      </c>
      <c r="AA260" s="3">
        <v>181</v>
      </c>
      <c r="AB260" s="3">
        <v>165</v>
      </c>
      <c r="AC260" s="3">
        <v>172</v>
      </c>
      <c r="AD260" s="3">
        <v>2</v>
      </c>
      <c r="AE260" s="3">
        <v>2</v>
      </c>
      <c r="AF260" s="3">
        <v>3</v>
      </c>
      <c r="AG260" s="3">
        <v>3</v>
      </c>
      <c r="AH260" s="3">
        <v>2</v>
      </c>
      <c r="AI260" s="3">
        <v>2</v>
      </c>
      <c r="AJ260" s="3">
        <v>0</v>
      </c>
      <c r="AK260" s="3">
        <v>0</v>
      </c>
      <c r="AL260" s="3">
        <v>3</v>
      </c>
      <c r="AM260" s="3">
        <v>3</v>
      </c>
      <c r="AN260" s="3">
        <v>0</v>
      </c>
      <c r="AO260" s="3">
        <v>0</v>
      </c>
      <c r="AP260" s="3">
        <v>0</v>
      </c>
      <c r="AQ260" s="3">
        <v>0</v>
      </c>
      <c r="AR260" s="2" t="s">
        <v>8</v>
      </c>
      <c r="AS260" s="2" t="s">
        <v>6</v>
      </c>
      <c r="AT260" s="5" t="str">
        <f>HYPERLINK("http://catalog.hathitrust.org/Record/001083388","HathiTrust Record")</f>
        <v>HathiTrust Record</v>
      </c>
      <c r="AU260" s="5" t="str">
        <f>HYPERLINK("https://creighton-primo.hosted.exlibrisgroup.com/primo-explore/search?tab=default_tab&amp;search_scope=EVERYTHING&amp;vid=01CRU&amp;lang=en_US&amp;offset=0&amp;query=any,contains,991001418369702656","Catalog Record")</f>
        <v>Catalog Record</v>
      </c>
      <c r="AV260" s="5" t="str">
        <f>HYPERLINK("http://www.worldcat.org/oclc/16276388","WorldCat Record")</f>
        <v>WorldCat Record</v>
      </c>
      <c r="AW260" s="2" t="s">
        <v>3378</v>
      </c>
      <c r="AX260" s="2" t="s">
        <v>3379</v>
      </c>
      <c r="AY260" s="2" t="s">
        <v>3380</v>
      </c>
      <c r="AZ260" s="2" t="s">
        <v>3380</v>
      </c>
      <c r="BA260" s="2" t="s">
        <v>3381</v>
      </c>
      <c r="BB260" s="2" t="s">
        <v>21</v>
      </c>
      <c r="BD260" s="2" t="s">
        <v>3382</v>
      </c>
      <c r="BE260" s="2" t="s">
        <v>3383</v>
      </c>
      <c r="BF260" s="2" t="s">
        <v>3384</v>
      </c>
    </row>
    <row r="261" spans="1:58" ht="42.75" customHeight="1" x14ac:dyDescent="0.25">
      <c r="A261" s="8" t="s">
        <v>8</v>
      </c>
      <c r="B261" s="1" t="s">
        <v>0</v>
      </c>
      <c r="C261" s="1" t="s">
        <v>1</v>
      </c>
      <c r="D261" s="1" t="s">
        <v>3385</v>
      </c>
      <c r="E261" s="1" t="s">
        <v>3386</v>
      </c>
      <c r="F261" s="1" t="s">
        <v>3387</v>
      </c>
      <c r="H261" s="2" t="s">
        <v>8</v>
      </c>
      <c r="I261" s="2" t="s">
        <v>7</v>
      </c>
      <c r="J261" s="2" t="s">
        <v>8</v>
      </c>
      <c r="K261" s="2" t="s">
        <v>8</v>
      </c>
      <c r="L261" s="2" t="s">
        <v>9</v>
      </c>
      <c r="M261" s="1" t="s">
        <v>3388</v>
      </c>
      <c r="N261" s="1" t="s">
        <v>3389</v>
      </c>
      <c r="O261" s="2" t="s">
        <v>731</v>
      </c>
      <c r="P261" s="1" t="s">
        <v>1537</v>
      </c>
      <c r="Q261" s="2" t="s">
        <v>12</v>
      </c>
      <c r="R261" s="2" t="s">
        <v>13</v>
      </c>
      <c r="T261" s="2" t="s">
        <v>14</v>
      </c>
      <c r="U261" s="3">
        <v>3</v>
      </c>
      <c r="V261" s="3">
        <v>3</v>
      </c>
      <c r="W261" s="4" t="s">
        <v>3390</v>
      </c>
      <c r="X261" s="4" t="s">
        <v>3390</v>
      </c>
      <c r="Y261" s="4" t="s">
        <v>3391</v>
      </c>
      <c r="Z261" s="4" t="s">
        <v>3391</v>
      </c>
      <c r="AA261" s="3">
        <v>192</v>
      </c>
      <c r="AB261" s="3">
        <v>159</v>
      </c>
      <c r="AC261" s="3">
        <v>1201</v>
      </c>
      <c r="AD261" s="3">
        <v>1</v>
      </c>
      <c r="AE261" s="3">
        <v>4</v>
      </c>
      <c r="AF261" s="3">
        <v>2</v>
      </c>
      <c r="AG261" s="3">
        <v>22</v>
      </c>
      <c r="AH261" s="3">
        <v>1</v>
      </c>
      <c r="AI261" s="3">
        <v>13</v>
      </c>
      <c r="AJ261" s="3">
        <v>1</v>
      </c>
      <c r="AK261" s="3">
        <v>2</v>
      </c>
      <c r="AL261" s="3">
        <v>1</v>
      </c>
      <c r="AM261" s="3">
        <v>9</v>
      </c>
      <c r="AN261" s="3">
        <v>0</v>
      </c>
      <c r="AO261" s="3">
        <v>2</v>
      </c>
      <c r="AP261" s="3">
        <v>0</v>
      </c>
      <c r="AQ261" s="3">
        <v>0</v>
      </c>
      <c r="AR261" s="2" t="s">
        <v>8</v>
      </c>
      <c r="AS261" s="2" t="s">
        <v>8</v>
      </c>
      <c r="AU261" s="5" t="str">
        <f>HYPERLINK("https://creighton-primo.hosted.exlibrisgroup.com/primo-explore/search?tab=default_tab&amp;search_scope=EVERYTHING&amp;vid=01CRU&amp;lang=en_US&amp;offset=0&amp;query=any,contains,991001140039702656","Catalog Record")</f>
        <v>Catalog Record</v>
      </c>
      <c r="AV261" s="5" t="str">
        <f>HYPERLINK("http://www.worldcat.org/oclc/36768438","WorldCat Record")</f>
        <v>WorldCat Record</v>
      </c>
      <c r="AW261" s="2" t="s">
        <v>3392</v>
      </c>
      <c r="AX261" s="2" t="s">
        <v>3393</v>
      </c>
      <c r="AY261" s="2" t="s">
        <v>3394</v>
      </c>
      <c r="AZ261" s="2" t="s">
        <v>3394</v>
      </c>
      <c r="BA261" s="2" t="s">
        <v>3395</v>
      </c>
      <c r="BB261" s="2" t="s">
        <v>21</v>
      </c>
      <c r="BD261" s="2" t="s">
        <v>3396</v>
      </c>
      <c r="BE261" s="2" t="s">
        <v>3397</v>
      </c>
      <c r="BF261" s="2" t="s">
        <v>3398</v>
      </c>
    </row>
    <row r="262" spans="1:58" ht="42.75" customHeight="1" x14ac:dyDescent="0.25">
      <c r="A262" s="8" t="s">
        <v>8</v>
      </c>
      <c r="B262" s="1" t="s">
        <v>0</v>
      </c>
      <c r="C262" s="1" t="s">
        <v>1</v>
      </c>
      <c r="D262" s="1" t="s">
        <v>3399</v>
      </c>
      <c r="E262" s="1" t="s">
        <v>3400</v>
      </c>
      <c r="F262" s="1" t="s">
        <v>3401</v>
      </c>
      <c r="H262" s="2" t="s">
        <v>8</v>
      </c>
      <c r="I262" s="2" t="s">
        <v>7</v>
      </c>
      <c r="J262" s="2" t="s">
        <v>8</v>
      </c>
      <c r="K262" s="2" t="s">
        <v>8</v>
      </c>
      <c r="L262" s="2" t="s">
        <v>9</v>
      </c>
      <c r="N262" s="1" t="s">
        <v>3402</v>
      </c>
      <c r="O262" s="2" t="s">
        <v>602</v>
      </c>
      <c r="Q262" s="2" t="s">
        <v>12</v>
      </c>
      <c r="R262" s="2" t="s">
        <v>3403</v>
      </c>
      <c r="S262" s="1" t="s">
        <v>3404</v>
      </c>
      <c r="T262" s="2" t="s">
        <v>14</v>
      </c>
      <c r="U262" s="3">
        <v>3</v>
      </c>
      <c r="V262" s="3">
        <v>3</v>
      </c>
      <c r="W262" s="4" t="s">
        <v>603</v>
      </c>
      <c r="X262" s="4" t="s">
        <v>603</v>
      </c>
      <c r="Y262" s="4" t="s">
        <v>603</v>
      </c>
      <c r="Z262" s="4" t="s">
        <v>603</v>
      </c>
      <c r="AA262" s="3">
        <v>4</v>
      </c>
      <c r="AB262" s="3">
        <v>4</v>
      </c>
      <c r="AC262" s="3">
        <v>5</v>
      </c>
      <c r="AD262" s="3">
        <v>3</v>
      </c>
      <c r="AE262" s="3">
        <v>4</v>
      </c>
      <c r="AF262" s="3">
        <v>1</v>
      </c>
      <c r="AG262" s="3">
        <v>2</v>
      </c>
      <c r="AH262" s="3">
        <v>0</v>
      </c>
      <c r="AI262" s="3">
        <v>0</v>
      </c>
      <c r="AJ262" s="3">
        <v>0</v>
      </c>
      <c r="AK262" s="3">
        <v>0</v>
      </c>
      <c r="AL262" s="3">
        <v>0</v>
      </c>
      <c r="AM262" s="3">
        <v>0</v>
      </c>
      <c r="AN262" s="3">
        <v>1</v>
      </c>
      <c r="AO262" s="3">
        <v>2</v>
      </c>
      <c r="AP262" s="3">
        <v>0</v>
      </c>
      <c r="AQ262" s="3">
        <v>0</v>
      </c>
      <c r="AR262" s="2" t="s">
        <v>8</v>
      </c>
      <c r="AS262" s="2" t="s">
        <v>8</v>
      </c>
      <c r="AU262" s="5" t="str">
        <f>HYPERLINK("https://creighton-primo.hosted.exlibrisgroup.com/primo-explore/search?tab=default_tab&amp;search_scope=EVERYTHING&amp;vid=01CRU&amp;lang=en_US&amp;offset=0&amp;query=any,contains,991001026959702656","Catalog Record")</f>
        <v>Catalog Record</v>
      </c>
      <c r="AV262" s="5" t="str">
        <f>HYPERLINK("http://www.worldcat.org/oclc/24927153","WorldCat Record")</f>
        <v>WorldCat Record</v>
      </c>
      <c r="AW262" s="2" t="s">
        <v>3405</v>
      </c>
      <c r="AX262" s="2" t="s">
        <v>3406</v>
      </c>
      <c r="AY262" s="2" t="s">
        <v>3407</v>
      </c>
      <c r="AZ262" s="2" t="s">
        <v>3407</v>
      </c>
      <c r="BA262" s="2" t="s">
        <v>3408</v>
      </c>
      <c r="BB262" s="2" t="s">
        <v>21</v>
      </c>
      <c r="BE262" s="2" t="s">
        <v>3409</v>
      </c>
      <c r="BF262" s="2" t="s">
        <v>3410</v>
      </c>
    </row>
    <row r="263" spans="1:58" ht="42.75" customHeight="1" x14ac:dyDescent="0.25">
      <c r="A263" s="8" t="s">
        <v>8</v>
      </c>
      <c r="B263" s="1" t="s">
        <v>0</v>
      </c>
      <c r="C263" s="1" t="s">
        <v>1</v>
      </c>
      <c r="D263" s="1" t="s">
        <v>3411</v>
      </c>
      <c r="E263" s="1" t="s">
        <v>3412</v>
      </c>
      <c r="F263" s="1" t="s">
        <v>3413</v>
      </c>
      <c r="H263" s="2" t="s">
        <v>8</v>
      </c>
      <c r="I263" s="2" t="s">
        <v>7</v>
      </c>
      <c r="J263" s="2" t="s">
        <v>8</v>
      </c>
      <c r="K263" s="2" t="s">
        <v>8</v>
      </c>
      <c r="L263" s="2" t="s">
        <v>9</v>
      </c>
      <c r="N263" s="1" t="s">
        <v>3414</v>
      </c>
      <c r="O263" s="2" t="s">
        <v>589</v>
      </c>
      <c r="Q263" s="2" t="s">
        <v>12</v>
      </c>
      <c r="R263" s="2" t="s">
        <v>3403</v>
      </c>
      <c r="T263" s="2" t="s">
        <v>14</v>
      </c>
      <c r="U263" s="3">
        <v>2</v>
      </c>
      <c r="V263" s="3">
        <v>2</v>
      </c>
      <c r="W263" s="4" t="s">
        <v>3415</v>
      </c>
      <c r="X263" s="4" t="s">
        <v>3415</v>
      </c>
      <c r="Y263" s="4" t="s">
        <v>3416</v>
      </c>
      <c r="Z263" s="4" t="s">
        <v>3416</v>
      </c>
      <c r="AA263" s="3">
        <v>4</v>
      </c>
      <c r="AB263" s="3">
        <v>4</v>
      </c>
      <c r="AC263" s="3">
        <v>4</v>
      </c>
      <c r="AD263" s="3">
        <v>3</v>
      </c>
      <c r="AE263" s="3">
        <v>3</v>
      </c>
      <c r="AF263" s="3">
        <v>1</v>
      </c>
      <c r="AG263" s="3">
        <v>1</v>
      </c>
      <c r="AH263" s="3">
        <v>0</v>
      </c>
      <c r="AI263" s="3">
        <v>0</v>
      </c>
      <c r="AJ263" s="3">
        <v>0</v>
      </c>
      <c r="AK263" s="3">
        <v>0</v>
      </c>
      <c r="AL263" s="3">
        <v>0</v>
      </c>
      <c r="AM263" s="3">
        <v>0</v>
      </c>
      <c r="AN263" s="3">
        <v>1</v>
      </c>
      <c r="AO263" s="3">
        <v>1</v>
      </c>
      <c r="AP263" s="3">
        <v>0</v>
      </c>
      <c r="AQ263" s="3">
        <v>0</v>
      </c>
      <c r="AR263" s="2" t="s">
        <v>8</v>
      </c>
      <c r="AS263" s="2" t="s">
        <v>8</v>
      </c>
      <c r="AU263" s="5" t="str">
        <f>HYPERLINK("https://creighton-primo.hosted.exlibrisgroup.com/primo-explore/search?tab=default_tab&amp;search_scope=EVERYTHING&amp;vid=01CRU&amp;lang=en_US&amp;offset=0&amp;query=any,contains,991000777909702656","Catalog Record")</f>
        <v>Catalog Record</v>
      </c>
      <c r="AV263" s="5" t="str">
        <f>HYPERLINK("http://www.worldcat.org/oclc/23077866","WorldCat Record")</f>
        <v>WorldCat Record</v>
      </c>
      <c r="AW263" s="2" t="s">
        <v>3417</v>
      </c>
      <c r="AX263" s="2" t="s">
        <v>3418</v>
      </c>
      <c r="AY263" s="2" t="s">
        <v>3419</v>
      </c>
      <c r="AZ263" s="2" t="s">
        <v>3419</v>
      </c>
      <c r="BA263" s="2" t="s">
        <v>3420</v>
      </c>
      <c r="BB263" s="2" t="s">
        <v>21</v>
      </c>
      <c r="BE263" s="2" t="s">
        <v>3421</v>
      </c>
      <c r="BF263" s="2" t="s">
        <v>3422</v>
      </c>
    </row>
    <row r="264" spans="1:58" ht="42.75" customHeight="1" x14ac:dyDescent="0.25">
      <c r="A264" s="8" t="s">
        <v>8</v>
      </c>
      <c r="B264" s="1" t="s">
        <v>0</v>
      </c>
      <c r="C264" s="1" t="s">
        <v>1</v>
      </c>
      <c r="D264" s="1" t="s">
        <v>3423</v>
      </c>
      <c r="E264" s="1" t="s">
        <v>3424</v>
      </c>
      <c r="F264" s="1" t="s">
        <v>3425</v>
      </c>
      <c r="H264" s="2" t="s">
        <v>8</v>
      </c>
      <c r="I264" s="2" t="s">
        <v>7</v>
      </c>
      <c r="J264" s="2" t="s">
        <v>8</v>
      </c>
      <c r="K264" s="2" t="s">
        <v>8</v>
      </c>
      <c r="L264" s="2" t="s">
        <v>9</v>
      </c>
      <c r="N264" s="1" t="s">
        <v>3426</v>
      </c>
      <c r="O264" s="2" t="s">
        <v>602</v>
      </c>
      <c r="Q264" s="2" t="s">
        <v>12</v>
      </c>
      <c r="R264" s="2" t="s">
        <v>3403</v>
      </c>
      <c r="S264" s="1" t="s">
        <v>3404</v>
      </c>
      <c r="T264" s="2" t="s">
        <v>14</v>
      </c>
      <c r="U264" s="3">
        <v>5</v>
      </c>
      <c r="V264" s="3">
        <v>5</v>
      </c>
      <c r="W264" s="4" t="s">
        <v>603</v>
      </c>
      <c r="X264" s="4" t="s">
        <v>603</v>
      </c>
      <c r="Y264" s="4" t="s">
        <v>603</v>
      </c>
      <c r="Z264" s="4" t="s">
        <v>603</v>
      </c>
      <c r="AA264" s="3">
        <v>4</v>
      </c>
      <c r="AB264" s="3">
        <v>4</v>
      </c>
      <c r="AC264" s="3">
        <v>5</v>
      </c>
      <c r="AD264" s="3">
        <v>3</v>
      </c>
      <c r="AE264" s="3">
        <v>4</v>
      </c>
      <c r="AF264" s="3">
        <v>1</v>
      </c>
      <c r="AG264" s="3">
        <v>2</v>
      </c>
      <c r="AH264" s="3">
        <v>0</v>
      </c>
      <c r="AI264" s="3">
        <v>0</v>
      </c>
      <c r="AJ264" s="3">
        <v>0</v>
      </c>
      <c r="AK264" s="3">
        <v>0</v>
      </c>
      <c r="AL264" s="3">
        <v>0</v>
      </c>
      <c r="AM264" s="3">
        <v>0</v>
      </c>
      <c r="AN264" s="3">
        <v>1</v>
      </c>
      <c r="AO264" s="3">
        <v>2</v>
      </c>
      <c r="AP264" s="3">
        <v>0</v>
      </c>
      <c r="AQ264" s="3">
        <v>0</v>
      </c>
      <c r="AR264" s="2" t="s">
        <v>8</v>
      </c>
      <c r="AS264" s="2" t="s">
        <v>8</v>
      </c>
      <c r="AU264" s="5" t="str">
        <f>HYPERLINK("https://creighton-primo.hosted.exlibrisgroup.com/primo-explore/search?tab=default_tab&amp;search_scope=EVERYTHING&amp;vid=01CRU&amp;lang=en_US&amp;offset=0&amp;query=any,contains,991001027019702656","Catalog Record")</f>
        <v>Catalog Record</v>
      </c>
      <c r="AV264" s="5" t="str">
        <f>HYPERLINK("http://www.worldcat.org/oclc/24927143","WorldCat Record")</f>
        <v>WorldCat Record</v>
      </c>
      <c r="AW264" s="2" t="s">
        <v>3427</v>
      </c>
      <c r="AX264" s="2" t="s">
        <v>3428</v>
      </c>
      <c r="AY264" s="2" t="s">
        <v>3429</v>
      </c>
      <c r="AZ264" s="2" t="s">
        <v>3429</v>
      </c>
      <c r="BA264" s="2" t="s">
        <v>3430</v>
      </c>
      <c r="BB264" s="2" t="s">
        <v>21</v>
      </c>
      <c r="BE264" s="2" t="s">
        <v>3431</v>
      </c>
      <c r="BF264" s="2" t="s">
        <v>3432</v>
      </c>
    </row>
    <row r="265" spans="1:58" ht="42.75" customHeight="1" x14ac:dyDescent="0.25">
      <c r="A265" s="8" t="s">
        <v>8</v>
      </c>
      <c r="B265" s="1" t="s">
        <v>0</v>
      </c>
      <c r="C265" s="1" t="s">
        <v>1</v>
      </c>
      <c r="D265" s="1" t="s">
        <v>3433</v>
      </c>
      <c r="E265" s="1" t="s">
        <v>3434</v>
      </c>
      <c r="F265" s="1" t="s">
        <v>3435</v>
      </c>
      <c r="H265" s="2" t="s">
        <v>8</v>
      </c>
      <c r="I265" s="2" t="s">
        <v>7</v>
      </c>
      <c r="J265" s="2" t="s">
        <v>8</v>
      </c>
      <c r="K265" s="2" t="s">
        <v>8</v>
      </c>
      <c r="L265" s="2" t="s">
        <v>9</v>
      </c>
      <c r="M265" s="1" t="s">
        <v>3436</v>
      </c>
      <c r="N265" s="1" t="s">
        <v>3437</v>
      </c>
      <c r="O265" s="2" t="s">
        <v>410</v>
      </c>
      <c r="Q265" s="2" t="s">
        <v>12</v>
      </c>
      <c r="R265" s="2" t="s">
        <v>3403</v>
      </c>
      <c r="T265" s="2" t="s">
        <v>14</v>
      </c>
      <c r="U265" s="3">
        <v>1</v>
      </c>
      <c r="V265" s="3">
        <v>1</v>
      </c>
      <c r="W265" s="4" t="s">
        <v>3438</v>
      </c>
      <c r="X265" s="4" t="s">
        <v>3438</v>
      </c>
      <c r="Y265" s="4" t="s">
        <v>3438</v>
      </c>
      <c r="Z265" s="4" t="s">
        <v>3438</v>
      </c>
      <c r="AA265" s="3">
        <v>2</v>
      </c>
      <c r="AB265" s="3">
        <v>2</v>
      </c>
      <c r="AC265" s="3">
        <v>2</v>
      </c>
      <c r="AD265" s="3">
        <v>2</v>
      </c>
      <c r="AE265" s="3">
        <v>2</v>
      </c>
      <c r="AF265" s="3">
        <v>1</v>
      </c>
      <c r="AG265" s="3">
        <v>1</v>
      </c>
      <c r="AH265" s="3">
        <v>0</v>
      </c>
      <c r="AI265" s="3">
        <v>0</v>
      </c>
      <c r="AJ265" s="3">
        <v>0</v>
      </c>
      <c r="AK265" s="3">
        <v>0</v>
      </c>
      <c r="AL265" s="3">
        <v>0</v>
      </c>
      <c r="AM265" s="3">
        <v>0</v>
      </c>
      <c r="AN265" s="3">
        <v>1</v>
      </c>
      <c r="AO265" s="3">
        <v>1</v>
      </c>
      <c r="AP265" s="3">
        <v>0</v>
      </c>
      <c r="AQ265" s="3">
        <v>0</v>
      </c>
      <c r="AR265" s="2" t="s">
        <v>8</v>
      </c>
      <c r="AS265" s="2" t="s">
        <v>8</v>
      </c>
      <c r="AU265" s="5" t="str">
        <f>HYPERLINK("https://creighton-primo.hosted.exlibrisgroup.com/primo-explore/search?tab=default_tab&amp;search_scope=EVERYTHING&amp;vid=01CRU&amp;lang=en_US&amp;offset=0&amp;query=any,contains,991001514459702656","Catalog Record")</f>
        <v>Catalog Record</v>
      </c>
      <c r="AV265" s="5" t="str">
        <f>HYPERLINK("http://www.worldcat.org/oclc/28913572","WorldCat Record")</f>
        <v>WorldCat Record</v>
      </c>
      <c r="AW265" s="2" t="s">
        <v>3439</v>
      </c>
      <c r="AX265" s="2" t="s">
        <v>3440</v>
      </c>
      <c r="AY265" s="2" t="s">
        <v>3441</v>
      </c>
      <c r="AZ265" s="2" t="s">
        <v>3441</v>
      </c>
      <c r="BA265" s="2" t="s">
        <v>3442</v>
      </c>
      <c r="BB265" s="2" t="s">
        <v>21</v>
      </c>
      <c r="BE265" s="2" t="s">
        <v>3443</v>
      </c>
      <c r="BF265" s="2" t="s">
        <v>3444</v>
      </c>
    </row>
    <row r="266" spans="1:58" ht="42.75" customHeight="1" x14ac:dyDescent="0.25">
      <c r="A266" s="8" t="s">
        <v>8</v>
      </c>
      <c r="B266" s="1" t="s">
        <v>0</v>
      </c>
      <c r="C266" s="1" t="s">
        <v>1</v>
      </c>
      <c r="D266" s="1" t="s">
        <v>3445</v>
      </c>
      <c r="E266" s="1" t="s">
        <v>3446</v>
      </c>
      <c r="F266" s="1" t="s">
        <v>3447</v>
      </c>
      <c r="H266" s="2" t="s">
        <v>8</v>
      </c>
      <c r="I266" s="2" t="s">
        <v>7</v>
      </c>
      <c r="J266" s="2" t="s">
        <v>8</v>
      </c>
      <c r="K266" s="2" t="s">
        <v>8</v>
      </c>
      <c r="L266" s="2" t="s">
        <v>9</v>
      </c>
      <c r="N266" s="1" t="s">
        <v>3448</v>
      </c>
      <c r="O266" s="2" t="s">
        <v>589</v>
      </c>
      <c r="Q266" s="2" t="s">
        <v>12</v>
      </c>
      <c r="R266" s="2" t="s">
        <v>3403</v>
      </c>
      <c r="T266" s="2" t="s">
        <v>14</v>
      </c>
      <c r="U266" s="3">
        <v>5</v>
      </c>
      <c r="V266" s="3">
        <v>5</v>
      </c>
      <c r="W266" s="4" t="s">
        <v>3449</v>
      </c>
      <c r="X266" s="4" t="s">
        <v>3449</v>
      </c>
      <c r="Y266" s="4" t="s">
        <v>3450</v>
      </c>
      <c r="Z266" s="4" t="s">
        <v>3450</v>
      </c>
      <c r="AA266" s="3">
        <v>4</v>
      </c>
      <c r="AB266" s="3">
        <v>4</v>
      </c>
      <c r="AC266" s="3">
        <v>5</v>
      </c>
      <c r="AD266" s="3">
        <v>3</v>
      </c>
      <c r="AE266" s="3">
        <v>4</v>
      </c>
      <c r="AF266" s="3">
        <v>1</v>
      </c>
      <c r="AG266" s="3">
        <v>2</v>
      </c>
      <c r="AH266" s="3">
        <v>0</v>
      </c>
      <c r="AI266" s="3">
        <v>0</v>
      </c>
      <c r="AJ266" s="3">
        <v>0</v>
      </c>
      <c r="AK266" s="3">
        <v>0</v>
      </c>
      <c r="AL266" s="3">
        <v>0</v>
      </c>
      <c r="AM266" s="3">
        <v>0</v>
      </c>
      <c r="AN266" s="3">
        <v>1</v>
      </c>
      <c r="AO266" s="3">
        <v>2</v>
      </c>
      <c r="AP266" s="3">
        <v>0</v>
      </c>
      <c r="AQ266" s="3">
        <v>0</v>
      </c>
      <c r="AR266" s="2" t="s">
        <v>8</v>
      </c>
      <c r="AS266" s="2" t="s">
        <v>8</v>
      </c>
      <c r="AU266" s="5" t="str">
        <f>HYPERLINK("https://creighton-primo.hosted.exlibrisgroup.com/primo-explore/search?tab=default_tab&amp;search_scope=EVERYTHING&amp;vid=01CRU&amp;lang=en_US&amp;offset=0&amp;query=any,contains,991000812099702656","Catalog Record")</f>
        <v>Catalog Record</v>
      </c>
      <c r="AV266" s="5" t="str">
        <f>HYPERLINK("http://www.worldcat.org/oclc/23077874","WorldCat Record")</f>
        <v>WorldCat Record</v>
      </c>
      <c r="AW266" s="2" t="s">
        <v>3451</v>
      </c>
      <c r="AX266" s="2" t="s">
        <v>3452</v>
      </c>
      <c r="AY266" s="2" t="s">
        <v>3453</v>
      </c>
      <c r="AZ266" s="2" t="s">
        <v>3453</v>
      </c>
      <c r="BA266" s="2" t="s">
        <v>3454</v>
      </c>
      <c r="BB266" s="2" t="s">
        <v>21</v>
      </c>
      <c r="BE266" s="2" t="s">
        <v>3455</v>
      </c>
      <c r="BF266" s="2" t="s">
        <v>3456</v>
      </c>
    </row>
    <row r="267" spans="1:58" ht="42.75" customHeight="1" x14ac:dyDescent="0.25">
      <c r="A267" s="8" t="s">
        <v>8</v>
      </c>
      <c r="B267" s="1" t="s">
        <v>0</v>
      </c>
      <c r="C267" s="1" t="s">
        <v>1</v>
      </c>
      <c r="D267" s="1" t="s">
        <v>3457</v>
      </c>
      <c r="E267" s="1" t="s">
        <v>3458</v>
      </c>
      <c r="F267" s="1" t="s">
        <v>3459</v>
      </c>
      <c r="H267" s="2" t="s">
        <v>8</v>
      </c>
      <c r="I267" s="2" t="s">
        <v>7</v>
      </c>
      <c r="J267" s="2" t="s">
        <v>8</v>
      </c>
      <c r="K267" s="2" t="s">
        <v>8</v>
      </c>
      <c r="L267" s="2" t="s">
        <v>9</v>
      </c>
      <c r="M267" s="1" t="s">
        <v>3460</v>
      </c>
      <c r="N267" s="1" t="s">
        <v>3461</v>
      </c>
      <c r="O267" s="2" t="s">
        <v>1629</v>
      </c>
      <c r="P267" s="1" t="s">
        <v>732</v>
      </c>
      <c r="Q267" s="2" t="s">
        <v>12</v>
      </c>
      <c r="R267" s="2" t="s">
        <v>456</v>
      </c>
      <c r="T267" s="2" t="s">
        <v>14</v>
      </c>
      <c r="U267" s="3">
        <v>9</v>
      </c>
      <c r="V267" s="3">
        <v>9</v>
      </c>
      <c r="W267" s="4" t="s">
        <v>3462</v>
      </c>
      <c r="X267" s="4" t="s">
        <v>3462</v>
      </c>
      <c r="Y267" s="4" t="s">
        <v>2327</v>
      </c>
      <c r="Z267" s="4" t="s">
        <v>2327</v>
      </c>
      <c r="AA267" s="3">
        <v>267</v>
      </c>
      <c r="AB267" s="3">
        <v>218</v>
      </c>
      <c r="AC267" s="3">
        <v>342</v>
      </c>
      <c r="AD267" s="3">
        <v>4</v>
      </c>
      <c r="AE267" s="3">
        <v>5</v>
      </c>
      <c r="AF267" s="3">
        <v>6</v>
      </c>
      <c r="AG267" s="3">
        <v>11</v>
      </c>
      <c r="AH267" s="3">
        <v>2</v>
      </c>
      <c r="AI267" s="3">
        <v>4</v>
      </c>
      <c r="AJ267" s="3">
        <v>1</v>
      </c>
      <c r="AK267" s="3">
        <v>2</v>
      </c>
      <c r="AL267" s="3">
        <v>4</v>
      </c>
      <c r="AM267" s="3">
        <v>6</v>
      </c>
      <c r="AN267" s="3">
        <v>2</v>
      </c>
      <c r="AO267" s="3">
        <v>3</v>
      </c>
      <c r="AP267" s="3">
        <v>0</v>
      </c>
      <c r="AQ267" s="3">
        <v>0</v>
      </c>
      <c r="AR267" s="2" t="s">
        <v>8</v>
      </c>
      <c r="AS267" s="2" t="s">
        <v>6</v>
      </c>
      <c r="AT267" s="5" t="str">
        <f>HYPERLINK("http://catalog.hathitrust.org/Record/000120435","HathiTrust Record")</f>
        <v>HathiTrust Record</v>
      </c>
      <c r="AU267" s="5" t="str">
        <f>HYPERLINK("https://creighton-primo.hosted.exlibrisgroup.com/primo-explore/search?tab=default_tab&amp;search_scope=EVERYTHING&amp;vid=01CRU&amp;lang=en_US&amp;offset=0&amp;query=any,contains,991001178069702656","Catalog Record")</f>
        <v>Catalog Record</v>
      </c>
      <c r="AV267" s="5" t="str">
        <f>HYPERLINK("http://www.worldcat.org/oclc/10100733","WorldCat Record")</f>
        <v>WorldCat Record</v>
      </c>
      <c r="AW267" s="2" t="s">
        <v>3463</v>
      </c>
      <c r="AX267" s="2" t="s">
        <v>3464</v>
      </c>
      <c r="AY267" s="2" t="s">
        <v>3465</v>
      </c>
      <c r="AZ267" s="2" t="s">
        <v>3465</v>
      </c>
      <c r="BA267" s="2" t="s">
        <v>3466</v>
      </c>
      <c r="BB267" s="2" t="s">
        <v>21</v>
      </c>
      <c r="BD267" s="2" t="s">
        <v>3467</v>
      </c>
      <c r="BE267" s="2" t="s">
        <v>3468</v>
      </c>
      <c r="BF267" s="2" t="s">
        <v>3469</v>
      </c>
    </row>
    <row r="268" spans="1:58" ht="42.75" customHeight="1" x14ac:dyDescent="0.25">
      <c r="A268" s="8" t="s">
        <v>8</v>
      </c>
      <c r="B268" s="1" t="s">
        <v>0</v>
      </c>
      <c r="C268" s="1" t="s">
        <v>1</v>
      </c>
      <c r="D268" s="1" t="s">
        <v>3470</v>
      </c>
      <c r="E268" s="1" t="s">
        <v>3471</v>
      </c>
      <c r="F268" s="1" t="s">
        <v>3472</v>
      </c>
      <c r="H268" s="2" t="s">
        <v>8</v>
      </c>
      <c r="I268" s="2" t="s">
        <v>7</v>
      </c>
      <c r="J268" s="2" t="s">
        <v>8</v>
      </c>
      <c r="K268" s="2" t="s">
        <v>6</v>
      </c>
      <c r="L268" s="2" t="s">
        <v>9</v>
      </c>
      <c r="M268" s="1" t="s">
        <v>3460</v>
      </c>
      <c r="N268" s="1" t="s">
        <v>3473</v>
      </c>
      <c r="O268" s="2" t="s">
        <v>589</v>
      </c>
      <c r="P268" s="1" t="s">
        <v>761</v>
      </c>
      <c r="Q268" s="2" t="s">
        <v>12</v>
      </c>
      <c r="R268" s="2" t="s">
        <v>34</v>
      </c>
      <c r="T268" s="2" t="s">
        <v>14</v>
      </c>
      <c r="U268" s="3">
        <v>21</v>
      </c>
      <c r="V268" s="3">
        <v>21</v>
      </c>
      <c r="W268" s="4" t="s">
        <v>3474</v>
      </c>
      <c r="X268" s="4" t="s">
        <v>3474</v>
      </c>
      <c r="Y268" s="4" t="s">
        <v>3475</v>
      </c>
      <c r="Z268" s="4" t="s">
        <v>3475</v>
      </c>
      <c r="AA268" s="3">
        <v>415</v>
      </c>
      <c r="AB268" s="3">
        <v>341</v>
      </c>
      <c r="AC268" s="3">
        <v>1097</v>
      </c>
      <c r="AD268" s="3">
        <v>2</v>
      </c>
      <c r="AE268" s="3">
        <v>10</v>
      </c>
      <c r="AF268" s="3">
        <v>10</v>
      </c>
      <c r="AG268" s="3">
        <v>43</v>
      </c>
      <c r="AH268" s="3">
        <v>4</v>
      </c>
      <c r="AI268" s="3">
        <v>17</v>
      </c>
      <c r="AJ268" s="3">
        <v>2</v>
      </c>
      <c r="AK268" s="3">
        <v>8</v>
      </c>
      <c r="AL268" s="3">
        <v>9</v>
      </c>
      <c r="AM268" s="3">
        <v>17</v>
      </c>
      <c r="AN268" s="3">
        <v>0</v>
      </c>
      <c r="AO268" s="3">
        <v>7</v>
      </c>
      <c r="AP268" s="3">
        <v>0</v>
      </c>
      <c r="AQ268" s="3">
        <v>1</v>
      </c>
      <c r="AR268" s="2" t="s">
        <v>8</v>
      </c>
      <c r="AS268" s="2" t="s">
        <v>6</v>
      </c>
      <c r="AT268" s="5" t="str">
        <f>HYPERLINK("http://catalog.hathitrust.org/Record/002057513","HathiTrust Record")</f>
        <v>HathiTrust Record</v>
      </c>
      <c r="AU268" s="5" t="str">
        <f>HYPERLINK("https://creighton-primo.hosted.exlibrisgroup.com/primo-explore/search?tab=default_tab&amp;search_scope=EVERYTHING&amp;vid=01CRU&amp;lang=en_US&amp;offset=0&amp;query=any,contains,991001017719702656","Catalog Record")</f>
        <v>Catalog Record</v>
      </c>
      <c r="AV268" s="5" t="str">
        <f>HYPERLINK("http://www.worldcat.org/oclc/20932127","WorldCat Record")</f>
        <v>WorldCat Record</v>
      </c>
      <c r="AW268" s="2" t="s">
        <v>3476</v>
      </c>
      <c r="AX268" s="2" t="s">
        <v>3477</v>
      </c>
      <c r="AY268" s="2" t="s">
        <v>3478</v>
      </c>
      <c r="AZ268" s="2" t="s">
        <v>3478</v>
      </c>
      <c r="BA268" s="2" t="s">
        <v>3479</v>
      </c>
      <c r="BB268" s="2" t="s">
        <v>21</v>
      </c>
      <c r="BD268" s="2" t="s">
        <v>3480</v>
      </c>
      <c r="BE268" s="2" t="s">
        <v>3481</v>
      </c>
      <c r="BF268" s="2" t="s">
        <v>3482</v>
      </c>
    </row>
    <row r="269" spans="1:58" ht="42.75" customHeight="1" x14ac:dyDescent="0.25">
      <c r="A269" s="8" t="s">
        <v>8</v>
      </c>
      <c r="B269" s="1" t="s">
        <v>0</v>
      </c>
      <c r="C269" s="1" t="s">
        <v>1</v>
      </c>
      <c r="D269" s="1" t="s">
        <v>3483</v>
      </c>
      <c r="E269" s="1" t="s">
        <v>3484</v>
      </c>
      <c r="F269" s="1" t="s">
        <v>3485</v>
      </c>
      <c r="H269" s="2" t="s">
        <v>8</v>
      </c>
      <c r="I269" s="2" t="s">
        <v>7</v>
      </c>
      <c r="J269" s="2" t="s">
        <v>8</v>
      </c>
      <c r="K269" s="2" t="s">
        <v>6</v>
      </c>
      <c r="L269" s="2" t="s">
        <v>9</v>
      </c>
      <c r="M269" s="1" t="s">
        <v>3460</v>
      </c>
      <c r="N269" s="1" t="s">
        <v>3486</v>
      </c>
      <c r="O269" s="2" t="s">
        <v>1060</v>
      </c>
      <c r="P269" s="1" t="s">
        <v>2031</v>
      </c>
      <c r="Q269" s="2" t="s">
        <v>12</v>
      </c>
      <c r="R269" s="2" t="s">
        <v>456</v>
      </c>
      <c r="T269" s="2" t="s">
        <v>14</v>
      </c>
      <c r="U269" s="3">
        <v>25</v>
      </c>
      <c r="V269" s="3">
        <v>25</v>
      </c>
      <c r="W269" s="4" t="s">
        <v>3487</v>
      </c>
      <c r="X269" s="4" t="s">
        <v>3487</v>
      </c>
      <c r="Y269" s="4" t="s">
        <v>3488</v>
      </c>
      <c r="Z269" s="4" t="s">
        <v>3488</v>
      </c>
      <c r="AA269" s="3">
        <v>459</v>
      </c>
      <c r="AB269" s="3">
        <v>370</v>
      </c>
      <c r="AC269" s="3">
        <v>1097</v>
      </c>
      <c r="AD269" s="3">
        <v>2</v>
      </c>
      <c r="AE269" s="3">
        <v>10</v>
      </c>
      <c r="AF269" s="3">
        <v>11</v>
      </c>
      <c r="AG269" s="3">
        <v>43</v>
      </c>
      <c r="AH269" s="3">
        <v>6</v>
      </c>
      <c r="AI269" s="3">
        <v>17</v>
      </c>
      <c r="AJ269" s="3">
        <v>3</v>
      </c>
      <c r="AK269" s="3">
        <v>8</v>
      </c>
      <c r="AL269" s="3">
        <v>7</v>
      </c>
      <c r="AM269" s="3">
        <v>17</v>
      </c>
      <c r="AN269" s="3">
        <v>1</v>
      </c>
      <c r="AO269" s="3">
        <v>7</v>
      </c>
      <c r="AP269" s="3">
        <v>0</v>
      </c>
      <c r="AQ269" s="3">
        <v>1</v>
      </c>
      <c r="AR269" s="2" t="s">
        <v>8</v>
      </c>
      <c r="AS269" s="2" t="s">
        <v>6</v>
      </c>
      <c r="AT269" s="5" t="str">
        <f>HYPERLINK("http://catalog.hathitrust.org/Record/003048795","HathiTrust Record")</f>
        <v>HathiTrust Record</v>
      </c>
      <c r="AU269" s="5" t="str">
        <f>HYPERLINK("https://creighton-primo.hosted.exlibrisgroup.com/primo-explore/search?tab=default_tab&amp;search_scope=EVERYTHING&amp;vid=01CRU&amp;lang=en_US&amp;offset=0&amp;query=any,contains,991001506509702656","Catalog Record")</f>
        <v>Catalog Record</v>
      </c>
      <c r="AV269" s="5" t="str">
        <f>HYPERLINK("http://www.worldcat.org/oclc/32823846","WorldCat Record")</f>
        <v>WorldCat Record</v>
      </c>
      <c r="AW269" s="2" t="s">
        <v>3476</v>
      </c>
      <c r="AX269" s="2" t="s">
        <v>3489</v>
      </c>
      <c r="AY269" s="2" t="s">
        <v>3490</v>
      </c>
      <c r="AZ269" s="2" t="s">
        <v>3490</v>
      </c>
      <c r="BA269" s="2" t="s">
        <v>3491</v>
      </c>
      <c r="BB269" s="2" t="s">
        <v>21</v>
      </c>
      <c r="BD269" s="2" t="s">
        <v>3492</v>
      </c>
      <c r="BE269" s="2" t="s">
        <v>3493</v>
      </c>
      <c r="BF269" s="2" t="s">
        <v>3494</v>
      </c>
    </row>
    <row r="270" spans="1:58" ht="42.75" customHeight="1" x14ac:dyDescent="0.25">
      <c r="A270" s="8" t="s">
        <v>8</v>
      </c>
      <c r="B270" s="1" t="s">
        <v>0</v>
      </c>
      <c r="C270" s="1" t="s">
        <v>1</v>
      </c>
      <c r="D270" s="1" t="s">
        <v>3495</v>
      </c>
      <c r="E270" s="1" t="s">
        <v>3496</v>
      </c>
      <c r="F270" s="1" t="s">
        <v>3485</v>
      </c>
      <c r="H270" s="2" t="s">
        <v>8</v>
      </c>
      <c r="I270" s="2" t="s">
        <v>7</v>
      </c>
      <c r="J270" s="2" t="s">
        <v>8</v>
      </c>
      <c r="K270" s="2" t="s">
        <v>6</v>
      </c>
      <c r="L270" s="2" t="s">
        <v>9</v>
      </c>
      <c r="M270" s="1" t="s">
        <v>3460</v>
      </c>
      <c r="N270" s="1" t="s">
        <v>3497</v>
      </c>
      <c r="O270" s="2" t="s">
        <v>2044</v>
      </c>
      <c r="P270" s="1" t="s">
        <v>1537</v>
      </c>
      <c r="Q270" s="2" t="s">
        <v>12</v>
      </c>
      <c r="R270" s="2" t="s">
        <v>456</v>
      </c>
      <c r="T270" s="2" t="s">
        <v>14</v>
      </c>
      <c r="U270" s="3">
        <v>13</v>
      </c>
      <c r="V270" s="3">
        <v>13</v>
      </c>
      <c r="W270" s="4" t="s">
        <v>3498</v>
      </c>
      <c r="X270" s="4" t="s">
        <v>3498</v>
      </c>
      <c r="Y270" s="4" t="s">
        <v>3499</v>
      </c>
      <c r="Z270" s="4" t="s">
        <v>3499</v>
      </c>
      <c r="AA270" s="3">
        <v>481</v>
      </c>
      <c r="AB270" s="3">
        <v>390</v>
      </c>
      <c r="AC270" s="3">
        <v>1097</v>
      </c>
      <c r="AD270" s="3">
        <v>2</v>
      </c>
      <c r="AE270" s="3">
        <v>10</v>
      </c>
      <c r="AF270" s="3">
        <v>14</v>
      </c>
      <c r="AG270" s="3">
        <v>43</v>
      </c>
      <c r="AH270" s="3">
        <v>6</v>
      </c>
      <c r="AI270" s="3">
        <v>17</v>
      </c>
      <c r="AJ270" s="3">
        <v>2</v>
      </c>
      <c r="AK270" s="3">
        <v>8</v>
      </c>
      <c r="AL270" s="3">
        <v>6</v>
      </c>
      <c r="AM270" s="3">
        <v>17</v>
      </c>
      <c r="AN270" s="3">
        <v>1</v>
      </c>
      <c r="AO270" s="3">
        <v>7</v>
      </c>
      <c r="AP270" s="3">
        <v>0</v>
      </c>
      <c r="AQ270" s="3">
        <v>1</v>
      </c>
      <c r="AR270" s="2" t="s">
        <v>8</v>
      </c>
      <c r="AS270" s="2" t="s">
        <v>6</v>
      </c>
      <c r="AT270" s="5" t="str">
        <f>HYPERLINK("http://catalog.hathitrust.org/Record/004238232","HathiTrust Record")</f>
        <v>HathiTrust Record</v>
      </c>
      <c r="AU270" s="5" t="str">
        <f>HYPERLINK("https://creighton-primo.hosted.exlibrisgroup.com/primo-explore/search?tab=default_tab&amp;search_scope=EVERYTHING&amp;vid=01CRU&amp;lang=en_US&amp;offset=0&amp;query=any,contains,991000307779702656","Catalog Record")</f>
        <v>Catalog Record</v>
      </c>
      <c r="AV270" s="5" t="str">
        <f>HYPERLINK("http://www.worldcat.org/oclc/48494806","WorldCat Record")</f>
        <v>WorldCat Record</v>
      </c>
      <c r="AW270" s="2" t="s">
        <v>3476</v>
      </c>
      <c r="AX270" s="2" t="s">
        <v>3500</v>
      </c>
      <c r="AY270" s="2" t="s">
        <v>3501</v>
      </c>
      <c r="AZ270" s="2" t="s">
        <v>3501</v>
      </c>
      <c r="BA270" s="2" t="s">
        <v>3502</v>
      </c>
      <c r="BB270" s="2" t="s">
        <v>21</v>
      </c>
      <c r="BD270" s="2" t="s">
        <v>3503</v>
      </c>
      <c r="BE270" s="2" t="s">
        <v>3504</v>
      </c>
      <c r="BF270" s="2" t="s">
        <v>3505</v>
      </c>
    </row>
    <row r="271" spans="1:58" ht="42.75" customHeight="1" x14ac:dyDescent="0.25">
      <c r="A271" s="8" t="s">
        <v>8</v>
      </c>
      <c r="B271" s="1" t="s">
        <v>0</v>
      </c>
      <c r="C271" s="1" t="s">
        <v>1</v>
      </c>
      <c r="D271" s="1" t="s">
        <v>3506</v>
      </c>
      <c r="E271" s="1" t="s">
        <v>3507</v>
      </c>
      <c r="F271" s="1" t="s">
        <v>3508</v>
      </c>
      <c r="H271" s="2" t="s">
        <v>8</v>
      </c>
      <c r="I271" s="2" t="s">
        <v>7</v>
      </c>
      <c r="J271" s="2" t="s">
        <v>8</v>
      </c>
      <c r="K271" s="2" t="s">
        <v>8</v>
      </c>
      <c r="L271" s="2" t="s">
        <v>9</v>
      </c>
      <c r="M271" s="1" t="s">
        <v>3509</v>
      </c>
      <c r="N271" s="1" t="s">
        <v>3510</v>
      </c>
      <c r="O271" s="2" t="s">
        <v>298</v>
      </c>
      <c r="Q271" s="2" t="s">
        <v>12</v>
      </c>
      <c r="R271" s="2" t="s">
        <v>34</v>
      </c>
      <c r="T271" s="2" t="s">
        <v>14</v>
      </c>
      <c r="U271" s="3">
        <v>20</v>
      </c>
      <c r="V271" s="3">
        <v>20</v>
      </c>
      <c r="W271" s="4" t="s">
        <v>3511</v>
      </c>
      <c r="X271" s="4" t="s">
        <v>3511</v>
      </c>
      <c r="Y271" s="4" t="s">
        <v>2459</v>
      </c>
      <c r="Z271" s="4" t="s">
        <v>2459</v>
      </c>
      <c r="AA271" s="3">
        <v>146</v>
      </c>
      <c r="AB271" s="3">
        <v>137</v>
      </c>
      <c r="AC271" s="3">
        <v>137</v>
      </c>
      <c r="AD271" s="3">
        <v>2</v>
      </c>
      <c r="AE271" s="3">
        <v>2</v>
      </c>
      <c r="AF271" s="3">
        <v>9</v>
      </c>
      <c r="AG271" s="3">
        <v>9</v>
      </c>
      <c r="AH271" s="3">
        <v>2</v>
      </c>
      <c r="AI271" s="3">
        <v>2</v>
      </c>
      <c r="AJ271" s="3">
        <v>2</v>
      </c>
      <c r="AK271" s="3">
        <v>2</v>
      </c>
      <c r="AL271" s="3">
        <v>6</v>
      </c>
      <c r="AM271" s="3">
        <v>6</v>
      </c>
      <c r="AN271" s="3">
        <v>1</v>
      </c>
      <c r="AO271" s="3">
        <v>1</v>
      </c>
      <c r="AP271" s="3">
        <v>1</v>
      </c>
      <c r="AQ271" s="3">
        <v>1</v>
      </c>
      <c r="AR271" s="2" t="s">
        <v>8</v>
      </c>
      <c r="AS271" s="2" t="s">
        <v>8</v>
      </c>
      <c r="AU271" s="5" t="str">
        <f>HYPERLINK("https://creighton-primo.hosted.exlibrisgroup.com/primo-explore/search?tab=default_tab&amp;search_scope=EVERYTHING&amp;vid=01CRU&amp;lang=en_US&amp;offset=0&amp;query=any,contains,991001189029702656","Catalog Record")</f>
        <v>Catalog Record</v>
      </c>
      <c r="AV271" s="5" t="str">
        <f>HYPERLINK("http://www.worldcat.org/oclc/16354589","WorldCat Record")</f>
        <v>WorldCat Record</v>
      </c>
      <c r="AW271" s="2" t="s">
        <v>3512</v>
      </c>
      <c r="AX271" s="2" t="s">
        <v>3513</v>
      </c>
      <c r="AY271" s="2" t="s">
        <v>3514</v>
      </c>
      <c r="AZ271" s="2" t="s">
        <v>3514</v>
      </c>
      <c r="BA271" s="2" t="s">
        <v>3515</v>
      </c>
      <c r="BB271" s="2" t="s">
        <v>21</v>
      </c>
      <c r="BD271" s="2" t="s">
        <v>3516</v>
      </c>
      <c r="BE271" s="2" t="s">
        <v>3517</v>
      </c>
      <c r="BF271" s="2" t="s">
        <v>3518</v>
      </c>
    </row>
    <row r="272" spans="1:58" ht="42.75" customHeight="1" x14ac:dyDescent="0.25">
      <c r="A272" s="8" t="s">
        <v>8</v>
      </c>
      <c r="B272" s="1" t="s">
        <v>0</v>
      </c>
      <c r="C272" s="1" t="s">
        <v>1</v>
      </c>
      <c r="D272" s="1" t="s">
        <v>3519</v>
      </c>
      <c r="E272" s="1" t="s">
        <v>3520</v>
      </c>
      <c r="F272" s="1" t="s">
        <v>3521</v>
      </c>
      <c r="H272" s="2" t="s">
        <v>8</v>
      </c>
      <c r="I272" s="2" t="s">
        <v>7</v>
      </c>
      <c r="J272" s="2" t="s">
        <v>8</v>
      </c>
      <c r="K272" s="2" t="s">
        <v>8</v>
      </c>
      <c r="L272" s="2" t="s">
        <v>9</v>
      </c>
      <c r="M272" s="1" t="s">
        <v>3522</v>
      </c>
      <c r="N272" s="1" t="s">
        <v>3523</v>
      </c>
      <c r="O272" s="2" t="s">
        <v>33</v>
      </c>
      <c r="P272" s="1" t="s">
        <v>3524</v>
      </c>
      <c r="Q272" s="2" t="s">
        <v>12</v>
      </c>
      <c r="R272" s="2" t="s">
        <v>13</v>
      </c>
      <c r="T272" s="2" t="s">
        <v>14</v>
      </c>
      <c r="U272" s="3">
        <v>13</v>
      </c>
      <c r="V272" s="3">
        <v>13</v>
      </c>
      <c r="W272" s="4" t="s">
        <v>3336</v>
      </c>
      <c r="X272" s="4" t="s">
        <v>3336</v>
      </c>
      <c r="Y272" s="4" t="s">
        <v>749</v>
      </c>
      <c r="Z272" s="4" t="s">
        <v>749</v>
      </c>
      <c r="AA272" s="3">
        <v>216</v>
      </c>
      <c r="AB272" s="3">
        <v>211</v>
      </c>
      <c r="AC272" s="3">
        <v>212</v>
      </c>
      <c r="AD272" s="3">
        <v>2</v>
      </c>
      <c r="AE272" s="3">
        <v>2</v>
      </c>
      <c r="AF272" s="3">
        <v>0</v>
      </c>
      <c r="AG272" s="3">
        <v>1</v>
      </c>
      <c r="AH272" s="3">
        <v>0</v>
      </c>
      <c r="AI272" s="3">
        <v>1</v>
      </c>
      <c r="AJ272" s="3">
        <v>0</v>
      </c>
      <c r="AK272" s="3">
        <v>0</v>
      </c>
      <c r="AL272" s="3">
        <v>0</v>
      </c>
      <c r="AM272" s="3">
        <v>1</v>
      </c>
      <c r="AN272" s="3">
        <v>0</v>
      </c>
      <c r="AO272" s="3">
        <v>0</v>
      </c>
      <c r="AP272" s="3">
        <v>0</v>
      </c>
      <c r="AQ272" s="3">
        <v>0</v>
      </c>
      <c r="AR272" s="2" t="s">
        <v>8</v>
      </c>
      <c r="AS272" s="2" t="s">
        <v>8</v>
      </c>
      <c r="AU272" s="5" t="str">
        <f>HYPERLINK("https://creighton-primo.hosted.exlibrisgroup.com/primo-explore/search?tab=default_tab&amp;search_scope=EVERYTHING&amp;vid=01CRU&amp;lang=en_US&amp;offset=0&amp;query=any,contains,991001177829702656","Catalog Record")</f>
        <v>Catalog Record</v>
      </c>
      <c r="AV272" s="5" t="str">
        <f>HYPERLINK("http://www.worldcat.org/oclc/8111080","WorldCat Record")</f>
        <v>WorldCat Record</v>
      </c>
      <c r="AW272" s="2" t="s">
        <v>3525</v>
      </c>
      <c r="AX272" s="2" t="s">
        <v>3526</v>
      </c>
      <c r="AY272" s="2" t="s">
        <v>3527</v>
      </c>
      <c r="AZ272" s="2" t="s">
        <v>3527</v>
      </c>
      <c r="BA272" s="2" t="s">
        <v>3528</v>
      </c>
      <c r="BB272" s="2" t="s">
        <v>21</v>
      </c>
      <c r="BD272" s="2" t="s">
        <v>3529</v>
      </c>
      <c r="BE272" s="2" t="s">
        <v>3530</v>
      </c>
      <c r="BF272" s="2" t="s">
        <v>3531</v>
      </c>
    </row>
    <row r="273" spans="1:58" ht="42.75" customHeight="1" x14ac:dyDescent="0.25">
      <c r="A273" s="8" t="s">
        <v>8</v>
      </c>
      <c r="B273" s="1" t="s">
        <v>0</v>
      </c>
      <c r="C273" s="1" t="s">
        <v>1</v>
      </c>
      <c r="D273" s="1" t="s">
        <v>3532</v>
      </c>
      <c r="E273" s="1" t="s">
        <v>3533</v>
      </c>
      <c r="F273" s="1" t="s">
        <v>3534</v>
      </c>
      <c r="H273" s="2" t="s">
        <v>8</v>
      </c>
      <c r="I273" s="2" t="s">
        <v>7</v>
      </c>
      <c r="J273" s="2" t="s">
        <v>8</v>
      </c>
      <c r="K273" s="2" t="s">
        <v>8</v>
      </c>
      <c r="L273" s="2" t="s">
        <v>9</v>
      </c>
      <c r="M273" s="1" t="s">
        <v>3535</v>
      </c>
      <c r="N273" s="1" t="s">
        <v>3536</v>
      </c>
      <c r="O273" s="2" t="s">
        <v>874</v>
      </c>
      <c r="Q273" s="2" t="s">
        <v>12</v>
      </c>
      <c r="R273" s="2" t="s">
        <v>577</v>
      </c>
      <c r="T273" s="2" t="s">
        <v>14</v>
      </c>
      <c r="U273" s="3">
        <v>27</v>
      </c>
      <c r="V273" s="3">
        <v>27</v>
      </c>
      <c r="W273" s="4" t="s">
        <v>3537</v>
      </c>
      <c r="X273" s="4" t="s">
        <v>3537</v>
      </c>
      <c r="Y273" s="4" t="s">
        <v>3538</v>
      </c>
      <c r="Z273" s="4" t="s">
        <v>3538</v>
      </c>
      <c r="AA273" s="3">
        <v>200</v>
      </c>
      <c r="AB273" s="3">
        <v>176</v>
      </c>
      <c r="AC273" s="3">
        <v>178</v>
      </c>
      <c r="AD273" s="3">
        <v>2</v>
      </c>
      <c r="AE273" s="3">
        <v>2</v>
      </c>
      <c r="AF273" s="3">
        <v>6</v>
      </c>
      <c r="AG273" s="3">
        <v>6</v>
      </c>
      <c r="AH273" s="3">
        <v>3</v>
      </c>
      <c r="AI273" s="3">
        <v>3</v>
      </c>
      <c r="AJ273" s="3">
        <v>0</v>
      </c>
      <c r="AK273" s="3">
        <v>0</v>
      </c>
      <c r="AL273" s="3">
        <v>4</v>
      </c>
      <c r="AM273" s="3">
        <v>4</v>
      </c>
      <c r="AN273" s="3">
        <v>1</v>
      </c>
      <c r="AO273" s="3">
        <v>1</v>
      </c>
      <c r="AP273" s="3">
        <v>0</v>
      </c>
      <c r="AQ273" s="3">
        <v>0</v>
      </c>
      <c r="AR273" s="2" t="s">
        <v>8</v>
      </c>
      <c r="AS273" s="2" t="s">
        <v>6</v>
      </c>
      <c r="AT273" s="5" t="str">
        <f>HYPERLINK("http://catalog.hathitrust.org/Record/003071546","HathiTrust Record")</f>
        <v>HathiTrust Record</v>
      </c>
      <c r="AU273" s="5" t="str">
        <f>HYPERLINK("https://creighton-primo.hosted.exlibrisgroup.com/primo-explore/search?tab=default_tab&amp;search_scope=EVERYTHING&amp;vid=01CRU&amp;lang=en_US&amp;offset=0&amp;query=any,contains,991001138629702656","Catalog Record")</f>
        <v>Catalog Record</v>
      </c>
      <c r="AV273" s="5" t="str">
        <f>HYPERLINK("http://www.worldcat.org/oclc/34114036","WorldCat Record")</f>
        <v>WorldCat Record</v>
      </c>
      <c r="AW273" s="2" t="s">
        <v>3539</v>
      </c>
      <c r="AX273" s="2" t="s">
        <v>3540</v>
      </c>
      <c r="AY273" s="2" t="s">
        <v>3541</v>
      </c>
      <c r="AZ273" s="2" t="s">
        <v>3541</v>
      </c>
      <c r="BA273" s="2" t="s">
        <v>3542</v>
      </c>
      <c r="BB273" s="2" t="s">
        <v>21</v>
      </c>
      <c r="BD273" s="2" t="s">
        <v>3543</v>
      </c>
      <c r="BE273" s="2" t="s">
        <v>3544</v>
      </c>
      <c r="BF273" s="2" t="s">
        <v>3545</v>
      </c>
    </row>
    <row r="274" spans="1:58" ht="42.75" customHeight="1" x14ac:dyDescent="0.25">
      <c r="A274" s="8" t="s">
        <v>8</v>
      </c>
      <c r="B274" s="1" t="s">
        <v>0</v>
      </c>
      <c r="C274" s="1" t="s">
        <v>1</v>
      </c>
      <c r="D274" s="1" t="s">
        <v>3546</v>
      </c>
      <c r="E274" s="1" t="s">
        <v>3547</v>
      </c>
      <c r="F274" s="1" t="s">
        <v>3548</v>
      </c>
      <c r="H274" s="2" t="s">
        <v>8</v>
      </c>
      <c r="I274" s="2" t="s">
        <v>7</v>
      </c>
      <c r="J274" s="2" t="s">
        <v>8</v>
      </c>
      <c r="K274" s="2" t="s">
        <v>8</v>
      </c>
      <c r="L274" s="2" t="s">
        <v>9</v>
      </c>
      <c r="N274" s="1" t="s">
        <v>3549</v>
      </c>
      <c r="O274" s="2" t="s">
        <v>614</v>
      </c>
      <c r="P274" s="1" t="s">
        <v>1225</v>
      </c>
      <c r="Q274" s="2" t="s">
        <v>12</v>
      </c>
      <c r="R274" s="2" t="s">
        <v>520</v>
      </c>
      <c r="T274" s="2" t="s">
        <v>14</v>
      </c>
      <c r="U274" s="3">
        <v>5</v>
      </c>
      <c r="V274" s="3">
        <v>5</v>
      </c>
      <c r="W274" s="4" t="s">
        <v>3550</v>
      </c>
      <c r="X274" s="4" t="s">
        <v>3550</v>
      </c>
      <c r="Y274" s="4" t="s">
        <v>3551</v>
      </c>
      <c r="Z274" s="4" t="s">
        <v>3551</v>
      </c>
      <c r="AA274" s="3">
        <v>26</v>
      </c>
      <c r="AB274" s="3">
        <v>26</v>
      </c>
      <c r="AC274" s="3">
        <v>26</v>
      </c>
      <c r="AD274" s="3">
        <v>1</v>
      </c>
      <c r="AE274" s="3">
        <v>1</v>
      </c>
      <c r="AF274" s="3">
        <v>0</v>
      </c>
      <c r="AG274" s="3">
        <v>0</v>
      </c>
      <c r="AH274" s="3">
        <v>0</v>
      </c>
      <c r="AI274" s="3">
        <v>0</v>
      </c>
      <c r="AJ274" s="3">
        <v>0</v>
      </c>
      <c r="AK274" s="3">
        <v>0</v>
      </c>
      <c r="AL274" s="3">
        <v>0</v>
      </c>
      <c r="AM274" s="3">
        <v>0</v>
      </c>
      <c r="AN274" s="3">
        <v>0</v>
      </c>
      <c r="AO274" s="3">
        <v>0</v>
      </c>
      <c r="AP274" s="3">
        <v>0</v>
      </c>
      <c r="AQ274" s="3">
        <v>0</v>
      </c>
      <c r="AR274" s="2" t="s">
        <v>8</v>
      </c>
      <c r="AS274" s="2" t="s">
        <v>8</v>
      </c>
      <c r="AU274" s="5" t="str">
        <f>HYPERLINK("https://creighton-primo.hosted.exlibrisgroup.com/primo-explore/search?tab=default_tab&amp;search_scope=EVERYTHING&amp;vid=01CRU&amp;lang=en_US&amp;offset=0&amp;query=any,contains,991001306469702656","Catalog Record")</f>
        <v>Catalog Record</v>
      </c>
      <c r="AV274" s="5" t="str">
        <f>HYPERLINK("http://www.worldcat.org/oclc/26706956","WorldCat Record")</f>
        <v>WorldCat Record</v>
      </c>
      <c r="AW274" s="2" t="s">
        <v>3552</v>
      </c>
      <c r="AX274" s="2" t="s">
        <v>3553</v>
      </c>
      <c r="AY274" s="2" t="s">
        <v>3554</v>
      </c>
      <c r="AZ274" s="2" t="s">
        <v>3554</v>
      </c>
      <c r="BA274" s="2" t="s">
        <v>3555</v>
      </c>
      <c r="BB274" s="2" t="s">
        <v>21</v>
      </c>
      <c r="BD274" s="2" t="s">
        <v>3556</v>
      </c>
      <c r="BE274" s="2" t="s">
        <v>3557</v>
      </c>
      <c r="BF274" s="2" t="s">
        <v>3558</v>
      </c>
    </row>
    <row r="275" spans="1:58" ht="42.75" customHeight="1" x14ac:dyDescent="0.25">
      <c r="A275" s="8" t="s">
        <v>8</v>
      </c>
      <c r="B275" s="1" t="s">
        <v>0</v>
      </c>
      <c r="C275" s="1" t="s">
        <v>1</v>
      </c>
      <c r="D275" s="1" t="s">
        <v>3559</v>
      </c>
      <c r="E275" s="1" t="s">
        <v>3560</v>
      </c>
      <c r="F275" s="1" t="s">
        <v>3561</v>
      </c>
      <c r="H275" s="2" t="s">
        <v>8</v>
      </c>
      <c r="I275" s="2" t="s">
        <v>7</v>
      </c>
      <c r="J275" s="2" t="s">
        <v>8</v>
      </c>
      <c r="K275" s="2" t="s">
        <v>8</v>
      </c>
      <c r="L275" s="2" t="s">
        <v>9</v>
      </c>
      <c r="N275" s="1" t="s">
        <v>3562</v>
      </c>
      <c r="O275" s="2" t="s">
        <v>410</v>
      </c>
      <c r="P275" s="1" t="s">
        <v>3563</v>
      </c>
      <c r="Q275" s="2" t="s">
        <v>12</v>
      </c>
      <c r="R275" s="2" t="s">
        <v>3564</v>
      </c>
      <c r="T275" s="2" t="s">
        <v>14</v>
      </c>
      <c r="U275" s="3">
        <v>6</v>
      </c>
      <c r="V275" s="3">
        <v>6</v>
      </c>
      <c r="W275" s="4" t="s">
        <v>3565</v>
      </c>
      <c r="X275" s="4" t="s">
        <v>3565</v>
      </c>
      <c r="Y275" s="4" t="s">
        <v>3566</v>
      </c>
      <c r="Z275" s="4" t="s">
        <v>3566</v>
      </c>
      <c r="AA275" s="3">
        <v>9</v>
      </c>
      <c r="AB275" s="3">
        <v>8</v>
      </c>
      <c r="AC275" s="3">
        <v>8</v>
      </c>
      <c r="AD275" s="3">
        <v>1</v>
      </c>
      <c r="AE275" s="3">
        <v>1</v>
      </c>
      <c r="AF275" s="3">
        <v>0</v>
      </c>
      <c r="AG275" s="3">
        <v>0</v>
      </c>
      <c r="AH275" s="3">
        <v>0</v>
      </c>
      <c r="AI275" s="3">
        <v>0</v>
      </c>
      <c r="AJ275" s="3">
        <v>0</v>
      </c>
      <c r="AK275" s="3">
        <v>0</v>
      </c>
      <c r="AL275" s="3">
        <v>0</v>
      </c>
      <c r="AM275" s="3">
        <v>0</v>
      </c>
      <c r="AN275" s="3">
        <v>0</v>
      </c>
      <c r="AO275" s="3">
        <v>0</v>
      </c>
      <c r="AP275" s="3">
        <v>0</v>
      </c>
      <c r="AQ275" s="3">
        <v>0</v>
      </c>
      <c r="AR275" s="2" t="s">
        <v>8</v>
      </c>
      <c r="AS275" s="2" t="s">
        <v>8</v>
      </c>
      <c r="AU275" s="5" t="str">
        <f>HYPERLINK("https://creighton-primo.hosted.exlibrisgroup.com/primo-explore/search?tab=default_tab&amp;search_scope=EVERYTHING&amp;vid=01CRU&amp;lang=en_US&amp;offset=0&amp;query=any,contains,991001486739702656","Catalog Record")</f>
        <v>Catalog Record</v>
      </c>
      <c r="AV275" s="5" t="str">
        <f>HYPERLINK("http://www.worldcat.org/oclc/29177943","WorldCat Record")</f>
        <v>WorldCat Record</v>
      </c>
      <c r="AW275" s="2" t="s">
        <v>3567</v>
      </c>
      <c r="AX275" s="2" t="s">
        <v>3568</v>
      </c>
      <c r="AY275" s="2" t="s">
        <v>3569</v>
      </c>
      <c r="AZ275" s="2" t="s">
        <v>3569</v>
      </c>
      <c r="BA275" s="2" t="s">
        <v>3570</v>
      </c>
      <c r="BB275" s="2" t="s">
        <v>21</v>
      </c>
      <c r="BD275" s="2" t="s">
        <v>3571</v>
      </c>
      <c r="BE275" s="2" t="s">
        <v>3572</v>
      </c>
      <c r="BF275" s="2" t="s">
        <v>3573</v>
      </c>
    </row>
    <row r="276" spans="1:58" ht="42.75" customHeight="1" x14ac:dyDescent="0.25">
      <c r="A276" s="8" t="s">
        <v>8</v>
      </c>
      <c r="B276" s="1" t="s">
        <v>0</v>
      </c>
      <c r="C276" s="1" t="s">
        <v>1</v>
      </c>
      <c r="D276" s="1" t="s">
        <v>3574</v>
      </c>
      <c r="E276" s="1" t="s">
        <v>3575</v>
      </c>
      <c r="F276" s="1" t="s">
        <v>3576</v>
      </c>
      <c r="H276" s="2" t="s">
        <v>8</v>
      </c>
      <c r="I276" s="2" t="s">
        <v>7</v>
      </c>
      <c r="J276" s="2" t="s">
        <v>8</v>
      </c>
      <c r="K276" s="2" t="s">
        <v>8</v>
      </c>
      <c r="L276" s="2" t="s">
        <v>9</v>
      </c>
      <c r="N276" s="1" t="s">
        <v>3577</v>
      </c>
      <c r="O276" s="2" t="s">
        <v>589</v>
      </c>
      <c r="P276" s="1" t="s">
        <v>732</v>
      </c>
      <c r="Q276" s="2" t="s">
        <v>12</v>
      </c>
      <c r="R276" s="2" t="s">
        <v>34</v>
      </c>
      <c r="T276" s="2" t="s">
        <v>14</v>
      </c>
      <c r="U276" s="3">
        <v>3</v>
      </c>
      <c r="V276" s="3">
        <v>3</v>
      </c>
      <c r="W276" s="4" t="s">
        <v>3578</v>
      </c>
      <c r="X276" s="4" t="s">
        <v>3578</v>
      </c>
      <c r="Y276" s="4" t="s">
        <v>3579</v>
      </c>
      <c r="Z276" s="4" t="s">
        <v>3579</v>
      </c>
      <c r="AA276" s="3">
        <v>39</v>
      </c>
      <c r="AB276" s="3">
        <v>26</v>
      </c>
      <c r="AC276" s="3">
        <v>27</v>
      </c>
      <c r="AD276" s="3">
        <v>1</v>
      </c>
      <c r="AE276" s="3">
        <v>1</v>
      </c>
      <c r="AF276" s="3">
        <v>1</v>
      </c>
      <c r="AG276" s="3">
        <v>1</v>
      </c>
      <c r="AH276" s="3">
        <v>0</v>
      </c>
      <c r="AI276" s="3">
        <v>0</v>
      </c>
      <c r="AJ276" s="3">
        <v>0</v>
      </c>
      <c r="AK276" s="3">
        <v>0</v>
      </c>
      <c r="AL276" s="3">
        <v>1</v>
      </c>
      <c r="AM276" s="3">
        <v>1</v>
      </c>
      <c r="AN276" s="3">
        <v>0</v>
      </c>
      <c r="AO276" s="3">
        <v>0</v>
      </c>
      <c r="AP276" s="3">
        <v>0</v>
      </c>
      <c r="AQ276" s="3">
        <v>0</v>
      </c>
      <c r="AR276" s="2" t="s">
        <v>8</v>
      </c>
      <c r="AS276" s="2" t="s">
        <v>8</v>
      </c>
      <c r="AU276" s="5" t="str">
        <f>HYPERLINK("https://creighton-primo.hosted.exlibrisgroup.com/primo-explore/search?tab=default_tab&amp;search_scope=EVERYTHING&amp;vid=01CRU&amp;lang=en_US&amp;offset=0&amp;query=any,contains,991001454769702656","Catalog Record")</f>
        <v>Catalog Record</v>
      </c>
      <c r="AV276" s="5" t="str">
        <f>HYPERLINK("http://www.worldcat.org/oclc/20785431","WorldCat Record")</f>
        <v>WorldCat Record</v>
      </c>
      <c r="AW276" s="2" t="s">
        <v>3580</v>
      </c>
      <c r="AX276" s="2" t="s">
        <v>3581</v>
      </c>
      <c r="AY276" s="2" t="s">
        <v>3582</v>
      </c>
      <c r="AZ276" s="2" t="s">
        <v>3582</v>
      </c>
      <c r="BA276" s="2" t="s">
        <v>3583</v>
      </c>
      <c r="BB276" s="2" t="s">
        <v>21</v>
      </c>
      <c r="BE276" s="2" t="s">
        <v>3584</v>
      </c>
      <c r="BF276" s="2" t="s">
        <v>3585</v>
      </c>
    </row>
    <row r="277" spans="1:58" ht="42.75" customHeight="1" x14ac:dyDescent="0.25">
      <c r="A277" s="8" t="s">
        <v>8</v>
      </c>
      <c r="B277" s="1" t="s">
        <v>0</v>
      </c>
      <c r="C277" s="1" t="s">
        <v>1</v>
      </c>
      <c r="D277" s="1" t="s">
        <v>3586</v>
      </c>
      <c r="E277" s="1" t="s">
        <v>3587</v>
      </c>
      <c r="F277" s="1" t="s">
        <v>3588</v>
      </c>
      <c r="H277" s="2" t="s">
        <v>8</v>
      </c>
      <c r="I277" s="2" t="s">
        <v>7</v>
      </c>
      <c r="J277" s="2" t="s">
        <v>8</v>
      </c>
      <c r="K277" s="2" t="s">
        <v>8</v>
      </c>
      <c r="L277" s="2" t="s">
        <v>9</v>
      </c>
      <c r="M277" s="1" t="s">
        <v>3589</v>
      </c>
      <c r="N277" s="1" t="s">
        <v>3590</v>
      </c>
      <c r="O277" s="2" t="s">
        <v>614</v>
      </c>
      <c r="Q277" s="2" t="s">
        <v>12</v>
      </c>
      <c r="R277" s="2" t="s">
        <v>3591</v>
      </c>
      <c r="T277" s="2" t="s">
        <v>14</v>
      </c>
      <c r="U277" s="3">
        <v>12</v>
      </c>
      <c r="V277" s="3">
        <v>12</v>
      </c>
      <c r="W277" s="4" t="s">
        <v>3592</v>
      </c>
      <c r="X277" s="4" t="s">
        <v>3592</v>
      </c>
      <c r="Y277" s="4" t="s">
        <v>3593</v>
      </c>
      <c r="Z277" s="4" t="s">
        <v>3593</v>
      </c>
      <c r="AA277" s="3">
        <v>125</v>
      </c>
      <c r="AB277" s="3">
        <v>120</v>
      </c>
      <c r="AC277" s="3">
        <v>137</v>
      </c>
      <c r="AD277" s="3">
        <v>2</v>
      </c>
      <c r="AE277" s="3">
        <v>3</v>
      </c>
      <c r="AF277" s="3">
        <v>2</v>
      </c>
      <c r="AG277" s="3">
        <v>2</v>
      </c>
      <c r="AH277" s="3">
        <v>1</v>
      </c>
      <c r="AI277" s="3">
        <v>1</v>
      </c>
      <c r="AJ277" s="3">
        <v>0</v>
      </c>
      <c r="AK277" s="3">
        <v>0</v>
      </c>
      <c r="AL277" s="3">
        <v>2</v>
      </c>
      <c r="AM277" s="3">
        <v>2</v>
      </c>
      <c r="AN277" s="3">
        <v>0</v>
      </c>
      <c r="AO277" s="3">
        <v>0</v>
      </c>
      <c r="AP277" s="3">
        <v>0</v>
      </c>
      <c r="AQ277" s="3">
        <v>0</v>
      </c>
      <c r="AR277" s="2" t="s">
        <v>8</v>
      </c>
      <c r="AS277" s="2" t="s">
        <v>8</v>
      </c>
      <c r="AU277" s="5" t="str">
        <f>HYPERLINK("https://creighton-primo.hosted.exlibrisgroup.com/primo-explore/search?tab=default_tab&amp;search_scope=EVERYTHING&amp;vid=01CRU&amp;lang=en_US&amp;offset=0&amp;query=any,contains,991001340289702656","Catalog Record")</f>
        <v>Catalog Record</v>
      </c>
      <c r="AV277" s="5" t="str">
        <f>HYPERLINK("http://www.worldcat.org/oclc/25245675","WorldCat Record")</f>
        <v>WorldCat Record</v>
      </c>
      <c r="AW277" s="2" t="s">
        <v>3594</v>
      </c>
      <c r="AX277" s="2" t="s">
        <v>3595</v>
      </c>
      <c r="AY277" s="2" t="s">
        <v>3596</v>
      </c>
      <c r="AZ277" s="2" t="s">
        <v>3596</v>
      </c>
      <c r="BA277" s="2" t="s">
        <v>3597</v>
      </c>
      <c r="BB277" s="2" t="s">
        <v>21</v>
      </c>
      <c r="BD277" s="2" t="s">
        <v>3598</v>
      </c>
      <c r="BE277" s="2" t="s">
        <v>3599</v>
      </c>
      <c r="BF277" s="2" t="s">
        <v>3600</v>
      </c>
    </row>
    <row r="278" spans="1:58" ht="42.75" customHeight="1" x14ac:dyDescent="0.25">
      <c r="A278" s="8" t="s">
        <v>8</v>
      </c>
      <c r="B278" s="1" t="s">
        <v>0</v>
      </c>
      <c r="C278" s="1" t="s">
        <v>1</v>
      </c>
      <c r="D278" s="1" t="s">
        <v>3601</v>
      </c>
      <c r="E278" s="1" t="s">
        <v>3602</v>
      </c>
      <c r="F278" s="1" t="s">
        <v>3603</v>
      </c>
      <c r="H278" s="2" t="s">
        <v>8</v>
      </c>
      <c r="I278" s="2" t="s">
        <v>7</v>
      </c>
      <c r="J278" s="2" t="s">
        <v>8</v>
      </c>
      <c r="K278" s="2" t="s">
        <v>8</v>
      </c>
      <c r="L278" s="2" t="s">
        <v>9</v>
      </c>
      <c r="M278" s="1" t="s">
        <v>3604</v>
      </c>
      <c r="N278" s="1" t="s">
        <v>3605</v>
      </c>
      <c r="O278" s="2" t="s">
        <v>589</v>
      </c>
      <c r="Q278" s="2" t="s">
        <v>12</v>
      </c>
      <c r="R278" s="2" t="s">
        <v>1211</v>
      </c>
      <c r="S278" s="1" t="s">
        <v>3606</v>
      </c>
      <c r="T278" s="2" t="s">
        <v>14</v>
      </c>
      <c r="U278" s="3">
        <v>13</v>
      </c>
      <c r="V278" s="3">
        <v>13</v>
      </c>
      <c r="W278" s="4" t="s">
        <v>3607</v>
      </c>
      <c r="X278" s="4" t="s">
        <v>3607</v>
      </c>
      <c r="Y278" s="4" t="s">
        <v>3608</v>
      </c>
      <c r="Z278" s="4" t="s">
        <v>3608</v>
      </c>
      <c r="AA278" s="3">
        <v>57</v>
      </c>
      <c r="AB278" s="3">
        <v>57</v>
      </c>
      <c r="AC278" s="3">
        <v>57</v>
      </c>
      <c r="AD278" s="3">
        <v>1</v>
      </c>
      <c r="AE278" s="3">
        <v>1</v>
      </c>
      <c r="AF278" s="3">
        <v>2</v>
      </c>
      <c r="AG278" s="3">
        <v>2</v>
      </c>
      <c r="AH278" s="3">
        <v>0</v>
      </c>
      <c r="AI278" s="3">
        <v>0</v>
      </c>
      <c r="AJ278" s="3">
        <v>0</v>
      </c>
      <c r="AK278" s="3">
        <v>0</v>
      </c>
      <c r="AL278" s="3">
        <v>0</v>
      </c>
      <c r="AM278" s="3">
        <v>0</v>
      </c>
      <c r="AN278" s="3">
        <v>0</v>
      </c>
      <c r="AO278" s="3">
        <v>0</v>
      </c>
      <c r="AP278" s="3">
        <v>2</v>
      </c>
      <c r="AQ278" s="3">
        <v>2</v>
      </c>
      <c r="AR278" s="2" t="s">
        <v>8</v>
      </c>
      <c r="AS278" s="2" t="s">
        <v>8</v>
      </c>
      <c r="AU278" s="5" t="str">
        <f>HYPERLINK("https://creighton-primo.hosted.exlibrisgroup.com/primo-explore/search?tab=default_tab&amp;search_scope=EVERYTHING&amp;vid=01CRU&amp;lang=en_US&amp;offset=0&amp;query=any,contains,991000828829702656","Catalog Record")</f>
        <v>Catalog Record</v>
      </c>
      <c r="AV278" s="5" t="str">
        <f>HYPERLINK("http://www.worldcat.org/oclc/22200737","WorldCat Record")</f>
        <v>WorldCat Record</v>
      </c>
      <c r="AW278" s="2" t="s">
        <v>3609</v>
      </c>
      <c r="AX278" s="2" t="s">
        <v>3610</v>
      </c>
      <c r="AY278" s="2" t="s">
        <v>3611</v>
      </c>
      <c r="AZ278" s="2" t="s">
        <v>3611</v>
      </c>
      <c r="BA278" s="2" t="s">
        <v>3612</v>
      </c>
      <c r="BB278" s="2" t="s">
        <v>21</v>
      </c>
      <c r="BE278" s="2" t="s">
        <v>3613</v>
      </c>
      <c r="BF278" s="2" t="s">
        <v>3614</v>
      </c>
    </row>
    <row r="279" spans="1:58" ht="42.75" customHeight="1" x14ac:dyDescent="0.25">
      <c r="A279" s="8" t="s">
        <v>8</v>
      </c>
      <c r="B279" s="1" t="s">
        <v>0</v>
      </c>
      <c r="C279" s="1" t="s">
        <v>1</v>
      </c>
      <c r="D279" s="1" t="s">
        <v>3615</v>
      </c>
      <c r="E279" s="1" t="s">
        <v>3616</v>
      </c>
      <c r="F279" s="1" t="s">
        <v>3617</v>
      </c>
      <c r="H279" s="2" t="s">
        <v>8</v>
      </c>
      <c r="I279" s="2" t="s">
        <v>7</v>
      </c>
      <c r="J279" s="2" t="s">
        <v>8</v>
      </c>
      <c r="K279" s="2" t="s">
        <v>8</v>
      </c>
      <c r="L279" s="2" t="s">
        <v>9</v>
      </c>
      <c r="M279" s="1" t="s">
        <v>3618</v>
      </c>
      <c r="N279" s="1" t="s">
        <v>3619</v>
      </c>
      <c r="O279" s="2" t="s">
        <v>589</v>
      </c>
      <c r="Q279" s="2" t="s">
        <v>12</v>
      </c>
      <c r="R279" s="2" t="s">
        <v>1211</v>
      </c>
      <c r="S279" s="1" t="s">
        <v>3620</v>
      </c>
      <c r="T279" s="2" t="s">
        <v>14</v>
      </c>
      <c r="U279" s="3">
        <v>3</v>
      </c>
      <c r="V279" s="3">
        <v>3</v>
      </c>
      <c r="W279" s="4" t="s">
        <v>3621</v>
      </c>
      <c r="X279" s="4" t="s">
        <v>3621</v>
      </c>
      <c r="Y279" s="4" t="s">
        <v>3622</v>
      </c>
      <c r="Z279" s="4" t="s">
        <v>3622</v>
      </c>
      <c r="AA279" s="3">
        <v>460</v>
      </c>
      <c r="AB279" s="3">
        <v>452</v>
      </c>
      <c r="AC279" s="3">
        <v>454</v>
      </c>
      <c r="AD279" s="3">
        <v>6</v>
      </c>
      <c r="AE279" s="3">
        <v>6</v>
      </c>
      <c r="AF279" s="3">
        <v>21</v>
      </c>
      <c r="AG279" s="3">
        <v>21</v>
      </c>
      <c r="AH279" s="3">
        <v>8</v>
      </c>
      <c r="AI279" s="3">
        <v>8</v>
      </c>
      <c r="AJ279" s="3">
        <v>2</v>
      </c>
      <c r="AK279" s="3">
        <v>2</v>
      </c>
      <c r="AL279" s="3">
        <v>12</v>
      </c>
      <c r="AM279" s="3">
        <v>12</v>
      </c>
      <c r="AN279" s="3">
        <v>3</v>
      </c>
      <c r="AO279" s="3">
        <v>3</v>
      </c>
      <c r="AP279" s="3">
        <v>3</v>
      </c>
      <c r="AQ279" s="3">
        <v>3</v>
      </c>
      <c r="AR279" s="2" t="s">
        <v>8</v>
      </c>
      <c r="AS279" s="2" t="s">
        <v>6</v>
      </c>
      <c r="AT279" s="5" t="str">
        <f>HYPERLINK("http://catalog.hathitrust.org/Record/004502501","HathiTrust Record")</f>
        <v>HathiTrust Record</v>
      </c>
      <c r="AU279" s="5" t="str">
        <f>HYPERLINK("https://creighton-primo.hosted.exlibrisgroup.com/primo-explore/search?tab=default_tab&amp;search_scope=EVERYTHING&amp;vid=01CRU&amp;lang=en_US&amp;offset=0&amp;query=any,contains,991000781579702656","Catalog Record")</f>
        <v>Catalog Record</v>
      </c>
      <c r="AV279" s="5" t="str">
        <f>HYPERLINK("http://www.worldcat.org/oclc/22809216","WorldCat Record")</f>
        <v>WorldCat Record</v>
      </c>
      <c r="AW279" s="2" t="s">
        <v>3623</v>
      </c>
      <c r="AX279" s="2" t="s">
        <v>3624</v>
      </c>
      <c r="AY279" s="2" t="s">
        <v>3625</v>
      </c>
      <c r="AZ279" s="2" t="s">
        <v>3625</v>
      </c>
      <c r="BA279" s="2" t="s">
        <v>3626</v>
      </c>
      <c r="BB279" s="2" t="s">
        <v>21</v>
      </c>
      <c r="BE279" s="2" t="s">
        <v>3627</v>
      </c>
      <c r="BF279" s="2" t="s">
        <v>3628</v>
      </c>
    </row>
    <row r="280" spans="1:58" ht="42.75" customHeight="1" x14ac:dyDescent="0.25">
      <c r="A280" s="8" t="s">
        <v>8</v>
      </c>
      <c r="B280" s="1" t="s">
        <v>0</v>
      </c>
      <c r="C280" s="1" t="s">
        <v>1</v>
      </c>
      <c r="D280" s="1" t="s">
        <v>3629</v>
      </c>
      <c r="E280" s="1" t="s">
        <v>3630</v>
      </c>
      <c r="F280" s="1" t="s">
        <v>3631</v>
      </c>
      <c r="H280" s="2" t="s">
        <v>8</v>
      </c>
      <c r="I280" s="2" t="s">
        <v>7</v>
      </c>
      <c r="J280" s="2" t="s">
        <v>8</v>
      </c>
      <c r="K280" s="2" t="s">
        <v>8</v>
      </c>
      <c r="L280" s="2" t="s">
        <v>9</v>
      </c>
      <c r="M280" s="1" t="s">
        <v>3632</v>
      </c>
      <c r="N280" s="1" t="s">
        <v>3633</v>
      </c>
      <c r="O280" s="2" t="s">
        <v>2044</v>
      </c>
      <c r="Q280" s="2" t="s">
        <v>12</v>
      </c>
      <c r="R280" s="2" t="s">
        <v>13</v>
      </c>
      <c r="T280" s="2" t="s">
        <v>14</v>
      </c>
      <c r="U280" s="3">
        <v>2</v>
      </c>
      <c r="V280" s="3">
        <v>2</v>
      </c>
      <c r="W280" s="4" t="s">
        <v>3634</v>
      </c>
      <c r="X280" s="4" t="s">
        <v>3634</v>
      </c>
      <c r="Y280" s="4" t="s">
        <v>3635</v>
      </c>
      <c r="Z280" s="4" t="s">
        <v>3635</v>
      </c>
      <c r="AA280" s="3">
        <v>306</v>
      </c>
      <c r="AB280" s="3">
        <v>225</v>
      </c>
      <c r="AC280" s="3">
        <v>225</v>
      </c>
      <c r="AD280" s="3">
        <v>1</v>
      </c>
      <c r="AE280" s="3">
        <v>1</v>
      </c>
      <c r="AF280" s="3">
        <v>3</v>
      </c>
      <c r="AG280" s="3">
        <v>3</v>
      </c>
      <c r="AH280" s="3">
        <v>1</v>
      </c>
      <c r="AI280" s="3">
        <v>1</v>
      </c>
      <c r="AJ280" s="3">
        <v>2</v>
      </c>
      <c r="AK280" s="3">
        <v>2</v>
      </c>
      <c r="AL280" s="3">
        <v>1</v>
      </c>
      <c r="AM280" s="3">
        <v>1</v>
      </c>
      <c r="AN280" s="3">
        <v>0</v>
      </c>
      <c r="AO280" s="3">
        <v>0</v>
      </c>
      <c r="AP280" s="3">
        <v>0</v>
      </c>
      <c r="AQ280" s="3">
        <v>0</v>
      </c>
      <c r="AR280" s="2" t="s">
        <v>8</v>
      </c>
      <c r="AS280" s="2" t="s">
        <v>8</v>
      </c>
      <c r="AU280" s="5" t="str">
        <f>HYPERLINK("https://creighton-primo.hosted.exlibrisgroup.com/primo-explore/search?tab=default_tab&amp;search_scope=EVERYTHING&amp;vid=01CRU&amp;lang=en_US&amp;offset=0&amp;query=any,contains,991000366149702656","Catalog Record")</f>
        <v>Catalog Record</v>
      </c>
      <c r="AV280" s="5" t="str">
        <f>HYPERLINK("http://www.worldcat.org/oclc/47849507","WorldCat Record")</f>
        <v>WorldCat Record</v>
      </c>
      <c r="AW280" s="2" t="s">
        <v>3636</v>
      </c>
      <c r="AX280" s="2" t="s">
        <v>3637</v>
      </c>
      <c r="AY280" s="2" t="s">
        <v>3638</v>
      </c>
      <c r="AZ280" s="2" t="s">
        <v>3638</v>
      </c>
      <c r="BA280" s="2" t="s">
        <v>3639</v>
      </c>
      <c r="BB280" s="2" t="s">
        <v>21</v>
      </c>
      <c r="BD280" s="2" t="s">
        <v>3640</v>
      </c>
      <c r="BE280" s="2" t="s">
        <v>3641</v>
      </c>
      <c r="BF280" s="2" t="s">
        <v>3642</v>
      </c>
    </row>
    <row r="281" spans="1:58" ht="42.75" customHeight="1" x14ac:dyDescent="0.25">
      <c r="A281" s="8" t="s">
        <v>8</v>
      </c>
      <c r="B281" s="1" t="s">
        <v>0</v>
      </c>
      <c r="C281" s="1" t="s">
        <v>1</v>
      </c>
      <c r="D281" s="1" t="s">
        <v>3643</v>
      </c>
      <c r="E281" s="1" t="s">
        <v>3644</v>
      </c>
      <c r="F281" s="1" t="s">
        <v>3645</v>
      </c>
      <c r="H281" s="2" t="s">
        <v>8</v>
      </c>
      <c r="I281" s="2" t="s">
        <v>7</v>
      </c>
      <c r="J281" s="2" t="s">
        <v>8</v>
      </c>
      <c r="K281" s="2" t="s">
        <v>8</v>
      </c>
      <c r="L281" s="2" t="s">
        <v>9</v>
      </c>
      <c r="N281" s="1" t="s">
        <v>3646</v>
      </c>
      <c r="O281" s="2" t="s">
        <v>731</v>
      </c>
      <c r="Q281" s="2" t="s">
        <v>12</v>
      </c>
      <c r="R281" s="2" t="s">
        <v>456</v>
      </c>
      <c r="T281" s="2" t="s">
        <v>14</v>
      </c>
      <c r="U281" s="3">
        <v>2</v>
      </c>
      <c r="V281" s="3">
        <v>2</v>
      </c>
      <c r="W281" s="4" t="s">
        <v>3647</v>
      </c>
      <c r="X281" s="4" t="s">
        <v>3647</v>
      </c>
      <c r="Y281" s="4" t="s">
        <v>3648</v>
      </c>
      <c r="Z281" s="4" t="s">
        <v>3648</v>
      </c>
      <c r="AA281" s="3">
        <v>60</v>
      </c>
      <c r="AB281" s="3">
        <v>47</v>
      </c>
      <c r="AC281" s="3">
        <v>49</v>
      </c>
      <c r="AD281" s="3">
        <v>2</v>
      </c>
      <c r="AE281" s="3">
        <v>2</v>
      </c>
      <c r="AF281" s="3">
        <v>1</v>
      </c>
      <c r="AG281" s="3">
        <v>1</v>
      </c>
      <c r="AH281" s="3">
        <v>0</v>
      </c>
      <c r="AI281" s="3">
        <v>0</v>
      </c>
      <c r="AJ281" s="3">
        <v>0</v>
      </c>
      <c r="AK281" s="3">
        <v>0</v>
      </c>
      <c r="AL281" s="3">
        <v>0</v>
      </c>
      <c r="AM281" s="3">
        <v>0</v>
      </c>
      <c r="AN281" s="3">
        <v>1</v>
      </c>
      <c r="AO281" s="3">
        <v>1</v>
      </c>
      <c r="AP281" s="3">
        <v>0</v>
      </c>
      <c r="AQ281" s="3">
        <v>0</v>
      </c>
      <c r="AR281" s="2" t="s">
        <v>8</v>
      </c>
      <c r="AS281" s="2" t="s">
        <v>6</v>
      </c>
      <c r="AT281" s="5" t="str">
        <f>HYPERLINK("http://catalog.hathitrust.org/Record/010378849","HathiTrust Record")</f>
        <v>HathiTrust Record</v>
      </c>
      <c r="AU281" s="5" t="str">
        <f>HYPERLINK("https://creighton-primo.hosted.exlibrisgroup.com/primo-explore/search?tab=default_tab&amp;search_scope=EVERYTHING&amp;vid=01CRU&amp;lang=en_US&amp;offset=0&amp;query=any,contains,991000782769702656","Catalog Record")</f>
        <v>Catalog Record</v>
      </c>
      <c r="AV281" s="5" t="str">
        <f>HYPERLINK("http://www.worldcat.org/oclc/38937488","WorldCat Record")</f>
        <v>WorldCat Record</v>
      </c>
      <c r="AW281" s="2" t="s">
        <v>3649</v>
      </c>
      <c r="AX281" s="2" t="s">
        <v>3650</v>
      </c>
      <c r="AY281" s="2" t="s">
        <v>3651</v>
      </c>
      <c r="AZ281" s="2" t="s">
        <v>3651</v>
      </c>
      <c r="BA281" s="2" t="s">
        <v>3652</v>
      </c>
      <c r="BB281" s="2" t="s">
        <v>21</v>
      </c>
      <c r="BD281" s="2" t="s">
        <v>3653</v>
      </c>
      <c r="BE281" s="2" t="s">
        <v>3654</v>
      </c>
      <c r="BF281" s="2" t="s">
        <v>3655</v>
      </c>
    </row>
    <row r="282" spans="1:58" ht="42.75" customHeight="1" x14ac:dyDescent="0.25">
      <c r="A282" s="8" t="s">
        <v>8</v>
      </c>
      <c r="B282" s="1" t="s">
        <v>0</v>
      </c>
      <c r="C282" s="1" t="s">
        <v>1</v>
      </c>
      <c r="D282" s="1" t="s">
        <v>3656</v>
      </c>
      <c r="E282" s="1" t="s">
        <v>3657</v>
      </c>
      <c r="F282" s="1" t="s">
        <v>3658</v>
      </c>
      <c r="H282" s="2" t="s">
        <v>8</v>
      </c>
      <c r="I282" s="2" t="s">
        <v>7</v>
      </c>
      <c r="J282" s="2" t="s">
        <v>8</v>
      </c>
      <c r="K282" s="2" t="s">
        <v>8</v>
      </c>
      <c r="L282" s="2" t="s">
        <v>9</v>
      </c>
      <c r="M282" s="1" t="s">
        <v>3659</v>
      </c>
      <c r="N282" s="1" t="s">
        <v>3660</v>
      </c>
      <c r="O282" s="2" t="s">
        <v>266</v>
      </c>
      <c r="P282" s="1" t="s">
        <v>2031</v>
      </c>
      <c r="Q282" s="2" t="s">
        <v>12</v>
      </c>
      <c r="R282" s="2" t="s">
        <v>34</v>
      </c>
      <c r="T282" s="2" t="s">
        <v>14</v>
      </c>
      <c r="U282" s="3">
        <v>2</v>
      </c>
      <c r="V282" s="3">
        <v>2</v>
      </c>
      <c r="W282" s="4" t="s">
        <v>3661</v>
      </c>
      <c r="X282" s="4" t="s">
        <v>3661</v>
      </c>
      <c r="Y282" s="4" t="s">
        <v>2327</v>
      </c>
      <c r="Z282" s="4" t="s">
        <v>2327</v>
      </c>
      <c r="AA282" s="3">
        <v>150</v>
      </c>
      <c r="AB282" s="3">
        <v>121</v>
      </c>
      <c r="AC282" s="3">
        <v>311</v>
      </c>
      <c r="AD282" s="3">
        <v>2</v>
      </c>
      <c r="AE282" s="3">
        <v>5</v>
      </c>
      <c r="AF282" s="3">
        <v>3</v>
      </c>
      <c r="AG282" s="3">
        <v>11</v>
      </c>
      <c r="AH282" s="3">
        <v>1</v>
      </c>
      <c r="AI282" s="3">
        <v>2</v>
      </c>
      <c r="AJ282" s="3">
        <v>1</v>
      </c>
      <c r="AK282" s="3">
        <v>2</v>
      </c>
      <c r="AL282" s="3">
        <v>1</v>
      </c>
      <c r="AM282" s="3">
        <v>4</v>
      </c>
      <c r="AN282" s="3">
        <v>1</v>
      </c>
      <c r="AO282" s="3">
        <v>4</v>
      </c>
      <c r="AP282" s="3">
        <v>0</v>
      </c>
      <c r="AQ282" s="3">
        <v>0</v>
      </c>
      <c r="AR282" s="2" t="s">
        <v>8</v>
      </c>
      <c r="AS282" s="2" t="s">
        <v>6</v>
      </c>
      <c r="AT282" s="5" t="str">
        <f>HYPERLINK("http://catalog.hathitrust.org/Record/000277282","HathiTrust Record")</f>
        <v>HathiTrust Record</v>
      </c>
      <c r="AU282" s="5" t="str">
        <f>HYPERLINK("https://creighton-primo.hosted.exlibrisgroup.com/primo-explore/search?tab=default_tab&amp;search_scope=EVERYTHING&amp;vid=01CRU&amp;lang=en_US&amp;offset=0&amp;query=any,contains,991001179249702656","Catalog Record")</f>
        <v>Catalog Record</v>
      </c>
      <c r="AV282" s="5" t="str">
        <f>HYPERLINK("http://www.worldcat.org/oclc/9066522","WorldCat Record")</f>
        <v>WorldCat Record</v>
      </c>
      <c r="AW282" s="2" t="s">
        <v>3662</v>
      </c>
      <c r="AX282" s="2" t="s">
        <v>3663</v>
      </c>
      <c r="AY282" s="2" t="s">
        <v>3664</v>
      </c>
      <c r="AZ282" s="2" t="s">
        <v>3664</v>
      </c>
      <c r="BA282" s="2" t="s">
        <v>3665</v>
      </c>
      <c r="BB282" s="2" t="s">
        <v>21</v>
      </c>
      <c r="BD282" s="2" t="s">
        <v>3666</v>
      </c>
      <c r="BE282" s="2" t="s">
        <v>3667</v>
      </c>
      <c r="BF282" s="2" t="s">
        <v>3668</v>
      </c>
    </row>
    <row r="283" spans="1:58" ht="42.75" customHeight="1" x14ac:dyDescent="0.25">
      <c r="A283" s="8" t="s">
        <v>8</v>
      </c>
      <c r="B283" s="1" t="s">
        <v>0</v>
      </c>
      <c r="C283" s="1" t="s">
        <v>1</v>
      </c>
      <c r="D283" s="1" t="s">
        <v>3669</v>
      </c>
      <c r="E283" s="1" t="s">
        <v>3670</v>
      </c>
      <c r="F283" s="1" t="s">
        <v>3671</v>
      </c>
      <c r="H283" s="2" t="s">
        <v>8</v>
      </c>
      <c r="I283" s="2" t="s">
        <v>7</v>
      </c>
      <c r="J283" s="2" t="s">
        <v>8</v>
      </c>
      <c r="K283" s="2" t="s">
        <v>8</v>
      </c>
      <c r="L283" s="2" t="s">
        <v>9</v>
      </c>
      <c r="N283" s="1" t="s">
        <v>3672</v>
      </c>
      <c r="O283" s="2" t="s">
        <v>410</v>
      </c>
      <c r="Q283" s="2" t="s">
        <v>12</v>
      </c>
      <c r="R283" s="2" t="s">
        <v>774</v>
      </c>
      <c r="T283" s="2" t="s">
        <v>14</v>
      </c>
      <c r="U283" s="3">
        <v>14</v>
      </c>
      <c r="V283" s="3">
        <v>14</v>
      </c>
      <c r="W283" s="4" t="s">
        <v>3673</v>
      </c>
      <c r="X283" s="4" t="s">
        <v>3673</v>
      </c>
      <c r="Y283" s="4" t="s">
        <v>2605</v>
      </c>
      <c r="Z283" s="4" t="s">
        <v>2605</v>
      </c>
      <c r="AA283" s="3">
        <v>183</v>
      </c>
      <c r="AB283" s="3">
        <v>137</v>
      </c>
      <c r="AC283" s="3">
        <v>138</v>
      </c>
      <c r="AD283" s="3">
        <v>2</v>
      </c>
      <c r="AE283" s="3">
        <v>2</v>
      </c>
      <c r="AF283" s="3">
        <v>3</v>
      </c>
      <c r="AG283" s="3">
        <v>3</v>
      </c>
      <c r="AH283" s="3">
        <v>1</v>
      </c>
      <c r="AI283" s="3">
        <v>1</v>
      </c>
      <c r="AJ283" s="3">
        <v>0</v>
      </c>
      <c r="AK283" s="3">
        <v>0</v>
      </c>
      <c r="AL283" s="3">
        <v>1</v>
      </c>
      <c r="AM283" s="3">
        <v>1</v>
      </c>
      <c r="AN283" s="3">
        <v>1</v>
      </c>
      <c r="AO283" s="3">
        <v>1</v>
      </c>
      <c r="AP283" s="3">
        <v>0</v>
      </c>
      <c r="AQ283" s="3">
        <v>0</v>
      </c>
      <c r="AR283" s="2" t="s">
        <v>8</v>
      </c>
      <c r="AS283" s="2" t="s">
        <v>8</v>
      </c>
      <c r="AU283" s="5" t="str">
        <f>HYPERLINK("https://creighton-primo.hosted.exlibrisgroup.com/primo-explore/search?tab=default_tab&amp;search_scope=EVERYTHING&amp;vid=01CRU&amp;lang=en_US&amp;offset=0&amp;query=any,contains,991001514009702656","Catalog Record")</f>
        <v>Catalog Record</v>
      </c>
      <c r="AV283" s="5" t="str">
        <f>HYPERLINK("http://www.worldcat.org/oclc/26214611","WorldCat Record")</f>
        <v>WorldCat Record</v>
      </c>
      <c r="AW283" s="2" t="s">
        <v>3674</v>
      </c>
      <c r="AX283" s="2" t="s">
        <v>3675</v>
      </c>
      <c r="AY283" s="2" t="s">
        <v>3676</v>
      </c>
      <c r="AZ283" s="2" t="s">
        <v>3676</v>
      </c>
      <c r="BA283" s="2" t="s">
        <v>3677</v>
      </c>
      <c r="BB283" s="2" t="s">
        <v>21</v>
      </c>
      <c r="BD283" s="2" t="s">
        <v>3678</v>
      </c>
      <c r="BE283" s="2" t="s">
        <v>3679</v>
      </c>
      <c r="BF283" s="2" t="s">
        <v>3680</v>
      </c>
    </row>
    <row r="284" spans="1:58" ht="42.75" customHeight="1" x14ac:dyDescent="0.25">
      <c r="A284" s="8" t="s">
        <v>8</v>
      </c>
      <c r="B284" s="1" t="s">
        <v>0</v>
      </c>
      <c r="C284" s="1" t="s">
        <v>1</v>
      </c>
      <c r="D284" s="1" t="s">
        <v>3681</v>
      </c>
      <c r="E284" s="1" t="s">
        <v>3682</v>
      </c>
      <c r="F284" s="1" t="s">
        <v>3683</v>
      </c>
      <c r="H284" s="2" t="s">
        <v>8</v>
      </c>
      <c r="I284" s="2" t="s">
        <v>7</v>
      </c>
      <c r="J284" s="2" t="s">
        <v>8</v>
      </c>
      <c r="K284" s="2" t="s">
        <v>8</v>
      </c>
      <c r="L284" s="2" t="s">
        <v>9</v>
      </c>
      <c r="M284" s="1" t="s">
        <v>3684</v>
      </c>
      <c r="N284" s="1" t="s">
        <v>3685</v>
      </c>
      <c r="O284" s="2" t="s">
        <v>2044</v>
      </c>
      <c r="Q284" s="2" t="s">
        <v>12</v>
      </c>
      <c r="R284" s="2" t="s">
        <v>13</v>
      </c>
      <c r="S284" s="1" t="s">
        <v>3686</v>
      </c>
      <c r="T284" s="2" t="s">
        <v>14</v>
      </c>
      <c r="U284" s="3">
        <v>3</v>
      </c>
      <c r="V284" s="3">
        <v>3</v>
      </c>
      <c r="W284" s="4" t="s">
        <v>3687</v>
      </c>
      <c r="X284" s="4" t="s">
        <v>3687</v>
      </c>
      <c r="Y284" s="4" t="s">
        <v>3688</v>
      </c>
      <c r="Z284" s="4" t="s">
        <v>3688</v>
      </c>
      <c r="AA284" s="3">
        <v>229</v>
      </c>
      <c r="AB284" s="3">
        <v>162</v>
      </c>
      <c r="AC284" s="3">
        <v>350</v>
      </c>
      <c r="AD284" s="3">
        <v>2</v>
      </c>
      <c r="AE284" s="3">
        <v>2</v>
      </c>
      <c r="AF284" s="3">
        <v>7</v>
      </c>
      <c r="AG284" s="3">
        <v>9</v>
      </c>
      <c r="AH284" s="3">
        <v>1</v>
      </c>
      <c r="AI284" s="3">
        <v>1</v>
      </c>
      <c r="AJ284" s="3">
        <v>2</v>
      </c>
      <c r="AK284" s="3">
        <v>4</v>
      </c>
      <c r="AL284" s="3">
        <v>4</v>
      </c>
      <c r="AM284" s="3">
        <v>6</v>
      </c>
      <c r="AN284" s="3">
        <v>1</v>
      </c>
      <c r="AO284" s="3">
        <v>1</v>
      </c>
      <c r="AP284" s="3">
        <v>0</v>
      </c>
      <c r="AQ284" s="3">
        <v>0</v>
      </c>
      <c r="AR284" s="2" t="s">
        <v>8</v>
      </c>
      <c r="AS284" s="2" t="s">
        <v>8</v>
      </c>
      <c r="AU284" s="5" t="str">
        <f>HYPERLINK("https://creighton-primo.hosted.exlibrisgroup.com/primo-explore/search?tab=default_tab&amp;search_scope=EVERYTHING&amp;vid=01CRU&amp;lang=en_US&amp;offset=0&amp;query=any,contains,991000341979702656","Catalog Record")</f>
        <v>Catalog Record</v>
      </c>
      <c r="AV284" s="5" t="str">
        <f>HYPERLINK("http://www.worldcat.org/oclc/46936220","WorldCat Record")</f>
        <v>WorldCat Record</v>
      </c>
      <c r="AW284" s="2" t="s">
        <v>3689</v>
      </c>
      <c r="AX284" s="2" t="s">
        <v>3690</v>
      </c>
      <c r="AY284" s="2" t="s">
        <v>3691</v>
      </c>
      <c r="AZ284" s="2" t="s">
        <v>3691</v>
      </c>
      <c r="BA284" s="2" t="s">
        <v>3692</v>
      </c>
      <c r="BB284" s="2" t="s">
        <v>21</v>
      </c>
      <c r="BD284" s="2" t="s">
        <v>3693</v>
      </c>
      <c r="BE284" s="2" t="s">
        <v>3694</v>
      </c>
      <c r="BF284" s="2" t="s">
        <v>3695</v>
      </c>
    </row>
    <row r="285" spans="1:58" ht="42.75" customHeight="1" x14ac:dyDescent="0.25">
      <c r="A285" s="8" t="s">
        <v>8</v>
      </c>
      <c r="B285" s="1" t="s">
        <v>0</v>
      </c>
      <c r="C285" s="1" t="s">
        <v>1</v>
      </c>
      <c r="D285" s="1" t="s">
        <v>3696</v>
      </c>
      <c r="E285" s="1" t="s">
        <v>3697</v>
      </c>
      <c r="F285" s="1" t="s">
        <v>3698</v>
      </c>
      <c r="H285" s="2" t="s">
        <v>8</v>
      </c>
      <c r="I285" s="2" t="s">
        <v>7</v>
      </c>
      <c r="J285" s="2" t="s">
        <v>8</v>
      </c>
      <c r="K285" s="2" t="s">
        <v>8</v>
      </c>
      <c r="L285" s="2" t="s">
        <v>9</v>
      </c>
      <c r="M285" s="1" t="s">
        <v>3699</v>
      </c>
      <c r="N285" s="1" t="s">
        <v>3700</v>
      </c>
      <c r="O285" s="2" t="s">
        <v>614</v>
      </c>
      <c r="Q285" s="2" t="s">
        <v>12</v>
      </c>
      <c r="R285" s="2" t="s">
        <v>34</v>
      </c>
      <c r="T285" s="2" t="s">
        <v>14</v>
      </c>
      <c r="U285" s="3">
        <v>2</v>
      </c>
      <c r="V285" s="3">
        <v>2</v>
      </c>
      <c r="W285" s="4" t="s">
        <v>3701</v>
      </c>
      <c r="X285" s="4" t="s">
        <v>3701</v>
      </c>
      <c r="Y285" s="4" t="s">
        <v>3701</v>
      </c>
      <c r="Z285" s="4" t="s">
        <v>3701</v>
      </c>
      <c r="AA285" s="3">
        <v>152</v>
      </c>
      <c r="AB285" s="3">
        <v>114</v>
      </c>
      <c r="AC285" s="3">
        <v>131</v>
      </c>
      <c r="AD285" s="3">
        <v>1</v>
      </c>
      <c r="AE285" s="3">
        <v>1</v>
      </c>
      <c r="AF285" s="3">
        <v>3</v>
      </c>
      <c r="AG285" s="3">
        <v>5</v>
      </c>
      <c r="AH285" s="3">
        <v>2</v>
      </c>
      <c r="AI285" s="3">
        <v>3</v>
      </c>
      <c r="AJ285" s="3">
        <v>0</v>
      </c>
      <c r="AK285" s="3">
        <v>1</v>
      </c>
      <c r="AL285" s="3">
        <v>2</v>
      </c>
      <c r="AM285" s="3">
        <v>2</v>
      </c>
      <c r="AN285" s="3">
        <v>0</v>
      </c>
      <c r="AO285" s="3">
        <v>0</v>
      </c>
      <c r="AP285" s="3">
        <v>0</v>
      </c>
      <c r="AQ285" s="3">
        <v>0</v>
      </c>
      <c r="AR285" s="2" t="s">
        <v>8</v>
      </c>
      <c r="AS285" s="2" t="s">
        <v>6</v>
      </c>
      <c r="AT285" s="5" t="str">
        <f>HYPERLINK("http://catalog.hathitrust.org/Record/002604040","HathiTrust Record")</f>
        <v>HathiTrust Record</v>
      </c>
      <c r="AU285" s="5" t="str">
        <f>HYPERLINK("https://creighton-primo.hosted.exlibrisgroup.com/primo-explore/search?tab=default_tab&amp;search_scope=EVERYTHING&amp;vid=01CRU&amp;lang=en_US&amp;offset=0&amp;query=any,contains,991001302929702656","Catalog Record")</f>
        <v>Catalog Record</v>
      </c>
      <c r="AV285" s="5" t="str">
        <f>HYPERLINK("http://www.worldcat.org/oclc/24287803","WorldCat Record")</f>
        <v>WorldCat Record</v>
      </c>
      <c r="AW285" s="2" t="s">
        <v>3702</v>
      </c>
      <c r="AX285" s="2" t="s">
        <v>3703</v>
      </c>
      <c r="AY285" s="2" t="s">
        <v>3704</v>
      </c>
      <c r="AZ285" s="2" t="s">
        <v>3704</v>
      </c>
      <c r="BA285" s="2" t="s">
        <v>3705</v>
      </c>
      <c r="BB285" s="2" t="s">
        <v>21</v>
      </c>
      <c r="BD285" s="2" t="s">
        <v>3706</v>
      </c>
      <c r="BE285" s="2" t="s">
        <v>3707</v>
      </c>
      <c r="BF285" s="2" t="s">
        <v>3708</v>
      </c>
    </row>
    <row r="286" spans="1:58" ht="42.75" customHeight="1" x14ac:dyDescent="0.25">
      <c r="A286" s="8" t="s">
        <v>8</v>
      </c>
      <c r="B286" s="1" t="s">
        <v>0</v>
      </c>
      <c r="C286" s="1" t="s">
        <v>1</v>
      </c>
      <c r="D286" s="1" t="s">
        <v>3709</v>
      </c>
      <c r="E286" s="1" t="s">
        <v>3710</v>
      </c>
      <c r="F286" s="1" t="s">
        <v>3711</v>
      </c>
      <c r="H286" s="2" t="s">
        <v>8</v>
      </c>
      <c r="I286" s="2" t="s">
        <v>7</v>
      </c>
      <c r="J286" s="2" t="s">
        <v>8</v>
      </c>
      <c r="K286" s="2" t="s">
        <v>8</v>
      </c>
      <c r="L286" s="2" t="s">
        <v>885</v>
      </c>
      <c r="N286" s="1" t="s">
        <v>3712</v>
      </c>
      <c r="O286" s="2" t="s">
        <v>2089</v>
      </c>
      <c r="P286" s="1" t="s">
        <v>732</v>
      </c>
      <c r="Q286" s="2" t="s">
        <v>12</v>
      </c>
      <c r="R286" s="2" t="s">
        <v>13</v>
      </c>
      <c r="S286" s="1" t="s">
        <v>3713</v>
      </c>
      <c r="T286" s="2" t="s">
        <v>14</v>
      </c>
      <c r="U286" s="3">
        <v>4</v>
      </c>
      <c r="V286" s="3">
        <v>4</v>
      </c>
      <c r="W286" s="4" t="s">
        <v>457</v>
      </c>
      <c r="X286" s="4" t="s">
        <v>457</v>
      </c>
      <c r="Y286" s="4" t="s">
        <v>2604</v>
      </c>
      <c r="Z286" s="4" t="s">
        <v>2604</v>
      </c>
      <c r="AA286" s="3">
        <v>327</v>
      </c>
      <c r="AB286" s="3">
        <v>240</v>
      </c>
      <c r="AC286" s="3">
        <v>589</v>
      </c>
      <c r="AD286" s="3">
        <v>3</v>
      </c>
      <c r="AE286" s="3">
        <v>6</v>
      </c>
      <c r="AF286" s="3">
        <v>8</v>
      </c>
      <c r="AG286" s="3">
        <v>25</v>
      </c>
      <c r="AH286" s="3">
        <v>1</v>
      </c>
      <c r="AI286" s="3">
        <v>9</v>
      </c>
      <c r="AJ286" s="3">
        <v>3</v>
      </c>
      <c r="AK286" s="3">
        <v>7</v>
      </c>
      <c r="AL286" s="3">
        <v>3</v>
      </c>
      <c r="AM286" s="3">
        <v>12</v>
      </c>
      <c r="AN286" s="3">
        <v>2</v>
      </c>
      <c r="AO286" s="3">
        <v>4</v>
      </c>
      <c r="AP286" s="3">
        <v>0</v>
      </c>
      <c r="AQ286" s="3">
        <v>0</v>
      </c>
      <c r="AR286" s="2" t="s">
        <v>8</v>
      </c>
      <c r="AS286" s="2" t="s">
        <v>6</v>
      </c>
      <c r="AT286" s="5" t="str">
        <f>HYPERLINK("http://catalog.hathitrust.org/Record/005259323","HathiTrust Record")</f>
        <v>HathiTrust Record</v>
      </c>
      <c r="AU286" s="5" t="str">
        <f>HYPERLINK("https://creighton-primo.hosted.exlibrisgroup.com/primo-explore/search?tab=default_tab&amp;search_scope=EVERYTHING&amp;vid=01CRU&amp;lang=en_US&amp;offset=0&amp;query=any,contains,991000910309702656","Catalog Record")</f>
        <v>Catalog Record</v>
      </c>
      <c r="AV286" s="5" t="str">
        <f>HYPERLINK("http://www.worldcat.org/oclc/70204906","WorldCat Record")</f>
        <v>WorldCat Record</v>
      </c>
      <c r="AW286" s="2" t="s">
        <v>3714</v>
      </c>
      <c r="AX286" s="2" t="s">
        <v>3715</v>
      </c>
      <c r="AY286" s="2" t="s">
        <v>3716</v>
      </c>
      <c r="AZ286" s="2" t="s">
        <v>3716</v>
      </c>
      <c r="BA286" s="2" t="s">
        <v>3717</v>
      </c>
      <c r="BB286" s="2" t="s">
        <v>21</v>
      </c>
      <c r="BD286" s="2" t="s">
        <v>3718</v>
      </c>
      <c r="BE286" s="2" t="s">
        <v>3719</v>
      </c>
      <c r="BF286" s="2" t="s">
        <v>3720</v>
      </c>
    </row>
    <row r="287" spans="1:58" ht="42.75" customHeight="1" x14ac:dyDescent="0.25">
      <c r="A287" s="8" t="s">
        <v>8</v>
      </c>
      <c r="B287" s="1" t="s">
        <v>0</v>
      </c>
      <c r="C287" s="1" t="s">
        <v>1</v>
      </c>
      <c r="D287" s="1" t="s">
        <v>3721</v>
      </c>
      <c r="E287" s="1" t="s">
        <v>3722</v>
      </c>
      <c r="F287" s="1" t="s">
        <v>3723</v>
      </c>
      <c r="G287" s="2" t="s">
        <v>5</v>
      </c>
      <c r="H287" s="2" t="s">
        <v>6</v>
      </c>
      <c r="I287" s="2" t="s">
        <v>7</v>
      </c>
      <c r="J287" s="2" t="s">
        <v>8</v>
      </c>
      <c r="K287" s="2" t="s">
        <v>8</v>
      </c>
      <c r="L287" s="2" t="s">
        <v>9</v>
      </c>
      <c r="N287" s="1" t="s">
        <v>3011</v>
      </c>
      <c r="O287" s="2" t="s">
        <v>67</v>
      </c>
      <c r="Q287" s="2" t="s">
        <v>12</v>
      </c>
      <c r="R287" s="2" t="s">
        <v>34</v>
      </c>
      <c r="S287" s="1" t="s">
        <v>3724</v>
      </c>
      <c r="T287" s="2" t="s">
        <v>14</v>
      </c>
      <c r="U287" s="3">
        <v>1</v>
      </c>
      <c r="V287" s="3">
        <v>2</v>
      </c>
      <c r="W287" s="4" t="s">
        <v>3725</v>
      </c>
      <c r="X287" s="4" t="s">
        <v>3725</v>
      </c>
      <c r="Y287" s="4" t="s">
        <v>1144</v>
      </c>
      <c r="Z287" s="4" t="s">
        <v>1144</v>
      </c>
      <c r="AA287" s="3">
        <v>148</v>
      </c>
      <c r="AB287" s="3">
        <v>103</v>
      </c>
      <c r="AC287" s="3">
        <v>123</v>
      </c>
      <c r="AD287" s="3">
        <v>1</v>
      </c>
      <c r="AE287" s="3">
        <v>1</v>
      </c>
      <c r="AF287" s="3">
        <v>2</v>
      </c>
      <c r="AG287" s="3">
        <v>2</v>
      </c>
      <c r="AH287" s="3">
        <v>1</v>
      </c>
      <c r="AI287" s="3">
        <v>1</v>
      </c>
      <c r="AJ287" s="3">
        <v>0</v>
      </c>
      <c r="AK287" s="3">
        <v>0</v>
      </c>
      <c r="AL287" s="3">
        <v>2</v>
      </c>
      <c r="AM287" s="3">
        <v>2</v>
      </c>
      <c r="AN287" s="3">
        <v>0</v>
      </c>
      <c r="AO287" s="3">
        <v>0</v>
      </c>
      <c r="AP287" s="3">
        <v>0</v>
      </c>
      <c r="AQ287" s="3">
        <v>0</v>
      </c>
      <c r="AR287" s="2" t="s">
        <v>8</v>
      </c>
      <c r="AS287" s="2" t="s">
        <v>6</v>
      </c>
      <c r="AT287" s="5" t="str">
        <f>HYPERLINK("http://catalog.hathitrust.org/Record/000536559","HathiTrust Record")</f>
        <v>HathiTrust Record</v>
      </c>
      <c r="AU287" s="5" t="str">
        <f>HYPERLINK("https://creighton-primo.hosted.exlibrisgroup.com/primo-explore/search?tab=default_tab&amp;search_scope=EVERYTHING&amp;vid=01CRU&amp;lang=en_US&amp;offset=0&amp;query=any,contains,991001181739702656","Catalog Record")</f>
        <v>Catalog Record</v>
      </c>
      <c r="AV287" s="5" t="str">
        <f>HYPERLINK("http://www.worldcat.org/oclc/11726582","WorldCat Record")</f>
        <v>WorldCat Record</v>
      </c>
      <c r="AW287" s="2" t="s">
        <v>3726</v>
      </c>
      <c r="AX287" s="2" t="s">
        <v>3727</v>
      </c>
      <c r="AY287" s="2" t="s">
        <v>3728</v>
      </c>
      <c r="AZ287" s="2" t="s">
        <v>3728</v>
      </c>
      <c r="BA287" s="2" t="s">
        <v>3729</v>
      </c>
      <c r="BB287" s="2" t="s">
        <v>21</v>
      </c>
      <c r="BD287" s="2" t="s">
        <v>3730</v>
      </c>
      <c r="BE287" s="2" t="s">
        <v>3731</v>
      </c>
      <c r="BF287" s="2" t="s">
        <v>3732</v>
      </c>
    </row>
    <row r="288" spans="1:58" ht="42.75" customHeight="1" x14ac:dyDescent="0.25">
      <c r="A288" s="8" t="s">
        <v>8</v>
      </c>
      <c r="B288" s="1" t="s">
        <v>0</v>
      </c>
      <c r="C288" s="1" t="s">
        <v>1</v>
      </c>
      <c r="D288" s="1" t="s">
        <v>3721</v>
      </c>
      <c r="E288" s="1" t="s">
        <v>3722</v>
      </c>
      <c r="F288" s="1" t="s">
        <v>3723</v>
      </c>
      <c r="G288" s="2" t="s">
        <v>3733</v>
      </c>
      <c r="H288" s="2" t="s">
        <v>6</v>
      </c>
      <c r="I288" s="2" t="s">
        <v>7</v>
      </c>
      <c r="J288" s="2" t="s">
        <v>8</v>
      </c>
      <c r="K288" s="2" t="s">
        <v>8</v>
      </c>
      <c r="L288" s="2" t="s">
        <v>9</v>
      </c>
      <c r="N288" s="1" t="s">
        <v>3011</v>
      </c>
      <c r="O288" s="2" t="s">
        <v>67</v>
      </c>
      <c r="Q288" s="2" t="s">
        <v>12</v>
      </c>
      <c r="R288" s="2" t="s">
        <v>34</v>
      </c>
      <c r="S288" s="1" t="s">
        <v>3724</v>
      </c>
      <c r="T288" s="2" t="s">
        <v>14</v>
      </c>
      <c r="U288" s="3">
        <v>1</v>
      </c>
      <c r="V288" s="3">
        <v>2</v>
      </c>
      <c r="W288" s="4" t="s">
        <v>3725</v>
      </c>
      <c r="X288" s="4" t="s">
        <v>3725</v>
      </c>
      <c r="Y288" s="4" t="s">
        <v>1144</v>
      </c>
      <c r="Z288" s="4" t="s">
        <v>1144</v>
      </c>
      <c r="AA288" s="3">
        <v>148</v>
      </c>
      <c r="AB288" s="3">
        <v>103</v>
      </c>
      <c r="AC288" s="3">
        <v>123</v>
      </c>
      <c r="AD288" s="3">
        <v>1</v>
      </c>
      <c r="AE288" s="3">
        <v>1</v>
      </c>
      <c r="AF288" s="3">
        <v>2</v>
      </c>
      <c r="AG288" s="3">
        <v>2</v>
      </c>
      <c r="AH288" s="3">
        <v>1</v>
      </c>
      <c r="AI288" s="3">
        <v>1</v>
      </c>
      <c r="AJ288" s="3">
        <v>0</v>
      </c>
      <c r="AK288" s="3">
        <v>0</v>
      </c>
      <c r="AL288" s="3">
        <v>2</v>
      </c>
      <c r="AM288" s="3">
        <v>2</v>
      </c>
      <c r="AN288" s="3">
        <v>0</v>
      </c>
      <c r="AO288" s="3">
        <v>0</v>
      </c>
      <c r="AP288" s="3">
        <v>0</v>
      </c>
      <c r="AQ288" s="3">
        <v>0</v>
      </c>
      <c r="AR288" s="2" t="s">
        <v>8</v>
      </c>
      <c r="AS288" s="2" t="s">
        <v>6</v>
      </c>
      <c r="AT288" s="5" t="str">
        <f>HYPERLINK("http://catalog.hathitrust.org/Record/000536559","HathiTrust Record")</f>
        <v>HathiTrust Record</v>
      </c>
      <c r="AU288" s="5" t="str">
        <f>HYPERLINK("https://creighton-primo.hosted.exlibrisgroup.com/primo-explore/search?tab=default_tab&amp;search_scope=EVERYTHING&amp;vid=01CRU&amp;lang=en_US&amp;offset=0&amp;query=any,contains,991001181739702656","Catalog Record")</f>
        <v>Catalog Record</v>
      </c>
      <c r="AV288" s="5" t="str">
        <f>HYPERLINK("http://www.worldcat.org/oclc/11726582","WorldCat Record")</f>
        <v>WorldCat Record</v>
      </c>
      <c r="AW288" s="2" t="s">
        <v>3726</v>
      </c>
      <c r="AX288" s="2" t="s">
        <v>3727</v>
      </c>
      <c r="AY288" s="2" t="s">
        <v>3728</v>
      </c>
      <c r="AZ288" s="2" t="s">
        <v>3728</v>
      </c>
      <c r="BA288" s="2" t="s">
        <v>3729</v>
      </c>
      <c r="BB288" s="2" t="s">
        <v>21</v>
      </c>
      <c r="BD288" s="2" t="s">
        <v>3730</v>
      </c>
      <c r="BE288" s="2" t="s">
        <v>3734</v>
      </c>
      <c r="BF288" s="2" t="s">
        <v>3735</v>
      </c>
    </row>
    <row r="289" spans="1:58" ht="42.75" customHeight="1" x14ac:dyDescent="0.25">
      <c r="A289" s="8" t="s">
        <v>8</v>
      </c>
      <c r="B289" s="1" t="s">
        <v>0</v>
      </c>
      <c r="C289" s="1" t="s">
        <v>1</v>
      </c>
      <c r="D289" s="1" t="s">
        <v>3736</v>
      </c>
      <c r="E289" s="1" t="s">
        <v>3737</v>
      </c>
      <c r="F289" s="1" t="s">
        <v>3738</v>
      </c>
      <c r="H289" s="2" t="s">
        <v>8</v>
      </c>
      <c r="I289" s="2" t="s">
        <v>7</v>
      </c>
      <c r="J289" s="2" t="s">
        <v>8</v>
      </c>
      <c r="K289" s="2" t="s">
        <v>8</v>
      </c>
      <c r="L289" s="2" t="s">
        <v>9</v>
      </c>
      <c r="M289" s="1" t="s">
        <v>3739</v>
      </c>
      <c r="N289" s="1" t="s">
        <v>3740</v>
      </c>
      <c r="O289" s="2" t="s">
        <v>874</v>
      </c>
      <c r="Q289" s="2" t="s">
        <v>12</v>
      </c>
      <c r="R289" s="2" t="s">
        <v>13</v>
      </c>
      <c r="S289" s="1" t="s">
        <v>3741</v>
      </c>
      <c r="T289" s="2" t="s">
        <v>14</v>
      </c>
      <c r="U289" s="3">
        <v>8</v>
      </c>
      <c r="V289" s="3">
        <v>8</v>
      </c>
      <c r="W289" s="4" t="s">
        <v>3673</v>
      </c>
      <c r="X289" s="4" t="s">
        <v>3673</v>
      </c>
      <c r="Y289" s="4" t="s">
        <v>3742</v>
      </c>
      <c r="Z289" s="4" t="s">
        <v>3742</v>
      </c>
      <c r="AA289" s="3">
        <v>160</v>
      </c>
      <c r="AB289" s="3">
        <v>114</v>
      </c>
      <c r="AC289" s="3">
        <v>142</v>
      </c>
      <c r="AD289" s="3">
        <v>1</v>
      </c>
      <c r="AE289" s="3">
        <v>1</v>
      </c>
      <c r="AF289" s="3">
        <v>3</v>
      </c>
      <c r="AG289" s="3">
        <v>4</v>
      </c>
      <c r="AH289" s="3">
        <v>0</v>
      </c>
      <c r="AI289" s="3">
        <v>0</v>
      </c>
      <c r="AJ289" s="3">
        <v>3</v>
      </c>
      <c r="AK289" s="3">
        <v>3</v>
      </c>
      <c r="AL289" s="3">
        <v>1</v>
      </c>
      <c r="AM289" s="3">
        <v>2</v>
      </c>
      <c r="AN289" s="3">
        <v>0</v>
      </c>
      <c r="AO289" s="3">
        <v>0</v>
      </c>
      <c r="AP289" s="3">
        <v>0</v>
      </c>
      <c r="AQ289" s="3">
        <v>0</v>
      </c>
      <c r="AR289" s="2" t="s">
        <v>8</v>
      </c>
      <c r="AS289" s="2" t="s">
        <v>8</v>
      </c>
      <c r="AU289" s="5" t="str">
        <f>HYPERLINK("https://creighton-primo.hosted.exlibrisgroup.com/primo-explore/search?tab=default_tab&amp;search_scope=EVERYTHING&amp;vid=01CRU&amp;lang=en_US&amp;offset=0&amp;query=any,contains,991000840669702656","Catalog Record")</f>
        <v>Catalog Record</v>
      </c>
      <c r="AV289" s="5" t="str">
        <f>HYPERLINK("http://www.worldcat.org/oclc/34742277","WorldCat Record")</f>
        <v>WorldCat Record</v>
      </c>
      <c r="AW289" s="2" t="s">
        <v>3743</v>
      </c>
      <c r="AX289" s="2" t="s">
        <v>3744</v>
      </c>
      <c r="AY289" s="2" t="s">
        <v>3745</v>
      </c>
      <c r="AZ289" s="2" t="s">
        <v>3745</v>
      </c>
      <c r="BA289" s="2" t="s">
        <v>3746</v>
      </c>
      <c r="BB289" s="2" t="s">
        <v>21</v>
      </c>
      <c r="BD289" s="2" t="s">
        <v>3747</v>
      </c>
      <c r="BE289" s="2" t="s">
        <v>3748</v>
      </c>
      <c r="BF289" s="2" t="s">
        <v>3749</v>
      </c>
    </row>
    <row r="290" spans="1:58" ht="42.75" customHeight="1" x14ac:dyDescent="0.25">
      <c r="A290" s="8" t="s">
        <v>8</v>
      </c>
      <c r="B290" s="1" t="s">
        <v>0</v>
      </c>
      <c r="C290" s="1" t="s">
        <v>1</v>
      </c>
      <c r="D290" s="1" t="s">
        <v>3750</v>
      </c>
      <c r="E290" s="1" t="s">
        <v>3751</v>
      </c>
      <c r="F290" s="1" t="s">
        <v>3752</v>
      </c>
      <c r="H290" s="2" t="s">
        <v>8</v>
      </c>
      <c r="I290" s="2" t="s">
        <v>7</v>
      </c>
      <c r="J290" s="2" t="s">
        <v>8</v>
      </c>
      <c r="K290" s="2" t="s">
        <v>8</v>
      </c>
      <c r="L290" s="2" t="s">
        <v>9</v>
      </c>
      <c r="M290" s="1" t="s">
        <v>3753</v>
      </c>
      <c r="N290" s="1" t="s">
        <v>3754</v>
      </c>
      <c r="O290" s="2" t="s">
        <v>2044</v>
      </c>
      <c r="Q290" s="2" t="s">
        <v>12</v>
      </c>
      <c r="R290" s="2" t="s">
        <v>774</v>
      </c>
      <c r="T290" s="2" t="s">
        <v>14</v>
      </c>
      <c r="U290" s="3">
        <v>0</v>
      </c>
      <c r="V290" s="3">
        <v>0</v>
      </c>
      <c r="W290" s="4" t="s">
        <v>3755</v>
      </c>
      <c r="X290" s="4" t="s">
        <v>3755</v>
      </c>
      <c r="Y290" s="4" t="s">
        <v>3756</v>
      </c>
      <c r="Z290" s="4" t="s">
        <v>3756</v>
      </c>
      <c r="AA290" s="3">
        <v>147</v>
      </c>
      <c r="AB290" s="3">
        <v>130</v>
      </c>
      <c r="AC290" s="3">
        <v>207</v>
      </c>
      <c r="AD290" s="3">
        <v>1</v>
      </c>
      <c r="AE290" s="3">
        <v>1</v>
      </c>
      <c r="AF290" s="3">
        <v>5</v>
      </c>
      <c r="AG290" s="3">
        <v>6</v>
      </c>
      <c r="AH290" s="3">
        <v>2</v>
      </c>
      <c r="AI290" s="3">
        <v>3</v>
      </c>
      <c r="AJ290" s="3">
        <v>1</v>
      </c>
      <c r="AK290" s="3">
        <v>1</v>
      </c>
      <c r="AL290" s="3">
        <v>2</v>
      </c>
      <c r="AM290" s="3">
        <v>3</v>
      </c>
      <c r="AN290" s="3">
        <v>0</v>
      </c>
      <c r="AO290" s="3">
        <v>0</v>
      </c>
      <c r="AP290" s="3">
        <v>0</v>
      </c>
      <c r="AQ290" s="3">
        <v>0</v>
      </c>
      <c r="AR290" s="2" t="s">
        <v>8</v>
      </c>
      <c r="AS290" s="2" t="s">
        <v>8</v>
      </c>
      <c r="AU290" s="5" t="str">
        <f>HYPERLINK("https://creighton-primo.hosted.exlibrisgroup.com/primo-explore/search?tab=default_tab&amp;search_scope=EVERYTHING&amp;vid=01CRU&amp;lang=en_US&amp;offset=0&amp;query=any,contains,991000452639702656","Catalog Record")</f>
        <v>Catalog Record</v>
      </c>
      <c r="AV290" s="5" t="str">
        <f>HYPERLINK("http://www.worldcat.org/oclc/939390732","WorldCat Record")</f>
        <v>WorldCat Record</v>
      </c>
      <c r="AW290" s="2" t="s">
        <v>3757</v>
      </c>
      <c r="AX290" s="2" t="s">
        <v>3758</v>
      </c>
      <c r="AY290" s="2" t="s">
        <v>3759</v>
      </c>
      <c r="AZ290" s="2" t="s">
        <v>3759</v>
      </c>
      <c r="BA290" s="2" t="s">
        <v>3760</v>
      </c>
      <c r="BB290" s="2" t="s">
        <v>21</v>
      </c>
      <c r="BD290" s="2" t="s">
        <v>3761</v>
      </c>
      <c r="BE290" s="2" t="s">
        <v>3762</v>
      </c>
      <c r="BF290" s="2" t="s">
        <v>3763</v>
      </c>
    </row>
    <row r="291" spans="1:58" ht="42.75" customHeight="1" x14ac:dyDescent="0.25">
      <c r="A291" s="8" t="s">
        <v>8</v>
      </c>
      <c r="B291" s="1" t="s">
        <v>0</v>
      </c>
      <c r="C291" s="1" t="s">
        <v>1</v>
      </c>
      <c r="D291" s="1" t="s">
        <v>3764</v>
      </c>
      <c r="E291" s="1" t="s">
        <v>3765</v>
      </c>
      <c r="F291" s="1" t="s">
        <v>3766</v>
      </c>
      <c r="H291" s="2" t="s">
        <v>8</v>
      </c>
      <c r="I291" s="2" t="s">
        <v>7</v>
      </c>
      <c r="J291" s="2" t="s">
        <v>8</v>
      </c>
      <c r="K291" s="2" t="s">
        <v>8</v>
      </c>
      <c r="L291" s="2" t="s">
        <v>9</v>
      </c>
      <c r="M291" s="1" t="s">
        <v>3767</v>
      </c>
      <c r="N291" s="1" t="s">
        <v>3768</v>
      </c>
      <c r="O291" s="2" t="s">
        <v>959</v>
      </c>
      <c r="Q291" s="2" t="s">
        <v>12</v>
      </c>
      <c r="R291" s="2" t="s">
        <v>577</v>
      </c>
      <c r="T291" s="2" t="s">
        <v>14</v>
      </c>
      <c r="U291" s="3">
        <v>0</v>
      </c>
      <c r="V291" s="3">
        <v>0</v>
      </c>
      <c r="W291" s="4" t="s">
        <v>1212</v>
      </c>
      <c r="X291" s="4" t="s">
        <v>1212</v>
      </c>
      <c r="Y291" s="4" t="s">
        <v>3769</v>
      </c>
      <c r="Z291" s="4" t="s">
        <v>3769</v>
      </c>
      <c r="AA291" s="3">
        <v>180</v>
      </c>
      <c r="AB291" s="3">
        <v>115</v>
      </c>
      <c r="AC291" s="3">
        <v>425</v>
      </c>
      <c r="AD291" s="3">
        <v>3</v>
      </c>
      <c r="AE291" s="3">
        <v>19</v>
      </c>
      <c r="AF291" s="3">
        <v>8</v>
      </c>
      <c r="AG291" s="3">
        <v>22</v>
      </c>
      <c r="AH291" s="3">
        <v>2</v>
      </c>
      <c r="AI291" s="3">
        <v>6</v>
      </c>
      <c r="AJ291" s="3">
        <v>2</v>
      </c>
      <c r="AK291" s="3">
        <v>2</v>
      </c>
      <c r="AL291" s="3">
        <v>4</v>
      </c>
      <c r="AM291" s="3">
        <v>6</v>
      </c>
      <c r="AN291" s="3">
        <v>2</v>
      </c>
      <c r="AO291" s="3">
        <v>11</v>
      </c>
      <c r="AP291" s="3">
        <v>0</v>
      </c>
      <c r="AQ291" s="3">
        <v>0</v>
      </c>
      <c r="AR291" s="2" t="s">
        <v>8</v>
      </c>
      <c r="AS291" s="2" t="s">
        <v>8</v>
      </c>
      <c r="AU291" s="5" t="str">
        <f>HYPERLINK("https://creighton-primo.hosted.exlibrisgroup.com/primo-explore/search?tab=default_tab&amp;search_scope=EVERYTHING&amp;vid=01CRU&amp;lang=en_US&amp;offset=0&amp;query=any,contains,991000581829702656","Catalog Record")</f>
        <v>Catalog Record</v>
      </c>
      <c r="AV291" s="5" t="str">
        <f>HYPERLINK("http://www.worldcat.org/oclc/56086125","WorldCat Record")</f>
        <v>WorldCat Record</v>
      </c>
      <c r="AW291" s="2" t="s">
        <v>3770</v>
      </c>
      <c r="AX291" s="2" t="s">
        <v>3771</v>
      </c>
      <c r="AY291" s="2" t="s">
        <v>3772</v>
      </c>
      <c r="AZ291" s="2" t="s">
        <v>3772</v>
      </c>
      <c r="BA291" s="2" t="s">
        <v>3773</v>
      </c>
      <c r="BB291" s="2" t="s">
        <v>21</v>
      </c>
      <c r="BD291" s="2" t="s">
        <v>3774</v>
      </c>
      <c r="BE291" s="2" t="s">
        <v>3775</v>
      </c>
      <c r="BF291" s="2" t="s">
        <v>3776</v>
      </c>
    </row>
    <row r="292" spans="1:58" ht="42.75" customHeight="1" x14ac:dyDescent="0.25">
      <c r="A292" s="8" t="s">
        <v>8</v>
      </c>
      <c r="B292" s="1" t="s">
        <v>0</v>
      </c>
      <c r="C292" s="1" t="s">
        <v>1</v>
      </c>
      <c r="D292" s="1" t="s">
        <v>3777</v>
      </c>
      <c r="E292" s="1" t="s">
        <v>3778</v>
      </c>
      <c r="F292" s="1" t="s">
        <v>3779</v>
      </c>
      <c r="H292" s="2" t="s">
        <v>8</v>
      </c>
      <c r="I292" s="2" t="s">
        <v>7</v>
      </c>
      <c r="J292" s="2" t="s">
        <v>8</v>
      </c>
      <c r="K292" s="2" t="s">
        <v>8</v>
      </c>
      <c r="L292" s="2" t="s">
        <v>9</v>
      </c>
      <c r="N292" s="1" t="s">
        <v>3780</v>
      </c>
      <c r="O292" s="2" t="s">
        <v>657</v>
      </c>
      <c r="P292" s="1" t="s">
        <v>83</v>
      </c>
      <c r="Q292" s="2" t="s">
        <v>12</v>
      </c>
      <c r="R292" s="2" t="s">
        <v>456</v>
      </c>
      <c r="T292" s="2" t="s">
        <v>14</v>
      </c>
      <c r="U292" s="3">
        <v>18</v>
      </c>
      <c r="V292" s="3">
        <v>18</v>
      </c>
      <c r="W292" s="4" t="s">
        <v>3781</v>
      </c>
      <c r="X292" s="4" t="s">
        <v>3781</v>
      </c>
      <c r="Y292" s="4" t="s">
        <v>3782</v>
      </c>
      <c r="Z292" s="4" t="s">
        <v>3782</v>
      </c>
      <c r="AA292" s="3">
        <v>295</v>
      </c>
      <c r="AB292" s="3">
        <v>235</v>
      </c>
      <c r="AC292" s="3">
        <v>569</v>
      </c>
      <c r="AD292" s="3">
        <v>2</v>
      </c>
      <c r="AE292" s="3">
        <v>3</v>
      </c>
      <c r="AF292" s="3">
        <v>7</v>
      </c>
      <c r="AG292" s="3">
        <v>14</v>
      </c>
      <c r="AH292" s="3">
        <v>0</v>
      </c>
      <c r="AI292" s="3">
        <v>4</v>
      </c>
      <c r="AJ292" s="3">
        <v>4</v>
      </c>
      <c r="AK292" s="3">
        <v>5</v>
      </c>
      <c r="AL292" s="3">
        <v>4</v>
      </c>
      <c r="AM292" s="3">
        <v>7</v>
      </c>
      <c r="AN292" s="3">
        <v>1</v>
      </c>
      <c r="AO292" s="3">
        <v>2</v>
      </c>
      <c r="AP292" s="3">
        <v>0</v>
      </c>
      <c r="AQ292" s="3">
        <v>0</v>
      </c>
      <c r="AR292" s="2" t="s">
        <v>8</v>
      </c>
      <c r="AS292" s="2" t="s">
        <v>6</v>
      </c>
      <c r="AT292" s="5" t="str">
        <f>HYPERLINK("http://catalog.hathitrust.org/Record/004140930","HathiTrust Record")</f>
        <v>HathiTrust Record</v>
      </c>
      <c r="AU292" s="5" t="str">
        <f>HYPERLINK("https://creighton-primo.hosted.exlibrisgroup.com/primo-explore/search?tab=default_tab&amp;search_scope=EVERYTHING&amp;vid=01CRU&amp;lang=en_US&amp;offset=0&amp;query=any,contains,991000354169702656","Catalog Record")</f>
        <v>Catalog Record</v>
      </c>
      <c r="AV292" s="5" t="str">
        <f>HYPERLINK("http://www.worldcat.org/oclc/44794929","WorldCat Record")</f>
        <v>WorldCat Record</v>
      </c>
      <c r="AW292" s="2" t="s">
        <v>3783</v>
      </c>
      <c r="AX292" s="2" t="s">
        <v>3784</v>
      </c>
      <c r="AY292" s="2" t="s">
        <v>3785</v>
      </c>
      <c r="AZ292" s="2" t="s">
        <v>3785</v>
      </c>
      <c r="BA292" s="2" t="s">
        <v>3786</v>
      </c>
      <c r="BB292" s="2" t="s">
        <v>21</v>
      </c>
      <c r="BD292" s="2" t="s">
        <v>3787</v>
      </c>
      <c r="BE292" s="2" t="s">
        <v>3788</v>
      </c>
      <c r="BF292" s="2" t="s">
        <v>3789</v>
      </c>
    </row>
    <row r="293" spans="1:58" ht="42.75" customHeight="1" x14ac:dyDescent="0.25">
      <c r="A293" s="8" t="s">
        <v>8</v>
      </c>
      <c r="B293" s="1" t="s">
        <v>0</v>
      </c>
      <c r="C293" s="1" t="s">
        <v>1</v>
      </c>
      <c r="D293" s="1" t="s">
        <v>3790</v>
      </c>
      <c r="E293" s="1" t="s">
        <v>3791</v>
      </c>
      <c r="F293" s="1" t="s">
        <v>3792</v>
      </c>
      <c r="H293" s="2" t="s">
        <v>8</v>
      </c>
      <c r="I293" s="2" t="s">
        <v>7</v>
      </c>
      <c r="J293" s="2" t="s">
        <v>8</v>
      </c>
      <c r="K293" s="2" t="s">
        <v>8</v>
      </c>
      <c r="L293" s="2" t="s">
        <v>7</v>
      </c>
      <c r="N293" s="1" t="s">
        <v>3793</v>
      </c>
      <c r="O293" s="2" t="s">
        <v>2089</v>
      </c>
      <c r="Q293" s="2" t="s">
        <v>12</v>
      </c>
      <c r="R293" s="2" t="s">
        <v>643</v>
      </c>
      <c r="S293" s="1" t="s">
        <v>3686</v>
      </c>
      <c r="T293" s="2" t="s">
        <v>14</v>
      </c>
      <c r="U293" s="3">
        <v>2</v>
      </c>
      <c r="V293" s="3">
        <v>2</v>
      </c>
      <c r="W293" s="4" t="s">
        <v>3673</v>
      </c>
      <c r="X293" s="4" t="s">
        <v>3673</v>
      </c>
      <c r="Y293" s="4" t="s">
        <v>3794</v>
      </c>
      <c r="Z293" s="4" t="s">
        <v>3794</v>
      </c>
      <c r="AA293" s="3">
        <v>132</v>
      </c>
      <c r="AB293" s="3">
        <v>87</v>
      </c>
      <c r="AC293" s="3">
        <v>333</v>
      </c>
      <c r="AD293" s="3">
        <v>2</v>
      </c>
      <c r="AE293" s="3">
        <v>3</v>
      </c>
      <c r="AF293" s="3">
        <v>2</v>
      </c>
      <c r="AG293" s="3">
        <v>7</v>
      </c>
      <c r="AH293" s="3">
        <v>0</v>
      </c>
      <c r="AI293" s="3">
        <v>3</v>
      </c>
      <c r="AJ293" s="3">
        <v>0</v>
      </c>
      <c r="AK293" s="3">
        <v>1</v>
      </c>
      <c r="AL293" s="3">
        <v>1</v>
      </c>
      <c r="AM293" s="3">
        <v>5</v>
      </c>
      <c r="AN293" s="3">
        <v>1</v>
      </c>
      <c r="AO293" s="3">
        <v>1</v>
      </c>
      <c r="AP293" s="3">
        <v>0</v>
      </c>
      <c r="AQ293" s="3">
        <v>0</v>
      </c>
      <c r="AR293" s="2" t="s">
        <v>8</v>
      </c>
      <c r="AS293" s="2" t="s">
        <v>8</v>
      </c>
      <c r="AU293" s="5" t="str">
        <f>HYPERLINK("https://creighton-primo.hosted.exlibrisgroup.com/primo-explore/search?tab=default_tab&amp;search_scope=EVERYTHING&amp;vid=01CRU&amp;lang=en_US&amp;offset=0&amp;query=any,contains,991000535489702656","Catalog Record")</f>
        <v>Catalog Record</v>
      </c>
      <c r="AV293" s="5" t="str">
        <f>HYPERLINK("http://www.worldcat.org/oclc/59878547","WorldCat Record")</f>
        <v>WorldCat Record</v>
      </c>
      <c r="AW293" s="2" t="s">
        <v>3795</v>
      </c>
      <c r="AX293" s="2" t="s">
        <v>3796</v>
      </c>
      <c r="AY293" s="2" t="s">
        <v>3797</v>
      </c>
      <c r="AZ293" s="2" t="s">
        <v>3797</v>
      </c>
      <c r="BA293" s="2" t="s">
        <v>3798</v>
      </c>
      <c r="BB293" s="2" t="s">
        <v>21</v>
      </c>
      <c r="BD293" s="2" t="s">
        <v>3799</v>
      </c>
      <c r="BE293" s="2" t="s">
        <v>3800</v>
      </c>
      <c r="BF293" s="2" t="s">
        <v>3801</v>
      </c>
    </row>
    <row r="294" spans="1:58" ht="42.75" customHeight="1" x14ac:dyDescent="0.25">
      <c r="A294" s="8" t="s">
        <v>8</v>
      </c>
      <c r="B294" s="1" t="s">
        <v>0</v>
      </c>
      <c r="C294" s="1" t="s">
        <v>1</v>
      </c>
      <c r="D294" s="1" t="s">
        <v>3802</v>
      </c>
      <c r="E294" s="1" t="s">
        <v>3803</v>
      </c>
      <c r="F294" s="1" t="s">
        <v>3804</v>
      </c>
      <c r="H294" s="2" t="s">
        <v>8</v>
      </c>
      <c r="I294" s="2" t="s">
        <v>7</v>
      </c>
      <c r="J294" s="2" t="s">
        <v>8</v>
      </c>
      <c r="K294" s="2" t="s">
        <v>8</v>
      </c>
      <c r="L294" s="2" t="s">
        <v>9</v>
      </c>
      <c r="N294" s="1" t="s">
        <v>3805</v>
      </c>
      <c r="O294" s="2" t="s">
        <v>2044</v>
      </c>
      <c r="P294" s="1" t="s">
        <v>83</v>
      </c>
      <c r="Q294" s="2" t="s">
        <v>12</v>
      </c>
      <c r="R294" s="2" t="s">
        <v>13</v>
      </c>
      <c r="S294" s="1" t="s">
        <v>3806</v>
      </c>
      <c r="T294" s="2" t="s">
        <v>14</v>
      </c>
      <c r="U294" s="3">
        <v>2</v>
      </c>
      <c r="V294" s="3">
        <v>2</v>
      </c>
      <c r="W294" s="4" t="s">
        <v>3807</v>
      </c>
      <c r="X294" s="4" t="s">
        <v>3807</v>
      </c>
      <c r="Y294" s="4" t="s">
        <v>3808</v>
      </c>
      <c r="Z294" s="4" t="s">
        <v>3808</v>
      </c>
      <c r="AA294" s="3">
        <v>237</v>
      </c>
      <c r="AB294" s="3">
        <v>178</v>
      </c>
      <c r="AC294" s="3">
        <v>684</v>
      </c>
      <c r="AD294" s="3">
        <v>1</v>
      </c>
      <c r="AE294" s="3">
        <v>27</v>
      </c>
      <c r="AF294" s="3">
        <v>1</v>
      </c>
      <c r="AG294" s="3">
        <v>20</v>
      </c>
      <c r="AH294" s="3">
        <v>0</v>
      </c>
      <c r="AI294" s="3">
        <v>2</v>
      </c>
      <c r="AJ294" s="3">
        <v>1</v>
      </c>
      <c r="AK294" s="3">
        <v>4</v>
      </c>
      <c r="AL294" s="3">
        <v>1</v>
      </c>
      <c r="AM294" s="3">
        <v>6</v>
      </c>
      <c r="AN294" s="3">
        <v>0</v>
      </c>
      <c r="AO294" s="3">
        <v>12</v>
      </c>
      <c r="AP294" s="3">
        <v>0</v>
      </c>
      <c r="AQ294" s="3">
        <v>0</v>
      </c>
      <c r="AR294" s="2" t="s">
        <v>8</v>
      </c>
      <c r="AS294" s="2" t="s">
        <v>8</v>
      </c>
      <c r="AU294" s="5" t="str">
        <f>HYPERLINK("https://creighton-primo.hosted.exlibrisgroup.com/primo-explore/search?tab=default_tab&amp;search_scope=EVERYTHING&amp;vid=01CRU&amp;lang=en_US&amp;offset=0&amp;query=any,contains,991000330889702656","Catalog Record")</f>
        <v>Catalog Record</v>
      </c>
      <c r="AV294" s="5" t="str">
        <f>HYPERLINK("http://www.worldcat.org/oclc/47181915","WorldCat Record")</f>
        <v>WorldCat Record</v>
      </c>
      <c r="AW294" s="2" t="s">
        <v>3809</v>
      </c>
      <c r="AX294" s="2" t="s">
        <v>3810</v>
      </c>
      <c r="AY294" s="2" t="s">
        <v>3811</v>
      </c>
      <c r="AZ294" s="2" t="s">
        <v>3811</v>
      </c>
      <c r="BA294" s="2" t="s">
        <v>3812</v>
      </c>
      <c r="BB294" s="2" t="s">
        <v>21</v>
      </c>
      <c r="BD294" s="2" t="s">
        <v>3813</v>
      </c>
      <c r="BE294" s="2" t="s">
        <v>3814</v>
      </c>
      <c r="BF294" s="2" t="s">
        <v>3815</v>
      </c>
    </row>
    <row r="295" spans="1:58" ht="42.75" customHeight="1" x14ac:dyDescent="0.25">
      <c r="A295" s="8" t="s">
        <v>8</v>
      </c>
      <c r="B295" s="1" t="s">
        <v>0</v>
      </c>
      <c r="C295" s="1" t="s">
        <v>1</v>
      </c>
      <c r="D295" s="1" t="s">
        <v>3816</v>
      </c>
      <c r="E295" s="1" t="s">
        <v>3817</v>
      </c>
      <c r="F295" s="1" t="s">
        <v>3818</v>
      </c>
      <c r="H295" s="2" t="s">
        <v>8</v>
      </c>
      <c r="I295" s="2" t="s">
        <v>7</v>
      </c>
      <c r="J295" s="2" t="s">
        <v>8</v>
      </c>
      <c r="K295" s="2" t="s">
        <v>8</v>
      </c>
      <c r="L295" s="2" t="s">
        <v>9</v>
      </c>
      <c r="M295" s="1" t="s">
        <v>3819</v>
      </c>
      <c r="N295" s="1" t="s">
        <v>3820</v>
      </c>
      <c r="O295" s="2" t="s">
        <v>1327</v>
      </c>
      <c r="Q295" s="2" t="s">
        <v>12</v>
      </c>
      <c r="R295" s="2" t="s">
        <v>13</v>
      </c>
      <c r="S295" s="1" t="s">
        <v>3724</v>
      </c>
      <c r="T295" s="2" t="s">
        <v>14</v>
      </c>
      <c r="U295" s="3">
        <v>2</v>
      </c>
      <c r="V295" s="3">
        <v>2</v>
      </c>
      <c r="W295" s="4" t="s">
        <v>3821</v>
      </c>
      <c r="X295" s="4" t="s">
        <v>3821</v>
      </c>
      <c r="Y295" s="4" t="s">
        <v>2327</v>
      </c>
      <c r="Z295" s="4" t="s">
        <v>2327</v>
      </c>
      <c r="AA295" s="3">
        <v>134</v>
      </c>
      <c r="AB295" s="3">
        <v>78</v>
      </c>
      <c r="AC295" s="3">
        <v>99</v>
      </c>
      <c r="AD295" s="3">
        <v>1</v>
      </c>
      <c r="AE295" s="3">
        <v>1</v>
      </c>
      <c r="AF295" s="3">
        <v>2</v>
      </c>
      <c r="AG295" s="3">
        <v>2</v>
      </c>
      <c r="AH295" s="3">
        <v>0</v>
      </c>
      <c r="AI295" s="3">
        <v>0</v>
      </c>
      <c r="AJ295" s="3">
        <v>0</v>
      </c>
      <c r="AK295" s="3">
        <v>0</v>
      </c>
      <c r="AL295" s="3">
        <v>2</v>
      </c>
      <c r="AM295" s="3">
        <v>2</v>
      </c>
      <c r="AN295" s="3">
        <v>0</v>
      </c>
      <c r="AO295" s="3">
        <v>0</v>
      </c>
      <c r="AP295" s="3">
        <v>0</v>
      </c>
      <c r="AQ295" s="3">
        <v>0</v>
      </c>
      <c r="AR295" s="2" t="s">
        <v>8</v>
      </c>
      <c r="AS295" s="2" t="s">
        <v>6</v>
      </c>
      <c r="AT295" s="5" t="str">
        <f>HYPERLINK("http://catalog.hathitrust.org/Record/000481965","HathiTrust Record")</f>
        <v>HathiTrust Record</v>
      </c>
      <c r="AU295" s="5" t="str">
        <f>HYPERLINK("https://creighton-primo.hosted.exlibrisgroup.com/primo-explore/search?tab=default_tab&amp;search_scope=EVERYTHING&amp;vid=01CRU&amp;lang=en_US&amp;offset=0&amp;query=any,contains,991001181199702656","Catalog Record")</f>
        <v>Catalog Record</v>
      </c>
      <c r="AV295" s="5" t="str">
        <f>HYPERLINK("http://www.worldcat.org/oclc/13062257","WorldCat Record")</f>
        <v>WorldCat Record</v>
      </c>
      <c r="AW295" s="2" t="s">
        <v>3822</v>
      </c>
      <c r="AX295" s="2" t="s">
        <v>3823</v>
      </c>
      <c r="AY295" s="2" t="s">
        <v>3824</v>
      </c>
      <c r="AZ295" s="2" t="s">
        <v>3824</v>
      </c>
      <c r="BA295" s="2" t="s">
        <v>3825</v>
      </c>
      <c r="BB295" s="2" t="s">
        <v>21</v>
      </c>
      <c r="BD295" s="2" t="s">
        <v>3826</v>
      </c>
      <c r="BE295" s="2" t="s">
        <v>3827</v>
      </c>
      <c r="BF295" s="2" t="s">
        <v>3828</v>
      </c>
    </row>
    <row r="296" spans="1:58" ht="42.75" customHeight="1" x14ac:dyDescent="0.25">
      <c r="A296" s="8" t="s">
        <v>8</v>
      </c>
      <c r="B296" s="1" t="s">
        <v>0</v>
      </c>
      <c r="C296" s="1" t="s">
        <v>1</v>
      </c>
      <c r="D296" s="1" t="s">
        <v>3829</v>
      </c>
      <c r="E296" s="1" t="s">
        <v>3830</v>
      </c>
      <c r="F296" s="1" t="s">
        <v>3831</v>
      </c>
      <c r="H296" s="2" t="s">
        <v>8</v>
      </c>
      <c r="I296" s="2" t="s">
        <v>7</v>
      </c>
      <c r="J296" s="2" t="s">
        <v>8</v>
      </c>
      <c r="K296" s="2" t="s">
        <v>8</v>
      </c>
      <c r="L296" s="2" t="s">
        <v>9</v>
      </c>
      <c r="N296" s="1" t="s">
        <v>3832</v>
      </c>
      <c r="O296" s="2" t="s">
        <v>814</v>
      </c>
      <c r="Q296" s="2" t="s">
        <v>12</v>
      </c>
      <c r="R296" s="2" t="s">
        <v>13</v>
      </c>
      <c r="S296" s="1" t="s">
        <v>3686</v>
      </c>
      <c r="T296" s="2" t="s">
        <v>14</v>
      </c>
      <c r="U296" s="3">
        <v>8</v>
      </c>
      <c r="V296" s="3">
        <v>8</v>
      </c>
      <c r="W296" s="4" t="s">
        <v>3833</v>
      </c>
      <c r="X296" s="4" t="s">
        <v>3833</v>
      </c>
      <c r="Y296" s="4" t="s">
        <v>3834</v>
      </c>
      <c r="Z296" s="4" t="s">
        <v>3834</v>
      </c>
      <c r="AA296" s="3">
        <v>188</v>
      </c>
      <c r="AB296" s="3">
        <v>146</v>
      </c>
      <c r="AC296" s="3">
        <v>172</v>
      </c>
      <c r="AD296" s="3">
        <v>2</v>
      </c>
      <c r="AE296" s="3">
        <v>2</v>
      </c>
      <c r="AF296" s="3">
        <v>4</v>
      </c>
      <c r="AG296" s="3">
        <v>5</v>
      </c>
      <c r="AH296" s="3">
        <v>0</v>
      </c>
      <c r="AI296" s="3">
        <v>0</v>
      </c>
      <c r="AJ296" s="3">
        <v>2</v>
      </c>
      <c r="AK296" s="3">
        <v>2</v>
      </c>
      <c r="AL296" s="3">
        <v>2</v>
      </c>
      <c r="AM296" s="3">
        <v>3</v>
      </c>
      <c r="AN296" s="3">
        <v>1</v>
      </c>
      <c r="AO296" s="3">
        <v>1</v>
      </c>
      <c r="AP296" s="3">
        <v>0</v>
      </c>
      <c r="AQ296" s="3">
        <v>0</v>
      </c>
      <c r="AR296" s="2" t="s">
        <v>8</v>
      </c>
      <c r="AS296" s="2" t="s">
        <v>8</v>
      </c>
      <c r="AU296" s="5" t="str">
        <f>HYPERLINK("https://creighton-primo.hosted.exlibrisgroup.com/primo-explore/search?tab=default_tab&amp;search_scope=EVERYTHING&amp;vid=01CRU&amp;lang=en_US&amp;offset=0&amp;query=any,contains,991000595489702656","Catalog Record")</f>
        <v>Catalog Record</v>
      </c>
      <c r="AV296" s="5" t="str">
        <f>HYPERLINK("http://www.worldcat.org/oclc/39516100","WorldCat Record")</f>
        <v>WorldCat Record</v>
      </c>
      <c r="AW296" s="2" t="s">
        <v>3835</v>
      </c>
      <c r="AX296" s="2" t="s">
        <v>3836</v>
      </c>
      <c r="AY296" s="2" t="s">
        <v>3837</v>
      </c>
      <c r="AZ296" s="2" t="s">
        <v>3837</v>
      </c>
      <c r="BA296" s="2" t="s">
        <v>3838</v>
      </c>
      <c r="BB296" s="2" t="s">
        <v>21</v>
      </c>
      <c r="BD296" s="2" t="s">
        <v>3839</v>
      </c>
      <c r="BE296" s="2" t="s">
        <v>3840</v>
      </c>
      <c r="BF296" s="2" t="s">
        <v>3841</v>
      </c>
    </row>
    <row r="297" spans="1:58" ht="42.75" customHeight="1" x14ac:dyDescent="0.25">
      <c r="A297" s="8" t="s">
        <v>8</v>
      </c>
      <c r="B297" s="1" t="s">
        <v>0</v>
      </c>
      <c r="C297" s="1" t="s">
        <v>1</v>
      </c>
      <c r="D297" s="1" t="s">
        <v>3842</v>
      </c>
      <c r="E297" s="1" t="s">
        <v>3843</v>
      </c>
      <c r="F297" s="1" t="s">
        <v>3844</v>
      </c>
      <c r="H297" s="2" t="s">
        <v>8</v>
      </c>
      <c r="I297" s="2" t="s">
        <v>7</v>
      </c>
      <c r="J297" s="2" t="s">
        <v>8</v>
      </c>
      <c r="K297" s="2" t="s">
        <v>8</v>
      </c>
      <c r="L297" s="2" t="s">
        <v>9</v>
      </c>
      <c r="M297" s="1" t="s">
        <v>3845</v>
      </c>
      <c r="N297" s="1" t="s">
        <v>3846</v>
      </c>
      <c r="O297" s="2" t="s">
        <v>602</v>
      </c>
      <c r="Q297" s="2" t="s">
        <v>12</v>
      </c>
      <c r="R297" s="2" t="s">
        <v>3847</v>
      </c>
      <c r="S297" s="1" t="s">
        <v>3848</v>
      </c>
      <c r="T297" s="2" t="s">
        <v>14</v>
      </c>
      <c r="U297" s="3">
        <v>6</v>
      </c>
      <c r="V297" s="3">
        <v>6</v>
      </c>
      <c r="W297" s="4" t="s">
        <v>3849</v>
      </c>
      <c r="X297" s="4" t="s">
        <v>3849</v>
      </c>
      <c r="Y297" s="4" t="s">
        <v>3850</v>
      </c>
      <c r="Z297" s="4" t="s">
        <v>3850</v>
      </c>
      <c r="AA297" s="3">
        <v>61</v>
      </c>
      <c r="AB297" s="3">
        <v>39</v>
      </c>
      <c r="AC297" s="3">
        <v>60</v>
      </c>
      <c r="AD297" s="3">
        <v>1</v>
      </c>
      <c r="AE297" s="3">
        <v>1</v>
      </c>
      <c r="AF297" s="3">
        <v>0</v>
      </c>
      <c r="AG297" s="3">
        <v>0</v>
      </c>
      <c r="AH297" s="3">
        <v>0</v>
      </c>
      <c r="AI297" s="3">
        <v>0</v>
      </c>
      <c r="AJ297" s="3">
        <v>0</v>
      </c>
      <c r="AK297" s="3">
        <v>0</v>
      </c>
      <c r="AL297" s="3">
        <v>0</v>
      </c>
      <c r="AM297" s="3">
        <v>0</v>
      </c>
      <c r="AN297" s="3">
        <v>0</v>
      </c>
      <c r="AO297" s="3">
        <v>0</v>
      </c>
      <c r="AP297" s="3">
        <v>0</v>
      </c>
      <c r="AQ297" s="3">
        <v>0</v>
      </c>
      <c r="AR297" s="2" t="s">
        <v>8</v>
      </c>
      <c r="AS297" s="2" t="s">
        <v>6</v>
      </c>
      <c r="AT297" s="5" t="str">
        <f>HYPERLINK("http://catalog.hathitrust.org/Record/002543642","HathiTrust Record")</f>
        <v>HathiTrust Record</v>
      </c>
      <c r="AU297" s="5" t="str">
        <f>HYPERLINK("https://creighton-primo.hosted.exlibrisgroup.com/primo-explore/search?tab=default_tab&amp;search_scope=EVERYTHING&amp;vid=01CRU&amp;lang=en_US&amp;offset=0&amp;query=any,contains,991001298359702656","Catalog Record")</f>
        <v>Catalog Record</v>
      </c>
      <c r="AV297" s="5" t="str">
        <f>HYPERLINK("http://www.worldcat.org/oclc/24848011","WorldCat Record")</f>
        <v>WorldCat Record</v>
      </c>
      <c r="AW297" s="2" t="s">
        <v>3851</v>
      </c>
      <c r="AX297" s="2" t="s">
        <v>3852</v>
      </c>
      <c r="AY297" s="2" t="s">
        <v>3853</v>
      </c>
      <c r="AZ297" s="2" t="s">
        <v>3853</v>
      </c>
      <c r="BA297" s="2" t="s">
        <v>3854</v>
      </c>
      <c r="BB297" s="2" t="s">
        <v>21</v>
      </c>
      <c r="BD297" s="2" t="s">
        <v>3855</v>
      </c>
      <c r="BE297" s="2" t="s">
        <v>3856</v>
      </c>
      <c r="BF297" s="2" t="s">
        <v>3857</v>
      </c>
    </row>
    <row r="298" spans="1:58" ht="42.75" customHeight="1" x14ac:dyDescent="0.25">
      <c r="A298" s="8" t="s">
        <v>8</v>
      </c>
      <c r="B298" s="1" t="s">
        <v>0</v>
      </c>
      <c r="C298" s="1" t="s">
        <v>1</v>
      </c>
      <c r="D298" s="1" t="s">
        <v>3858</v>
      </c>
      <c r="E298" s="1" t="s">
        <v>3859</v>
      </c>
      <c r="F298" s="1" t="s">
        <v>3860</v>
      </c>
      <c r="H298" s="2" t="s">
        <v>8</v>
      </c>
      <c r="I298" s="2" t="s">
        <v>7</v>
      </c>
      <c r="J298" s="2" t="s">
        <v>8</v>
      </c>
      <c r="K298" s="2" t="s">
        <v>8</v>
      </c>
      <c r="L298" s="2" t="s">
        <v>7</v>
      </c>
      <c r="M298" s="1" t="s">
        <v>3861</v>
      </c>
      <c r="N298" s="1" t="s">
        <v>3740</v>
      </c>
      <c r="O298" s="2" t="s">
        <v>874</v>
      </c>
      <c r="Q298" s="2" t="s">
        <v>12</v>
      </c>
      <c r="R298" s="2" t="s">
        <v>13</v>
      </c>
      <c r="S298" s="1" t="s">
        <v>3724</v>
      </c>
      <c r="T298" s="2" t="s">
        <v>14</v>
      </c>
      <c r="U298" s="3">
        <v>10</v>
      </c>
      <c r="V298" s="3">
        <v>10</v>
      </c>
      <c r="W298" s="4" t="s">
        <v>3862</v>
      </c>
      <c r="X298" s="4" t="s">
        <v>3862</v>
      </c>
      <c r="Y298" s="4" t="s">
        <v>3742</v>
      </c>
      <c r="Z298" s="4" t="s">
        <v>3742</v>
      </c>
      <c r="AA298" s="3">
        <v>210</v>
      </c>
      <c r="AB298" s="3">
        <v>140</v>
      </c>
      <c r="AC298" s="3">
        <v>669</v>
      </c>
      <c r="AD298" s="3">
        <v>1</v>
      </c>
      <c r="AE298" s="3">
        <v>18</v>
      </c>
      <c r="AF298" s="3">
        <v>4</v>
      </c>
      <c r="AG298" s="3">
        <v>23</v>
      </c>
      <c r="AH298" s="3">
        <v>1</v>
      </c>
      <c r="AI298" s="3">
        <v>6</v>
      </c>
      <c r="AJ298" s="3">
        <v>3</v>
      </c>
      <c r="AK298" s="3">
        <v>5</v>
      </c>
      <c r="AL298" s="3">
        <v>2</v>
      </c>
      <c r="AM298" s="3">
        <v>7</v>
      </c>
      <c r="AN298" s="3">
        <v>0</v>
      </c>
      <c r="AO298" s="3">
        <v>9</v>
      </c>
      <c r="AP298" s="3">
        <v>0</v>
      </c>
      <c r="AQ298" s="3">
        <v>0</v>
      </c>
      <c r="AR298" s="2" t="s">
        <v>8</v>
      </c>
      <c r="AS298" s="2" t="s">
        <v>8</v>
      </c>
      <c r="AU298" s="5" t="str">
        <f>HYPERLINK("https://creighton-primo.hosted.exlibrisgroup.com/primo-explore/search?tab=default_tab&amp;search_scope=EVERYTHING&amp;vid=01CRU&amp;lang=en_US&amp;offset=0&amp;query=any,contains,991000840639702656","Catalog Record")</f>
        <v>Catalog Record</v>
      </c>
      <c r="AV298" s="5" t="str">
        <f>HYPERLINK("http://www.worldcat.org/oclc/34633743","WorldCat Record")</f>
        <v>WorldCat Record</v>
      </c>
      <c r="AW298" s="2" t="s">
        <v>3863</v>
      </c>
      <c r="AX298" s="2" t="s">
        <v>3864</v>
      </c>
      <c r="AY298" s="2" t="s">
        <v>3865</v>
      </c>
      <c r="AZ298" s="2" t="s">
        <v>3865</v>
      </c>
      <c r="BA298" s="2" t="s">
        <v>3866</v>
      </c>
      <c r="BB298" s="2" t="s">
        <v>21</v>
      </c>
      <c r="BD298" s="2" t="s">
        <v>3867</v>
      </c>
      <c r="BE298" s="2" t="s">
        <v>3868</v>
      </c>
      <c r="BF298" s="2" t="s">
        <v>3869</v>
      </c>
    </row>
    <row r="299" spans="1:58" ht="42.75" customHeight="1" x14ac:dyDescent="0.25">
      <c r="A299" s="8" t="s">
        <v>8</v>
      </c>
      <c r="B299" s="1" t="s">
        <v>0</v>
      </c>
      <c r="C299" s="1" t="s">
        <v>1</v>
      </c>
      <c r="D299" s="1" t="s">
        <v>3870</v>
      </c>
      <c r="E299" s="1" t="s">
        <v>3871</v>
      </c>
      <c r="F299" s="1" t="s">
        <v>3872</v>
      </c>
      <c r="H299" s="2" t="s">
        <v>8</v>
      </c>
      <c r="I299" s="2" t="s">
        <v>7</v>
      </c>
      <c r="J299" s="2" t="s">
        <v>8</v>
      </c>
      <c r="K299" s="2" t="s">
        <v>8</v>
      </c>
      <c r="L299" s="2" t="s">
        <v>9</v>
      </c>
      <c r="M299" s="1" t="s">
        <v>3873</v>
      </c>
      <c r="N299" s="1" t="s">
        <v>3874</v>
      </c>
      <c r="O299" s="2" t="s">
        <v>731</v>
      </c>
      <c r="Q299" s="2" t="s">
        <v>12</v>
      </c>
      <c r="R299" s="2" t="s">
        <v>520</v>
      </c>
      <c r="T299" s="2" t="s">
        <v>14</v>
      </c>
      <c r="U299" s="3">
        <v>0</v>
      </c>
      <c r="V299" s="3">
        <v>0</v>
      </c>
      <c r="W299" s="4" t="s">
        <v>1643</v>
      </c>
      <c r="X299" s="4" t="s">
        <v>1643</v>
      </c>
      <c r="Y299" s="4" t="s">
        <v>1643</v>
      </c>
      <c r="Z299" s="4" t="s">
        <v>1643</v>
      </c>
      <c r="AA299" s="3">
        <v>45</v>
      </c>
      <c r="AB299" s="3">
        <v>44</v>
      </c>
      <c r="AC299" s="3">
        <v>46</v>
      </c>
      <c r="AD299" s="3">
        <v>1</v>
      </c>
      <c r="AE299" s="3">
        <v>1</v>
      </c>
      <c r="AF299" s="3">
        <v>1</v>
      </c>
      <c r="AG299" s="3">
        <v>1</v>
      </c>
      <c r="AH299" s="3">
        <v>0</v>
      </c>
      <c r="AI299" s="3">
        <v>0</v>
      </c>
      <c r="AJ299" s="3">
        <v>0</v>
      </c>
      <c r="AK299" s="3">
        <v>0</v>
      </c>
      <c r="AL299" s="3">
        <v>1</v>
      </c>
      <c r="AM299" s="3">
        <v>1</v>
      </c>
      <c r="AN299" s="3">
        <v>0</v>
      </c>
      <c r="AO299" s="3">
        <v>0</v>
      </c>
      <c r="AP299" s="3">
        <v>0</v>
      </c>
      <c r="AQ299" s="3">
        <v>0</v>
      </c>
      <c r="AR299" s="2" t="s">
        <v>8</v>
      </c>
      <c r="AS299" s="2" t="s">
        <v>6</v>
      </c>
      <c r="AT299" s="5" t="str">
        <f>HYPERLINK("http://catalog.hathitrust.org/Record/004000126","HathiTrust Record")</f>
        <v>HathiTrust Record</v>
      </c>
      <c r="AU299" s="5" t="str">
        <f>HYPERLINK("https://creighton-primo.hosted.exlibrisgroup.com/primo-explore/search?tab=default_tab&amp;search_scope=EVERYTHING&amp;vid=01CRU&amp;lang=en_US&amp;offset=0&amp;query=any,contains,991000396249702656","Catalog Record")</f>
        <v>Catalog Record</v>
      </c>
      <c r="AV299" s="5" t="str">
        <f>HYPERLINK("http://www.worldcat.org/oclc/39606477","WorldCat Record")</f>
        <v>WorldCat Record</v>
      </c>
      <c r="AW299" s="2" t="s">
        <v>3875</v>
      </c>
      <c r="AX299" s="2" t="s">
        <v>3876</v>
      </c>
      <c r="AY299" s="2" t="s">
        <v>3877</v>
      </c>
      <c r="AZ299" s="2" t="s">
        <v>3877</v>
      </c>
      <c r="BA299" s="2" t="s">
        <v>3878</v>
      </c>
      <c r="BB299" s="2" t="s">
        <v>21</v>
      </c>
      <c r="BD299" s="2" t="s">
        <v>3879</v>
      </c>
      <c r="BE299" s="2" t="s">
        <v>3880</v>
      </c>
      <c r="BF299" s="2" t="s">
        <v>3881</v>
      </c>
    </row>
    <row r="300" spans="1:58" ht="42.75" customHeight="1" x14ac:dyDescent="0.25">
      <c r="A300" s="8" t="s">
        <v>8</v>
      </c>
      <c r="B300" s="1" t="s">
        <v>0</v>
      </c>
      <c r="C300" s="1" t="s">
        <v>1</v>
      </c>
      <c r="D300" s="1" t="s">
        <v>3882</v>
      </c>
      <c r="E300" s="1" t="s">
        <v>3883</v>
      </c>
      <c r="F300" s="1" t="s">
        <v>3884</v>
      </c>
      <c r="H300" s="2" t="s">
        <v>8</v>
      </c>
      <c r="I300" s="2" t="s">
        <v>7</v>
      </c>
      <c r="J300" s="2" t="s">
        <v>8</v>
      </c>
      <c r="K300" s="2" t="s">
        <v>8</v>
      </c>
      <c r="L300" s="2" t="s">
        <v>9</v>
      </c>
      <c r="N300" s="1" t="s">
        <v>3885</v>
      </c>
      <c r="O300" s="2" t="s">
        <v>907</v>
      </c>
      <c r="Q300" s="2" t="s">
        <v>12</v>
      </c>
      <c r="R300" s="2" t="s">
        <v>933</v>
      </c>
      <c r="S300" s="1" t="s">
        <v>3886</v>
      </c>
      <c r="T300" s="2" t="s">
        <v>14</v>
      </c>
      <c r="U300" s="3">
        <v>2</v>
      </c>
      <c r="V300" s="3">
        <v>2</v>
      </c>
      <c r="W300" s="4" t="s">
        <v>3887</v>
      </c>
      <c r="X300" s="4" t="s">
        <v>3887</v>
      </c>
      <c r="Y300" s="4" t="s">
        <v>3888</v>
      </c>
      <c r="Z300" s="4" t="s">
        <v>3888</v>
      </c>
      <c r="AA300" s="3">
        <v>17</v>
      </c>
      <c r="AB300" s="3">
        <v>15</v>
      </c>
      <c r="AC300" s="3">
        <v>15</v>
      </c>
      <c r="AD300" s="3">
        <v>1</v>
      </c>
      <c r="AE300" s="3">
        <v>1</v>
      </c>
      <c r="AF300" s="3">
        <v>0</v>
      </c>
      <c r="AG300" s="3">
        <v>0</v>
      </c>
      <c r="AH300" s="3">
        <v>0</v>
      </c>
      <c r="AI300" s="3">
        <v>0</v>
      </c>
      <c r="AJ300" s="3">
        <v>0</v>
      </c>
      <c r="AK300" s="3">
        <v>0</v>
      </c>
      <c r="AL300" s="3">
        <v>0</v>
      </c>
      <c r="AM300" s="3">
        <v>0</v>
      </c>
      <c r="AN300" s="3">
        <v>0</v>
      </c>
      <c r="AO300" s="3">
        <v>0</v>
      </c>
      <c r="AP300" s="3">
        <v>0</v>
      </c>
      <c r="AQ300" s="3">
        <v>0</v>
      </c>
      <c r="AR300" s="2" t="s">
        <v>8</v>
      </c>
      <c r="AS300" s="2" t="s">
        <v>8</v>
      </c>
      <c r="AU300" s="5" t="str">
        <f>HYPERLINK("https://creighton-primo.hosted.exlibrisgroup.com/primo-explore/search?tab=default_tab&amp;search_scope=EVERYTHING&amp;vid=01CRU&amp;lang=en_US&amp;offset=0&amp;query=any,contains,991000300469702656","Catalog Record")</f>
        <v>Catalog Record</v>
      </c>
      <c r="AV300" s="5" t="str">
        <f>HYPERLINK("http://www.worldcat.org/oclc/47989210","WorldCat Record")</f>
        <v>WorldCat Record</v>
      </c>
      <c r="AW300" s="2" t="s">
        <v>3889</v>
      </c>
      <c r="AX300" s="2" t="s">
        <v>3890</v>
      </c>
      <c r="AY300" s="2" t="s">
        <v>3891</v>
      </c>
      <c r="AZ300" s="2" t="s">
        <v>3891</v>
      </c>
      <c r="BA300" s="2" t="s">
        <v>3892</v>
      </c>
      <c r="BB300" s="2" t="s">
        <v>21</v>
      </c>
      <c r="BE300" s="2" t="s">
        <v>3893</v>
      </c>
      <c r="BF300" s="2" t="s">
        <v>3894</v>
      </c>
    </row>
    <row r="301" spans="1:58" ht="42.75" customHeight="1" x14ac:dyDescent="0.25">
      <c r="A301" s="8" t="s">
        <v>8</v>
      </c>
      <c r="B301" s="1" t="s">
        <v>0</v>
      </c>
      <c r="C301" s="1" t="s">
        <v>1</v>
      </c>
      <c r="D301" s="1" t="s">
        <v>3895</v>
      </c>
      <c r="E301" s="1" t="s">
        <v>3896</v>
      </c>
      <c r="F301" s="1" t="s">
        <v>3897</v>
      </c>
      <c r="H301" s="2" t="s">
        <v>8</v>
      </c>
      <c r="I301" s="2" t="s">
        <v>7</v>
      </c>
      <c r="J301" s="2" t="s">
        <v>8</v>
      </c>
      <c r="K301" s="2" t="s">
        <v>8</v>
      </c>
      <c r="L301" s="2" t="s">
        <v>9</v>
      </c>
      <c r="N301" s="1" t="s">
        <v>3898</v>
      </c>
      <c r="O301" s="2" t="s">
        <v>874</v>
      </c>
      <c r="Q301" s="2" t="s">
        <v>12</v>
      </c>
      <c r="R301" s="2" t="s">
        <v>3403</v>
      </c>
      <c r="T301" s="2" t="s">
        <v>14</v>
      </c>
      <c r="U301" s="3">
        <v>0</v>
      </c>
      <c r="V301" s="3">
        <v>0</v>
      </c>
      <c r="W301" s="4" t="s">
        <v>1074</v>
      </c>
      <c r="X301" s="4" t="s">
        <v>1074</v>
      </c>
      <c r="Y301" s="4" t="s">
        <v>3899</v>
      </c>
      <c r="Z301" s="4" t="s">
        <v>3899</v>
      </c>
      <c r="AA301" s="3">
        <v>1</v>
      </c>
      <c r="AB301" s="3">
        <v>1</v>
      </c>
      <c r="AC301" s="3">
        <v>1</v>
      </c>
      <c r="AD301" s="3">
        <v>1</v>
      </c>
      <c r="AE301" s="3">
        <v>1</v>
      </c>
      <c r="AF301" s="3">
        <v>0</v>
      </c>
      <c r="AG301" s="3">
        <v>0</v>
      </c>
      <c r="AH301" s="3">
        <v>0</v>
      </c>
      <c r="AI301" s="3">
        <v>0</v>
      </c>
      <c r="AJ301" s="3">
        <v>0</v>
      </c>
      <c r="AK301" s="3">
        <v>0</v>
      </c>
      <c r="AL301" s="3">
        <v>0</v>
      </c>
      <c r="AM301" s="3">
        <v>0</v>
      </c>
      <c r="AN301" s="3">
        <v>0</v>
      </c>
      <c r="AO301" s="3">
        <v>0</v>
      </c>
      <c r="AP301" s="3">
        <v>0</v>
      </c>
      <c r="AQ301" s="3">
        <v>0</v>
      </c>
      <c r="AR301" s="2" t="s">
        <v>8</v>
      </c>
      <c r="AS301" s="2" t="s">
        <v>8</v>
      </c>
      <c r="AU301" s="5" t="str">
        <f>HYPERLINK("https://creighton-primo.hosted.exlibrisgroup.com/primo-explore/search?tab=default_tab&amp;search_scope=EVERYTHING&amp;vid=01CRU&amp;lang=en_US&amp;offset=0&amp;query=any,contains,991000328939702656","Catalog Record")</f>
        <v>Catalog Record</v>
      </c>
      <c r="AV301" s="5" t="str">
        <f>HYPERLINK("http://www.worldcat.org/oclc/50481927","WorldCat Record")</f>
        <v>WorldCat Record</v>
      </c>
      <c r="AW301" s="2" t="s">
        <v>3900</v>
      </c>
      <c r="AX301" s="2" t="s">
        <v>3901</v>
      </c>
      <c r="AY301" s="2" t="s">
        <v>3902</v>
      </c>
      <c r="AZ301" s="2" t="s">
        <v>3902</v>
      </c>
      <c r="BA301" s="2" t="s">
        <v>3903</v>
      </c>
      <c r="BB301" s="2" t="s">
        <v>21</v>
      </c>
      <c r="BE301" s="2" t="s">
        <v>3904</v>
      </c>
      <c r="BF301" s="2" t="s">
        <v>3905</v>
      </c>
    </row>
    <row r="302" spans="1:58" ht="42.75" customHeight="1" x14ac:dyDescent="0.25">
      <c r="A302" s="8" t="s">
        <v>8</v>
      </c>
      <c r="B302" s="1" t="s">
        <v>0</v>
      </c>
      <c r="C302" s="1" t="s">
        <v>1</v>
      </c>
      <c r="D302" s="1" t="s">
        <v>3906</v>
      </c>
      <c r="E302" s="1" t="s">
        <v>3907</v>
      </c>
      <c r="F302" s="1" t="s">
        <v>3908</v>
      </c>
      <c r="H302" s="2" t="s">
        <v>8</v>
      </c>
      <c r="I302" s="2" t="s">
        <v>7</v>
      </c>
      <c r="J302" s="2" t="s">
        <v>6</v>
      </c>
      <c r="K302" s="2" t="s">
        <v>6</v>
      </c>
      <c r="L302" s="2" t="s">
        <v>9</v>
      </c>
      <c r="M302" s="1" t="s">
        <v>3909</v>
      </c>
      <c r="N302" s="1" t="s">
        <v>3910</v>
      </c>
      <c r="O302" s="2" t="s">
        <v>1017</v>
      </c>
      <c r="P302" s="1" t="s">
        <v>83</v>
      </c>
      <c r="Q302" s="2" t="s">
        <v>12</v>
      </c>
      <c r="R302" s="2" t="s">
        <v>774</v>
      </c>
      <c r="T302" s="2" t="s">
        <v>14</v>
      </c>
      <c r="U302" s="3">
        <v>2</v>
      </c>
      <c r="V302" s="3">
        <v>2</v>
      </c>
      <c r="W302" s="4" t="s">
        <v>3911</v>
      </c>
      <c r="X302" s="4" t="s">
        <v>3911</v>
      </c>
      <c r="Y302" s="4" t="s">
        <v>2327</v>
      </c>
      <c r="Z302" s="4" t="s">
        <v>3912</v>
      </c>
      <c r="AA302" s="3">
        <v>135</v>
      </c>
      <c r="AB302" s="3">
        <v>127</v>
      </c>
      <c r="AC302" s="3">
        <v>477</v>
      </c>
      <c r="AD302" s="3">
        <v>4</v>
      </c>
      <c r="AE302" s="3">
        <v>6</v>
      </c>
      <c r="AF302" s="3">
        <v>8</v>
      </c>
      <c r="AG302" s="3">
        <v>29</v>
      </c>
      <c r="AH302" s="3">
        <v>0</v>
      </c>
      <c r="AI302" s="3">
        <v>3</v>
      </c>
      <c r="AJ302" s="3">
        <v>2</v>
      </c>
      <c r="AK302" s="3">
        <v>4</v>
      </c>
      <c r="AL302" s="3">
        <v>0</v>
      </c>
      <c r="AM302" s="3">
        <v>3</v>
      </c>
      <c r="AN302" s="3">
        <v>1</v>
      </c>
      <c r="AO302" s="3">
        <v>3</v>
      </c>
      <c r="AP302" s="3">
        <v>5</v>
      </c>
      <c r="AQ302" s="3">
        <v>17</v>
      </c>
      <c r="AR302" s="2" t="s">
        <v>6</v>
      </c>
      <c r="AS302" s="2" t="s">
        <v>8</v>
      </c>
      <c r="AT302" s="5" t="str">
        <f>HYPERLINK("http://catalog.hathitrust.org/Record/001581835","HathiTrust Record")</f>
        <v>HathiTrust Record</v>
      </c>
      <c r="AU302" s="5" t="str">
        <f>HYPERLINK("https://creighton-primo.hosted.exlibrisgroup.com/primo-explore/search?tab=default_tab&amp;search_scope=EVERYTHING&amp;vid=01CRU&amp;lang=en_US&amp;offset=0&amp;query=any,contains,991001777319702656","Catalog Record")</f>
        <v>Catalog Record</v>
      </c>
      <c r="AV302" s="5" t="str">
        <f>HYPERLINK("http://www.worldcat.org/oclc/2956725","WorldCat Record")</f>
        <v>WorldCat Record</v>
      </c>
      <c r="AW302" s="2" t="s">
        <v>3913</v>
      </c>
      <c r="AX302" s="2" t="s">
        <v>3914</v>
      </c>
      <c r="AY302" s="2" t="s">
        <v>3915</v>
      </c>
      <c r="AZ302" s="2" t="s">
        <v>3915</v>
      </c>
      <c r="BA302" s="2" t="s">
        <v>3916</v>
      </c>
      <c r="BB302" s="2" t="s">
        <v>21</v>
      </c>
      <c r="BE302" s="2" t="s">
        <v>3917</v>
      </c>
      <c r="BF302" s="2" t="s">
        <v>3918</v>
      </c>
    </row>
    <row r="303" spans="1:58" ht="42.75" customHeight="1" x14ac:dyDescent="0.25">
      <c r="A303" s="8" t="s">
        <v>8</v>
      </c>
      <c r="B303" s="1" t="s">
        <v>0</v>
      </c>
      <c r="C303" s="1" t="s">
        <v>1</v>
      </c>
      <c r="D303" s="1" t="s">
        <v>3919</v>
      </c>
      <c r="E303" s="1" t="s">
        <v>3920</v>
      </c>
      <c r="F303" s="1" t="s">
        <v>3921</v>
      </c>
      <c r="H303" s="2" t="s">
        <v>8</v>
      </c>
      <c r="I303" s="2" t="s">
        <v>7</v>
      </c>
      <c r="J303" s="2" t="s">
        <v>8</v>
      </c>
      <c r="K303" s="2" t="s">
        <v>8</v>
      </c>
      <c r="L303" s="2" t="s">
        <v>9</v>
      </c>
      <c r="N303" s="1" t="s">
        <v>3922</v>
      </c>
      <c r="O303" s="2" t="s">
        <v>410</v>
      </c>
      <c r="Q303" s="2" t="s">
        <v>12</v>
      </c>
      <c r="R303" s="2" t="s">
        <v>1211</v>
      </c>
      <c r="T303" s="2" t="s">
        <v>14</v>
      </c>
      <c r="U303" s="3">
        <v>2</v>
      </c>
      <c r="V303" s="3">
        <v>2</v>
      </c>
      <c r="W303" s="4" t="s">
        <v>3923</v>
      </c>
      <c r="X303" s="4" t="s">
        <v>3923</v>
      </c>
      <c r="Y303" s="4" t="s">
        <v>3924</v>
      </c>
      <c r="Z303" s="4" t="s">
        <v>3924</v>
      </c>
      <c r="AA303" s="3">
        <v>60</v>
      </c>
      <c r="AB303" s="3">
        <v>60</v>
      </c>
      <c r="AC303" s="3">
        <v>63</v>
      </c>
      <c r="AD303" s="3">
        <v>1</v>
      </c>
      <c r="AE303" s="3">
        <v>1</v>
      </c>
      <c r="AF303" s="3">
        <v>2</v>
      </c>
      <c r="AG303" s="3">
        <v>2</v>
      </c>
      <c r="AH303" s="3">
        <v>1</v>
      </c>
      <c r="AI303" s="3">
        <v>1</v>
      </c>
      <c r="AJ303" s="3">
        <v>0</v>
      </c>
      <c r="AK303" s="3">
        <v>0</v>
      </c>
      <c r="AL303" s="3">
        <v>0</v>
      </c>
      <c r="AM303" s="3">
        <v>0</v>
      </c>
      <c r="AN303" s="3">
        <v>0</v>
      </c>
      <c r="AO303" s="3">
        <v>0</v>
      </c>
      <c r="AP303" s="3">
        <v>1</v>
      </c>
      <c r="AQ303" s="3">
        <v>1</v>
      </c>
      <c r="AR303" s="2" t="s">
        <v>8</v>
      </c>
      <c r="AS303" s="2" t="s">
        <v>6</v>
      </c>
      <c r="AT303" s="5" t="str">
        <f>HYPERLINK("http://catalog.hathitrust.org/Record/003502029","HathiTrust Record")</f>
        <v>HathiTrust Record</v>
      </c>
      <c r="AU303" s="5" t="str">
        <f>HYPERLINK("https://creighton-primo.hosted.exlibrisgroup.com/primo-explore/search?tab=default_tab&amp;search_scope=EVERYTHING&amp;vid=01CRU&amp;lang=en_US&amp;offset=0&amp;query=any,contains,991001007699702656","Catalog Record")</f>
        <v>Catalog Record</v>
      </c>
      <c r="AV303" s="5" t="str">
        <f>HYPERLINK("http://www.worldcat.org/oclc/29345909","WorldCat Record")</f>
        <v>WorldCat Record</v>
      </c>
      <c r="AW303" s="2" t="s">
        <v>3925</v>
      </c>
      <c r="AX303" s="2" t="s">
        <v>3926</v>
      </c>
      <c r="AY303" s="2" t="s">
        <v>3927</v>
      </c>
      <c r="AZ303" s="2" t="s">
        <v>3927</v>
      </c>
      <c r="BA303" s="2" t="s">
        <v>3928</v>
      </c>
      <c r="BB303" s="2" t="s">
        <v>21</v>
      </c>
      <c r="BE303" s="2" t="s">
        <v>3929</v>
      </c>
      <c r="BF303" s="2" t="s">
        <v>3930</v>
      </c>
    </row>
    <row r="304" spans="1:58" ht="42.75" customHeight="1" x14ac:dyDescent="0.25">
      <c r="A304" s="8" t="s">
        <v>8</v>
      </c>
      <c r="B304" s="1" t="s">
        <v>0</v>
      </c>
      <c r="C304" s="1" t="s">
        <v>1</v>
      </c>
      <c r="D304" s="1" t="s">
        <v>3931</v>
      </c>
      <c r="E304" s="1" t="s">
        <v>3932</v>
      </c>
      <c r="F304" s="1" t="s">
        <v>3933</v>
      </c>
      <c r="H304" s="2" t="s">
        <v>8</v>
      </c>
      <c r="I304" s="2" t="s">
        <v>7</v>
      </c>
      <c r="J304" s="2" t="s">
        <v>8</v>
      </c>
      <c r="K304" s="2" t="s">
        <v>6</v>
      </c>
      <c r="L304" s="2" t="s">
        <v>7</v>
      </c>
      <c r="M304" s="1" t="s">
        <v>3934</v>
      </c>
      <c r="N304" s="1" t="s">
        <v>3935</v>
      </c>
      <c r="O304" s="2" t="s">
        <v>830</v>
      </c>
      <c r="P304" s="1" t="s">
        <v>83</v>
      </c>
      <c r="Q304" s="2" t="s">
        <v>12</v>
      </c>
      <c r="R304" s="2" t="s">
        <v>1211</v>
      </c>
      <c r="T304" s="2" t="s">
        <v>14</v>
      </c>
      <c r="U304" s="3">
        <v>3</v>
      </c>
      <c r="V304" s="3">
        <v>3</v>
      </c>
      <c r="W304" s="4" t="s">
        <v>3936</v>
      </c>
      <c r="X304" s="4" t="s">
        <v>3936</v>
      </c>
      <c r="Y304" s="4" t="s">
        <v>1644</v>
      </c>
      <c r="Z304" s="4" t="s">
        <v>1644</v>
      </c>
      <c r="AA304" s="3">
        <v>203</v>
      </c>
      <c r="AB304" s="3">
        <v>193</v>
      </c>
      <c r="AC304" s="3">
        <v>1647</v>
      </c>
      <c r="AD304" s="3">
        <v>1</v>
      </c>
      <c r="AE304" s="3">
        <v>33</v>
      </c>
      <c r="AF304" s="3">
        <v>15</v>
      </c>
      <c r="AG304" s="3">
        <v>57</v>
      </c>
      <c r="AH304" s="3">
        <v>2</v>
      </c>
      <c r="AI304" s="3">
        <v>16</v>
      </c>
      <c r="AJ304" s="3">
        <v>2</v>
      </c>
      <c r="AK304" s="3">
        <v>7</v>
      </c>
      <c r="AL304" s="3">
        <v>4</v>
      </c>
      <c r="AM304" s="3">
        <v>13</v>
      </c>
      <c r="AN304" s="3">
        <v>0</v>
      </c>
      <c r="AO304" s="3">
        <v>16</v>
      </c>
      <c r="AP304" s="3">
        <v>9</v>
      </c>
      <c r="AQ304" s="3">
        <v>13</v>
      </c>
      <c r="AR304" s="2" t="s">
        <v>8</v>
      </c>
      <c r="AS304" s="2" t="s">
        <v>6</v>
      </c>
      <c r="AT304" s="5" t="str">
        <f>HYPERLINK("http://catalog.hathitrust.org/Record/004360358","HathiTrust Record")</f>
        <v>HathiTrust Record</v>
      </c>
      <c r="AU304" s="5" t="str">
        <f>HYPERLINK("https://creighton-primo.hosted.exlibrisgroup.com/primo-explore/search?tab=default_tab&amp;search_scope=EVERYTHING&amp;vid=01CRU&amp;lang=en_US&amp;offset=0&amp;query=any,contains,991000394679702656","Catalog Record")</f>
        <v>Catalog Record</v>
      </c>
      <c r="AV304" s="5" t="str">
        <f>HYPERLINK("http://www.worldcat.org/oclc/51655518","WorldCat Record")</f>
        <v>WorldCat Record</v>
      </c>
      <c r="AW304" s="2" t="s">
        <v>3937</v>
      </c>
      <c r="AX304" s="2" t="s">
        <v>3938</v>
      </c>
      <c r="AY304" s="2" t="s">
        <v>3939</v>
      </c>
      <c r="AZ304" s="2" t="s">
        <v>3939</v>
      </c>
      <c r="BA304" s="2" t="s">
        <v>3940</v>
      </c>
      <c r="BB304" s="2" t="s">
        <v>21</v>
      </c>
      <c r="BD304" s="2" t="s">
        <v>3941</v>
      </c>
      <c r="BE304" s="2" t="s">
        <v>3942</v>
      </c>
      <c r="BF304" s="2" t="s">
        <v>3943</v>
      </c>
    </row>
    <row r="305" spans="1:58" ht="42.75" customHeight="1" x14ac:dyDescent="0.25">
      <c r="A305" s="8" t="s">
        <v>8</v>
      </c>
      <c r="B305" s="1" t="s">
        <v>0</v>
      </c>
      <c r="C305" s="1" t="s">
        <v>1</v>
      </c>
      <c r="D305" s="1" t="s">
        <v>3944</v>
      </c>
      <c r="E305" s="1" t="s">
        <v>3945</v>
      </c>
      <c r="F305" s="1" t="s">
        <v>3946</v>
      </c>
      <c r="H305" s="2" t="s">
        <v>8</v>
      </c>
      <c r="I305" s="2" t="s">
        <v>7</v>
      </c>
      <c r="J305" s="2" t="s">
        <v>8</v>
      </c>
      <c r="K305" s="2" t="s">
        <v>8</v>
      </c>
      <c r="L305" s="2" t="s">
        <v>9</v>
      </c>
      <c r="M305" s="1" t="s">
        <v>3934</v>
      </c>
      <c r="N305" s="1" t="s">
        <v>3947</v>
      </c>
      <c r="O305" s="2" t="s">
        <v>814</v>
      </c>
      <c r="Q305" s="2" t="s">
        <v>12</v>
      </c>
      <c r="R305" s="2" t="s">
        <v>520</v>
      </c>
      <c r="T305" s="2" t="s">
        <v>14</v>
      </c>
      <c r="U305" s="3">
        <v>6</v>
      </c>
      <c r="V305" s="3">
        <v>6</v>
      </c>
      <c r="W305" s="4" t="s">
        <v>3936</v>
      </c>
      <c r="X305" s="4" t="s">
        <v>3936</v>
      </c>
      <c r="Y305" s="4" t="s">
        <v>3350</v>
      </c>
      <c r="Z305" s="4" t="s">
        <v>3350</v>
      </c>
      <c r="AA305" s="3">
        <v>257</v>
      </c>
      <c r="AB305" s="3">
        <v>242</v>
      </c>
      <c r="AC305" s="3">
        <v>244</v>
      </c>
      <c r="AD305" s="3">
        <v>2</v>
      </c>
      <c r="AE305" s="3">
        <v>2</v>
      </c>
      <c r="AF305" s="3">
        <v>23</v>
      </c>
      <c r="AG305" s="3">
        <v>23</v>
      </c>
      <c r="AH305" s="3">
        <v>3</v>
      </c>
      <c r="AI305" s="3">
        <v>3</v>
      </c>
      <c r="AJ305" s="3">
        <v>7</v>
      </c>
      <c r="AK305" s="3">
        <v>7</v>
      </c>
      <c r="AL305" s="3">
        <v>5</v>
      </c>
      <c r="AM305" s="3">
        <v>5</v>
      </c>
      <c r="AN305" s="3">
        <v>1</v>
      </c>
      <c r="AO305" s="3">
        <v>1</v>
      </c>
      <c r="AP305" s="3">
        <v>10</v>
      </c>
      <c r="AQ305" s="3">
        <v>10</v>
      </c>
      <c r="AR305" s="2" t="s">
        <v>8</v>
      </c>
      <c r="AS305" s="2" t="s">
        <v>6</v>
      </c>
      <c r="AT305" s="5" t="str">
        <f>HYPERLINK("http://catalog.hathitrust.org/Record/004044663","HathiTrust Record")</f>
        <v>HathiTrust Record</v>
      </c>
      <c r="AU305" s="5" t="str">
        <f>HYPERLINK("https://creighton-primo.hosted.exlibrisgroup.com/primo-explore/search?tab=default_tab&amp;search_scope=EVERYTHING&amp;vid=01CRU&amp;lang=en_US&amp;offset=0&amp;query=any,contains,991000324129702656","Catalog Record")</f>
        <v>Catalog Record</v>
      </c>
      <c r="AV305" s="5" t="str">
        <f>HYPERLINK("http://www.worldcat.org/oclc/40940198","WorldCat Record")</f>
        <v>WorldCat Record</v>
      </c>
      <c r="AW305" s="2" t="s">
        <v>3948</v>
      </c>
      <c r="AX305" s="2" t="s">
        <v>3949</v>
      </c>
      <c r="AY305" s="2" t="s">
        <v>3950</v>
      </c>
      <c r="AZ305" s="2" t="s">
        <v>3950</v>
      </c>
      <c r="BA305" s="2" t="s">
        <v>3951</v>
      </c>
      <c r="BB305" s="2" t="s">
        <v>21</v>
      </c>
      <c r="BD305" s="2" t="s">
        <v>3952</v>
      </c>
      <c r="BE305" s="2" t="s">
        <v>3953</v>
      </c>
      <c r="BF305" s="2" t="s">
        <v>3954</v>
      </c>
    </row>
    <row r="306" spans="1:58" ht="42.75" customHeight="1" x14ac:dyDescent="0.25">
      <c r="A306" s="8" t="s">
        <v>8</v>
      </c>
      <c r="B306" s="1" t="s">
        <v>0</v>
      </c>
      <c r="C306" s="1" t="s">
        <v>1</v>
      </c>
      <c r="D306" s="1" t="s">
        <v>3955</v>
      </c>
      <c r="E306" s="1" t="s">
        <v>3956</v>
      </c>
      <c r="F306" s="1" t="s">
        <v>3957</v>
      </c>
      <c r="H306" s="2" t="s">
        <v>8</v>
      </c>
      <c r="I306" s="2" t="s">
        <v>7</v>
      </c>
      <c r="J306" s="2" t="s">
        <v>8</v>
      </c>
      <c r="K306" s="2" t="s">
        <v>6</v>
      </c>
      <c r="L306" s="2" t="s">
        <v>9</v>
      </c>
      <c r="N306" s="1" t="s">
        <v>3958</v>
      </c>
      <c r="O306" s="2" t="s">
        <v>844</v>
      </c>
      <c r="P306" s="1" t="s">
        <v>732</v>
      </c>
      <c r="Q306" s="2" t="s">
        <v>12</v>
      </c>
      <c r="R306" s="2" t="s">
        <v>774</v>
      </c>
      <c r="T306" s="2" t="s">
        <v>14</v>
      </c>
      <c r="U306" s="3">
        <v>5</v>
      </c>
      <c r="V306" s="3">
        <v>5</v>
      </c>
      <c r="W306" s="4" t="s">
        <v>3959</v>
      </c>
      <c r="X306" s="4" t="s">
        <v>3959</v>
      </c>
      <c r="Y306" s="4" t="s">
        <v>3960</v>
      </c>
      <c r="Z306" s="4" t="s">
        <v>3960</v>
      </c>
      <c r="AA306" s="3">
        <v>232</v>
      </c>
      <c r="AB306" s="3">
        <v>205</v>
      </c>
      <c r="AC306" s="3">
        <v>659</v>
      </c>
      <c r="AD306" s="3">
        <v>2</v>
      </c>
      <c r="AE306" s="3">
        <v>3</v>
      </c>
      <c r="AF306" s="3">
        <v>9</v>
      </c>
      <c r="AG306" s="3">
        <v>22</v>
      </c>
      <c r="AH306" s="3">
        <v>1</v>
      </c>
      <c r="AI306" s="3">
        <v>4</v>
      </c>
      <c r="AJ306" s="3">
        <v>1</v>
      </c>
      <c r="AK306" s="3">
        <v>3</v>
      </c>
      <c r="AL306" s="3">
        <v>3</v>
      </c>
      <c r="AM306" s="3">
        <v>6</v>
      </c>
      <c r="AN306" s="3">
        <v>0</v>
      </c>
      <c r="AO306" s="3">
        <v>0</v>
      </c>
      <c r="AP306" s="3">
        <v>5</v>
      </c>
      <c r="AQ306" s="3">
        <v>11</v>
      </c>
      <c r="AR306" s="2" t="s">
        <v>8</v>
      </c>
      <c r="AS306" s="2" t="s">
        <v>8</v>
      </c>
      <c r="AU306" s="5" t="str">
        <f>HYPERLINK("https://creighton-primo.hosted.exlibrisgroup.com/primo-explore/search?tab=default_tab&amp;search_scope=EVERYTHING&amp;vid=01CRU&amp;lang=en_US&amp;offset=0&amp;query=any,contains,991001490159702656","Catalog Record")</f>
        <v>Catalog Record</v>
      </c>
      <c r="AV306" s="5" t="str">
        <f>HYPERLINK("http://www.worldcat.org/oclc/31604493","WorldCat Record")</f>
        <v>WorldCat Record</v>
      </c>
      <c r="AW306" s="2" t="s">
        <v>3961</v>
      </c>
      <c r="AX306" s="2" t="s">
        <v>3962</v>
      </c>
      <c r="AY306" s="2" t="s">
        <v>3963</v>
      </c>
      <c r="AZ306" s="2" t="s">
        <v>3963</v>
      </c>
      <c r="BA306" s="2" t="s">
        <v>3964</v>
      </c>
      <c r="BB306" s="2" t="s">
        <v>21</v>
      </c>
      <c r="BD306" s="2" t="s">
        <v>3965</v>
      </c>
      <c r="BE306" s="2" t="s">
        <v>3966</v>
      </c>
      <c r="BF306" s="2" t="s">
        <v>3967</v>
      </c>
    </row>
    <row r="307" spans="1:58" ht="42.75" customHeight="1" x14ac:dyDescent="0.25">
      <c r="A307" s="8" t="s">
        <v>8</v>
      </c>
      <c r="B307" s="1" t="s">
        <v>0</v>
      </c>
      <c r="C307" s="1" t="s">
        <v>1</v>
      </c>
      <c r="D307" s="1" t="s">
        <v>3968</v>
      </c>
      <c r="E307" s="1" t="s">
        <v>3969</v>
      </c>
      <c r="F307" s="1" t="s">
        <v>3970</v>
      </c>
      <c r="H307" s="2" t="s">
        <v>8</v>
      </c>
      <c r="I307" s="2" t="s">
        <v>7</v>
      </c>
      <c r="J307" s="2" t="s">
        <v>8</v>
      </c>
      <c r="K307" s="2" t="s">
        <v>6</v>
      </c>
      <c r="L307" s="2" t="s">
        <v>9</v>
      </c>
      <c r="N307" s="1" t="s">
        <v>3971</v>
      </c>
      <c r="O307" s="2" t="s">
        <v>642</v>
      </c>
      <c r="P307" s="1" t="s">
        <v>1537</v>
      </c>
      <c r="Q307" s="2" t="s">
        <v>12</v>
      </c>
      <c r="R307" s="2" t="s">
        <v>774</v>
      </c>
      <c r="T307" s="2" t="s">
        <v>14</v>
      </c>
      <c r="U307" s="3">
        <v>5</v>
      </c>
      <c r="V307" s="3">
        <v>5</v>
      </c>
      <c r="W307" s="4" t="s">
        <v>3972</v>
      </c>
      <c r="X307" s="4" t="s">
        <v>3972</v>
      </c>
      <c r="Y307" s="4" t="s">
        <v>1831</v>
      </c>
      <c r="Z307" s="4" t="s">
        <v>1831</v>
      </c>
      <c r="AA307" s="3">
        <v>272</v>
      </c>
      <c r="AB307" s="3">
        <v>236</v>
      </c>
      <c r="AC307" s="3">
        <v>659</v>
      </c>
      <c r="AD307" s="3">
        <v>1</v>
      </c>
      <c r="AE307" s="3">
        <v>3</v>
      </c>
      <c r="AF307" s="3">
        <v>12</v>
      </c>
      <c r="AG307" s="3">
        <v>22</v>
      </c>
      <c r="AH307" s="3">
        <v>3</v>
      </c>
      <c r="AI307" s="3">
        <v>4</v>
      </c>
      <c r="AJ307" s="3">
        <v>1</v>
      </c>
      <c r="AK307" s="3">
        <v>3</v>
      </c>
      <c r="AL307" s="3">
        <v>0</v>
      </c>
      <c r="AM307" s="3">
        <v>6</v>
      </c>
      <c r="AN307" s="3">
        <v>0</v>
      </c>
      <c r="AO307" s="3">
        <v>0</v>
      </c>
      <c r="AP307" s="3">
        <v>8</v>
      </c>
      <c r="AQ307" s="3">
        <v>11</v>
      </c>
      <c r="AR307" s="2" t="s">
        <v>8</v>
      </c>
      <c r="AS307" s="2" t="s">
        <v>6</v>
      </c>
      <c r="AT307" s="5" t="str">
        <f>HYPERLINK("http://catalog.hathitrust.org/Record/004373532","HathiTrust Record")</f>
        <v>HathiTrust Record</v>
      </c>
      <c r="AU307" s="5" t="str">
        <f>HYPERLINK("https://creighton-primo.hosted.exlibrisgroup.com/primo-explore/search?tab=default_tab&amp;search_scope=EVERYTHING&amp;vid=01CRU&amp;lang=en_US&amp;offset=0&amp;query=any,contains,991000382249702656","Catalog Record")</f>
        <v>Catalog Record</v>
      </c>
      <c r="AV307" s="5" t="str">
        <f>HYPERLINK("http://www.worldcat.org/oclc/53076290","WorldCat Record")</f>
        <v>WorldCat Record</v>
      </c>
      <c r="AW307" s="2" t="s">
        <v>3961</v>
      </c>
      <c r="AX307" s="2" t="s">
        <v>3973</v>
      </c>
      <c r="AY307" s="2" t="s">
        <v>3974</v>
      </c>
      <c r="AZ307" s="2" t="s">
        <v>3974</v>
      </c>
      <c r="BA307" s="2" t="s">
        <v>3975</v>
      </c>
      <c r="BB307" s="2" t="s">
        <v>21</v>
      </c>
      <c r="BD307" s="2" t="s">
        <v>3976</v>
      </c>
      <c r="BE307" s="2" t="s">
        <v>3977</v>
      </c>
      <c r="BF307" s="2" t="s">
        <v>3978</v>
      </c>
    </row>
    <row r="308" spans="1:58" ht="42.75" customHeight="1" x14ac:dyDescent="0.25">
      <c r="A308" s="8" t="s">
        <v>8</v>
      </c>
      <c r="B308" s="1" t="s">
        <v>0</v>
      </c>
      <c r="C308" s="1" t="s">
        <v>1</v>
      </c>
      <c r="D308" s="1" t="s">
        <v>3979</v>
      </c>
      <c r="E308" s="1" t="s">
        <v>3980</v>
      </c>
      <c r="F308" s="1" t="s">
        <v>3970</v>
      </c>
      <c r="H308" s="2" t="s">
        <v>8</v>
      </c>
      <c r="I308" s="2" t="s">
        <v>7</v>
      </c>
      <c r="J308" s="2" t="s">
        <v>8</v>
      </c>
      <c r="K308" s="2" t="s">
        <v>6</v>
      </c>
      <c r="L308" s="2" t="s">
        <v>9</v>
      </c>
      <c r="N308" s="1" t="s">
        <v>3981</v>
      </c>
      <c r="O308" s="2" t="s">
        <v>657</v>
      </c>
      <c r="P308" s="1" t="s">
        <v>2031</v>
      </c>
      <c r="Q308" s="2" t="s">
        <v>12</v>
      </c>
      <c r="R308" s="2" t="s">
        <v>774</v>
      </c>
      <c r="T308" s="2" t="s">
        <v>14</v>
      </c>
      <c r="U308" s="3">
        <v>1</v>
      </c>
      <c r="V308" s="3">
        <v>1</v>
      </c>
      <c r="W308" s="4" t="s">
        <v>3982</v>
      </c>
      <c r="X308" s="4" t="s">
        <v>3982</v>
      </c>
      <c r="Y308" s="4" t="s">
        <v>3983</v>
      </c>
      <c r="Z308" s="4" t="s">
        <v>3983</v>
      </c>
      <c r="AA308" s="3">
        <v>230</v>
      </c>
      <c r="AB308" s="3">
        <v>197</v>
      </c>
      <c r="AC308" s="3">
        <v>659</v>
      </c>
      <c r="AD308" s="3">
        <v>1</v>
      </c>
      <c r="AE308" s="3">
        <v>3</v>
      </c>
      <c r="AF308" s="3">
        <v>4</v>
      </c>
      <c r="AG308" s="3">
        <v>22</v>
      </c>
      <c r="AH308" s="3">
        <v>0</v>
      </c>
      <c r="AI308" s="3">
        <v>4</v>
      </c>
      <c r="AJ308" s="3">
        <v>0</v>
      </c>
      <c r="AK308" s="3">
        <v>3</v>
      </c>
      <c r="AL308" s="3">
        <v>0</v>
      </c>
      <c r="AM308" s="3">
        <v>6</v>
      </c>
      <c r="AN308" s="3">
        <v>0</v>
      </c>
      <c r="AO308" s="3">
        <v>0</v>
      </c>
      <c r="AP308" s="3">
        <v>4</v>
      </c>
      <c r="AQ308" s="3">
        <v>11</v>
      </c>
      <c r="AR308" s="2" t="s">
        <v>8</v>
      </c>
      <c r="AS308" s="2" t="s">
        <v>6</v>
      </c>
      <c r="AT308" s="5" t="str">
        <f>HYPERLINK("http://catalog.hathitrust.org/Record/004170103","HathiTrust Record")</f>
        <v>HathiTrust Record</v>
      </c>
      <c r="AU308" s="5" t="str">
        <f>HYPERLINK("https://creighton-primo.hosted.exlibrisgroup.com/primo-explore/search?tab=default_tab&amp;search_scope=EVERYTHING&amp;vid=01CRU&amp;lang=en_US&amp;offset=0&amp;query=any,contains,991000298469702656","Catalog Record")</f>
        <v>Catalog Record</v>
      </c>
      <c r="AV308" s="5" t="str">
        <f>HYPERLINK("http://www.worldcat.org/oclc/45757781","WorldCat Record")</f>
        <v>WorldCat Record</v>
      </c>
      <c r="AW308" s="2" t="s">
        <v>3961</v>
      </c>
      <c r="AX308" s="2" t="s">
        <v>3984</v>
      </c>
      <c r="AY308" s="2" t="s">
        <v>3985</v>
      </c>
      <c r="AZ308" s="2" t="s">
        <v>3985</v>
      </c>
      <c r="BA308" s="2" t="s">
        <v>3986</v>
      </c>
      <c r="BB308" s="2" t="s">
        <v>21</v>
      </c>
      <c r="BD308" s="2" t="s">
        <v>3987</v>
      </c>
      <c r="BE308" s="2" t="s">
        <v>3988</v>
      </c>
      <c r="BF308" s="2" t="s">
        <v>3989</v>
      </c>
    </row>
    <row r="309" spans="1:58" ht="42.75" customHeight="1" x14ac:dyDescent="0.25">
      <c r="A309" s="8" t="s">
        <v>8</v>
      </c>
      <c r="B309" s="1" t="s">
        <v>0</v>
      </c>
      <c r="C309" s="1" t="s">
        <v>1</v>
      </c>
      <c r="D309" s="1" t="s">
        <v>3990</v>
      </c>
      <c r="E309" s="1" t="s">
        <v>3991</v>
      </c>
      <c r="F309" s="1" t="s">
        <v>3992</v>
      </c>
      <c r="H309" s="2" t="s">
        <v>8</v>
      </c>
      <c r="I309" s="2" t="s">
        <v>7</v>
      </c>
      <c r="J309" s="2" t="s">
        <v>6</v>
      </c>
      <c r="K309" s="2" t="s">
        <v>8</v>
      </c>
      <c r="L309" s="2" t="s">
        <v>9</v>
      </c>
      <c r="M309" s="1" t="s">
        <v>3993</v>
      </c>
      <c r="N309" s="1" t="s">
        <v>3994</v>
      </c>
      <c r="O309" s="2" t="s">
        <v>128</v>
      </c>
      <c r="Q309" s="2" t="s">
        <v>12</v>
      </c>
      <c r="R309" s="2" t="s">
        <v>267</v>
      </c>
      <c r="T309" s="2" t="s">
        <v>14</v>
      </c>
      <c r="U309" s="3">
        <v>3</v>
      </c>
      <c r="V309" s="3">
        <v>3</v>
      </c>
      <c r="W309" s="4" t="s">
        <v>3995</v>
      </c>
      <c r="X309" s="4" t="s">
        <v>3995</v>
      </c>
      <c r="Y309" s="4" t="s">
        <v>2327</v>
      </c>
      <c r="Z309" s="4" t="s">
        <v>2327</v>
      </c>
      <c r="AA309" s="3">
        <v>238</v>
      </c>
      <c r="AB309" s="3">
        <v>210</v>
      </c>
      <c r="AC309" s="3">
        <v>215</v>
      </c>
      <c r="AD309" s="3">
        <v>4</v>
      </c>
      <c r="AE309" s="3">
        <v>4</v>
      </c>
      <c r="AF309" s="3">
        <v>11</v>
      </c>
      <c r="AG309" s="3">
        <v>11</v>
      </c>
      <c r="AH309" s="3">
        <v>0</v>
      </c>
      <c r="AI309" s="3">
        <v>0</v>
      </c>
      <c r="AJ309" s="3">
        <v>2</v>
      </c>
      <c r="AK309" s="3">
        <v>2</v>
      </c>
      <c r="AL309" s="3">
        <v>3</v>
      </c>
      <c r="AM309" s="3">
        <v>3</v>
      </c>
      <c r="AN309" s="3">
        <v>1</v>
      </c>
      <c r="AO309" s="3">
        <v>1</v>
      </c>
      <c r="AP309" s="3">
        <v>7</v>
      </c>
      <c r="AQ309" s="3">
        <v>7</v>
      </c>
      <c r="AR309" s="2" t="s">
        <v>8</v>
      </c>
      <c r="AS309" s="2" t="s">
        <v>8</v>
      </c>
      <c r="AU309" s="5" t="str">
        <f>HYPERLINK("https://creighton-primo.hosted.exlibrisgroup.com/primo-explore/search?tab=default_tab&amp;search_scope=EVERYTHING&amp;vid=01CRU&amp;lang=en_US&amp;offset=0&amp;query=any,contains,991001180769702656","Catalog Record")</f>
        <v>Catalog Record</v>
      </c>
      <c r="AV309" s="5" t="str">
        <f>HYPERLINK("http://www.worldcat.org/oclc/4503186","WorldCat Record")</f>
        <v>WorldCat Record</v>
      </c>
      <c r="AW309" s="2" t="s">
        <v>3996</v>
      </c>
      <c r="AX309" s="2" t="s">
        <v>3997</v>
      </c>
      <c r="AY309" s="2" t="s">
        <v>3998</v>
      </c>
      <c r="AZ309" s="2" t="s">
        <v>3998</v>
      </c>
      <c r="BA309" s="2" t="s">
        <v>3999</v>
      </c>
      <c r="BB309" s="2" t="s">
        <v>21</v>
      </c>
      <c r="BD309" s="2" t="s">
        <v>4000</v>
      </c>
      <c r="BE309" s="2" t="s">
        <v>4001</v>
      </c>
      <c r="BF309" s="2" t="s">
        <v>4002</v>
      </c>
    </row>
    <row r="310" spans="1:58" ht="42.75" customHeight="1" x14ac:dyDescent="0.25">
      <c r="A310" s="8" t="s">
        <v>8</v>
      </c>
      <c r="B310" s="1" t="s">
        <v>0</v>
      </c>
      <c r="C310" s="1" t="s">
        <v>1</v>
      </c>
      <c r="D310" s="1" t="s">
        <v>4003</v>
      </c>
      <c r="E310" s="1" t="s">
        <v>4004</v>
      </c>
      <c r="F310" s="1" t="s">
        <v>4005</v>
      </c>
      <c r="H310" s="2" t="s">
        <v>8</v>
      </c>
      <c r="I310" s="2" t="s">
        <v>7</v>
      </c>
      <c r="J310" s="2" t="s">
        <v>6</v>
      </c>
      <c r="K310" s="2" t="s">
        <v>6</v>
      </c>
      <c r="L310" s="2" t="s">
        <v>9</v>
      </c>
      <c r="M310" s="1" t="s">
        <v>4006</v>
      </c>
      <c r="N310" s="1" t="s">
        <v>4007</v>
      </c>
      <c r="O310" s="2" t="s">
        <v>1060</v>
      </c>
      <c r="P310" s="1" t="s">
        <v>1537</v>
      </c>
      <c r="Q310" s="2" t="s">
        <v>12</v>
      </c>
      <c r="R310" s="2" t="s">
        <v>815</v>
      </c>
      <c r="T310" s="2" t="s">
        <v>14</v>
      </c>
      <c r="U310" s="3">
        <v>2</v>
      </c>
      <c r="V310" s="3">
        <v>2</v>
      </c>
      <c r="W310" s="4" t="s">
        <v>4008</v>
      </c>
      <c r="X310" s="4" t="s">
        <v>4008</v>
      </c>
      <c r="Y310" s="4" t="s">
        <v>4009</v>
      </c>
      <c r="Z310" s="4" t="s">
        <v>4009</v>
      </c>
      <c r="AA310" s="3">
        <v>340</v>
      </c>
      <c r="AB310" s="3">
        <v>317</v>
      </c>
      <c r="AC310" s="3">
        <v>1362</v>
      </c>
      <c r="AD310" s="3">
        <v>3</v>
      </c>
      <c r="AE310" s="3">
        <v>11</v>
      </c>
      <c r="AF310" s="3">
        <v>19</v>
      </c>
      <c r="AG310" s="3">
        <v>66</v>
      </c>
      <c r="AH310" s="3">
        <v>3</v>
      </c>
      <c r="AI310" s="3">
        <v>18</v>
      </c>
      <c r="AJ310" s="3">
        <v>2</v>
      </c>
      <c r="AK310" s="3">
        <v>8</v>
      </c>
      <c r="AL310" s="3">
        <v>7</v>
      </c>
      <c r="AM310" s="3">
        <v>21</v>
      </c>
      <c r="AN310" s="3">
        <v>1</v>
      </c>
      <c r="AO310" s="3">
        <v>7</v>
      </c>
      <c r="AP310" s="3">
        <v>9</v>
      </c>
      <c r="AQ310" s="3">
        <v>21</v>
      </c>
      <c r="AR310" s="2" t="s">
        <v>8</v>
      </c>
      <c r="AS310" s="2" t="s">
        <v>6</v>
      </c>
      <c r="AT310" s="5" t="str">
        <f>HYPERLINK("http://catalog.hathitrust.org/Record/003026330","HathiTrust Record")</f>
        <v>HathiTrust Record</v>
      </c>
      <c r="AU310" s="5" t="str">
        <f>HYPERLINK("https://creighton-primo.hosted.exlibrisgroup.com/primo-explore/search?tab=default_tab&amp;search_scope=EVERYTHING&amp;vid=01CRU&amp;lang=en_US&amp;offset=0&amp;query=any,contains,991000833229702656","Catalog Record")</f>
        <v>Catalog Record</v>
      </c>
      <c r="AV310" s="5" t="str">
        <f>HYPERLINK("http://www.worldcat.org/oclc/33045206","WorldCat Record")</f>
        <v>WorldCat Record</v>
      </c>
      <c r="AW310" s="2" t="s">
        <v>4010</v>
      </c>
      <c r="AX310" s="2" t="s">
        <v>4011</v>
      </c>
      <c r="AY310" s="2" t="s">
        <v>4012</v>
      </c>
      <c r="AZ310" s="2" t="s">
        <v>4012</v>
      </c>
      <c r="BA310" s="2" t="s">
        <v>4013</v>
      </c>
      <c r="BB310" s="2" t="s">
        <v>21</v>
      </c>
      <c r="BD310" s="2" t="s">
        <v>4014</v>
      </c>
      <c r="BE310" s="2" t="s">
        <v>4015</v>
      </c>
      <c r="BF310" s="2" t="s">
        <v>4016</v>
      </c>
    </row>
    <row r="311" spans="1:58" ht="42.75" customHeight="1" x14ac:dyDescent="0.25">
      <c r="A311" s="8" t="s">
        <v>8</v>
      </c>
      <c r="B311" s="1" t="s">
        <v>0</v>
      </c>
      <c r="C311" s="1" t="s">
        <v>1</v>
      </c>
      <c r="D311" s="1" t="s">
        <v>4017</v>
      </c>
      <c r="E311" s="1" t="s">
        <v>4018</v>
      </c>
      <c r="F311" s="1" t="s">
        <v>4019</v>
      </c>
      <c r="H311" s="2" t="s">
        <v>8</v>
      </c>
      <c r="I311" s="2" t="s">
        <v>7</v>
      </c>
      <c r="J311" s="2" t="s">
        <v>8</v>
      </c>
      <c r="K311" s="2" t="s">
        <v>6</v>
      </c>
      <c r="L311" s="2" t="s">
        <v>9</v>
      </c>
      <c r="M311" s="1" t="s">
        <v>4006</v>
      </c>
      <c r="N311" s="1" t="s">
        <v>4020</v>
      </c>
      <c r="O311" s="2" t="s">
        <v>830</v>
      </c>
      <c r="P311" s="1" t="s">
        <v>3563</v>
      </c>
      <c r="Q311" s="2" t="s">
        <v>12</v>
      </c>
      <c r="R311" s="2" t="s">
        <v>1340</v>
      </c>
      <c r="T311" s="2" t="s">
        <v>14</v>
      </c>
      <c r="U311" s="3">
        <v>10</v>
      </c>
      <c r="V311" s="3">
        <v>10</v>
      </c>
      <c r="W311" s="4" t="s">
        <v>3972</v>
      </c>
      <c r="X311" s="4" t="s">
        <v>3972</v>
      </c>
      <c r="Y311" s="4" t="s">
        <v>4021</v>
      </c>
      <c r="Z311" s="4" t="s">
        <v>4021</v>
      </c>
      <c r="AA311" s="3">
        <v>50</v>
      </c>
      <c r="AB311" s="3">
        <v>39</v>
      </c>
      <c r="AC311" s="3">
        <v>1362</v>
      </c>
      <c r="AD311" s="3">
        <v>1</v>
      </c>
      <c r="AE311" s="3">
        <v>11</v>
      </c>
      <c r="AF311" s="3">
        <v>1</v>
      </c>
      <c r="AG311" s="3">
        <v>66</v>
      </c>
      <c r="AH311" s="3">
        <v>0</v>
      </c>
      <c r="AI311" s="3">
        <v>18</v>
      </c>
      <c r="AJ311" s="3">
        <v>0</v>
      </c>
      <c r="AK311" s="3">
        <v>8</v>
      </c>
      <c r="AL311" s="3">
        <v>1</v>
      </c>
      <c r="AM311" s="3">
        <v>21</v>
      </c>
      <c r="AN311" s="3">
        <v>0</v>
      </c>
      <c r="AO311" s="3">
        <v>7</v>
      </c>
      <c r="AP311" s="3">
        <v>0</v>
      </c>
      <c r="AQ311" s="3">
        <v>21</v>
      </c>
      <c r="AR311" s="2" t="s">
        <v>8</v>
      </c>
      <c r="AS311" s="2" t="s">
        <v>8</v>
      </c>
      <c r="AU311" s="5" t="str">
        <f>HYPERLINK("https://creighton-primo.hosted.exlibrisgroup.com/primo-explore/search?tab=default_tab&amp;search_scope=EVERYTHING&amp;vid=01CRU&amp;lang=en_US&amp;offset=0&amp;query=any,contains,991000361229702656","Catalog Record")</f>
        <v>Catalog Record</v>
      </c>
      <c r="AV311" s="5" t="str">
        <f>HYPERLINK("http://www.worldcat.org/oclc/51531597","WorldCat Record")</f>
        <v>WorldCat Record</v>
      </c>
      <c r="AW311" s="2" t="s">
        <v>4010</v>
      </c>
      <c r="AX311" s="2" t="s">
        <v>4022</v>
      </c>
      <c r="AY311" s="2" t="s">
        <v>4023</v>
      </c>
      <c r="AZ311" s="2" t="s">
        <v>4023</v>
      </c>
      <c r="BA311" s="2" t="s">
        <v>4024</v>
      </c>
      <c r="BB311" s="2" t="s">
        <v>21</v>
      </c>
      <c r="BD311" s="2" t="s">
        <v>4025</v>
      </c>
      <c r="BE311" s="2" t="s">
        <v>4026</v>
      </c>
      <c r="BF311" s="2" t="s">
        <v>4027</v>
      </c>
    </row>
    <row r="312" spans="1:58" ht="42.75" customHeight="1" x14ac:dyDescent="0.25">
      <c r="A312" s="8" t="s">
        <v>8</v>
      </c>
      <c r="B312" s="1" t="s">
        <v>0</v>
      </c>
      <c r="C312" s="1" t="s">
        <v>1</v>
      </c>
      <c r="D312" s="1" t="s">
        <v>4028</v>
      </c>
      <c r="E312" s="1" t="s">
        <v>4029</v>
      </c>
      <c r="F312" s="1" t="s">
        <v>4030</v>
      </c>
      <c r="H312" s="2" t="s">
        <v>8</v>
      </c>
      <c r="I312" s="2" t="s">
        <v>7</v>
      </c>
      <c r="J312" s="2" t="s">
        <v>6</v>
      </c>
      <c r="K312" s="2" t="s">
        <v>6</v>
      </c>
      <c r="L312" s="2" t="s">
        <v>9</v>
      </c>
      <c r="M312" s="1" t="s">
        <v>4006</v>
      </c>
      <c r="N312" s="1" t="s">
        <v>4031</v>
      </c>
      <c r="O312" s="2" t="s">
        <v>959</v>
      </c>
      <c r="P312" s="1" t="s">
        <v>1225</v>
      </c>
      <c r="Q312" s="2" t="s">
        <v>12</v>
      </c>
      <c r="R312" s="2" t="s">
        <v>1340</v>
      </c>
      <c r="T312" s="2" t="s">
        <v>14</v>
      </c>
      <c r="U312" s="3">
        <v>10</v>
      </c>
      <c r="V312" s="3">
        <v>11</v>
      </c>
      <c r="W312" s="4" t="s">
        <v>4032</v>
      </c>
      <c r="X312" s="4" t="s">
        <v>4032</v>
      </c>
      <c r="Y312" s="4" t="s">
        <v>4033</v>
      </c>
      <c r="Z312" s="4" t="s">
        <v>4034</v>
      </c>
      <c r="AA312" s="3">
        <v>365</v>
      </c>
      <c r="AB312" s="3">
        <v>308</v>
      </c>
      <c r="AC312" s="3">
        <v>770</v>
      </c>
      <c r="AD312" s="3">
        <v>5</v>
      </c>
      <c r="AE312" s="3">
        <v>9</v>
      </c>
      <c r="AF312" s="3">
        <v>20</v>
      </c>
      <c r="AG312" s="3">
        <v>35</v>
      </c>
      <c r="AH312" s="3">
        <v>7</v>
      </c>
      <c r="AI312" s="3">
        <v>13</v>
      </c>
      <c r="AJ312" s="3">
        <v>3</v>
      </c>
      <c r="AK312" s="3">
        <v>5</v>
      </c>
      <c r="AL312" s="3">
        <v>3</v>
      </c>
      <c r="AM312" s="3">
        <v>7</v>
      </c>
      <c r="AN312" s="3">
        <v>3</v>
      </c>
      <c r="AO312" s="3">
        <v>5</v>
      </c>
      <c r="AP312" s="3">
        <v>6</v>
      </c>
      <c r="AQ312" s="3">
        <v>8</v>
      </c>
      <c r="AR312" s="2" t="s">
        <v>8</v>
      </c>
      <c r="AS312" s="2" t="s">
        <v>6</v>
      </c>
      <c r="AT312" s="5" t="str">
        <f>HYPERLINK("http://catalog.hathitrust.org/Record/004976258","HathiTrust Record")</f>
        <v>HathiTrust Record</v>
      </c>
      <c r="AU312" s="5" t="str">
        <f>HYPERLINK("https://creighton-primo.hosted.exlibrisgroup.com/primo-explore/search?tab=default_tab&amp;search_scope=EVERYTHING&amp;vid=01CRU&amp;lang=en_US&amp;offset=0&amp;query=any,contains,991001734909702656","Catalog Record")</f>
        <v>Catalog Record</v>
      </c>
      <c r="AV312" s="5" t="str">
        <f>HYPERLINK("http://www.worldcat.org/oclc/59818375","WorldCat Record")</f>
        <v>WorldCat Record</v>
      </c>
      <c r="AW312" s="2" t="s">
        <v>4035</v>
      </c>
      <c r="AX312" s="2" t="s">
        <v>4036</v>
      </c>
      <c r="AY312" s="2" t="s">
        <v>4037</v>
      </c>
      <c r="AZ312" s="2" t="s">
        <v>4037</v>
      </c>
      <c r="BA312" s="2" t="s">
        <v>4038</v>
      </c>
      <c r="BB312" s="2" t="s">
        <v>21</v>
      </c>
      <c r="BD312" s="2" t="s">
        <v>4039</v>
      </c>
      <c r="BE312" s="2" t="s">
        <v>4040</v>
      </c>
      <c r="BF312" s="2" t="s">
        <v>4041</v>
      </c>
    </row>
    <row r="313" spans="1:58" ht="42.75" customHeight="1" x14ac:dyDescent="0.25">
      <c r="A313" s="8" t="s">
        <v>8</v>
      </c>
      <c r="B313" s="1" t="s">
        <v>0</v>
      </c>
      <c r="C313" s="1" t="s">
        <v>1</v>
      </c>
      <c r="D313" s="1" t="s">
        <v>4042</v>
      </c>
      <c r="E313" s="1" t="s">
        <v>4043</v>
      </c>
      <c r="F313" s="1" t="s">
        <v>4044</v>
      </c>
      <c r="H313" s="2" t="s">
        <v>8</v>
      </c>
      <c r="I313" s="2" t="s">
        <v>7</v>
      </c>
      <c r="J313" s="2" t="s">
        <v>8</v>
      </c>
      <c r="K313" s="2" t="s">
        <v>8</v>
      </c>
      <c r="L313" s="2" t="s">
        <v>9</v>
      </c>
      <c r="M313" s="1" t="s">
        <v>4045</v>
      </c>
      <c r="N313" s="1" t="s">
        <v>4046</v>
      </c>
      <c r="O313" s="2" t="s">
        <v>252</v>
      </c>
      <c r="Q313" s="2" t="s">
        <v>12</v>
      </c>
      <c r="R313" s="2" t="s">
        <v>34</v>
      </c>
      <c r="S313" s="1" t="s">
        <v>4047</v>
      </c>
      <c r="T313" s="2" t="s">
        <v>14</v>
      </c>
      <c r="U313" s="3">
        <v>10</v>
      </c>
      <c r="V313" s="3">
        <v>10</v>
      </c>
      <c r="W313" s="4" t="s">
        <v>4048</v>
      </c>
      <c r="X313" s="4" t="s">
        <v>4048</v>
      </c>
      <c r="Y313" s="4" t="s">
        <v>2327</v>
      </c>
      <c r="Z313" s="4" t="s">
        <v>2327</v>
      </c>
      <c r="AA313" s="3">
        <v>527</v>
      </c>
      <c r="AB313" s="3">
        <v>492</v>
      </c>
      <c r="AC313" s="3">
        <v>498</v>
      </c>
      <c r="AD313" s="3">
        <v>2</v>
      </c>
      <c r="AE313" s="3">
        <v>2</v>
      </c>
      <c r="AF313" s="3">
        <v>28</v>
      </c>
      <c r="AG313" s="3">
        <v>28</v>
      </c>
      <c r="AH313" s="3">
        <v>7</v>
      </c>
      <c r="AI313" s="3">
        <v>7</v>
      </c>
      <c r="AJ313" s="3">
        <v>4</v>
      </c>
      <c r="AK313" s="3">
        <v>4</v>
      </c>
      <c r="AL313" s="3">
        <v>10</v>
      </c>
      <c r="AM313" s="3">
        <v>10</v>
      </c>
      <c r="AN313" s="3">
        <v>0</v>
      </c>
      <c r="AO313" s="3">
        <v>0</v>
      </c>
      <c r="AP313" s="3">
        <v>13</v>
      </c>
      <c r="AQ313" s="3">
        <v>13</v>
      </c>
      <c r="AR313" s="2" t="s">
        <v>8</v>
      </c>
      <c r="AS313" s="2" t="s">
        <v>8</v>
      </c>
      <c r="AU313" s="5" t="str">
        <f>HYPERLINK("https://creighton-primo.hosted.exlibrisgroup.com/primo-explore/search?tab=default_tab&amp;search_scope=EVERYTHING&amp;vid=01CRU&amp;lang=en_US&amp;offset=0&amp;query=any,contains,991001180659702656","Catalog Record")</f>
        <v>Catalog Record</v>
      </c>
      <c r="AV313" s="5" t="str">
        <f>HYPERLINK("http://www.worldcat.org/oclc/6579783","WorldCat Record")</f>
        <v>WorldCat Record</v>
      </c>
      <c r="AW313" s="2" t="s">
        <v>4049</v>
      </c>
      <c r="AX313" s="2" t="s">
        <v>4050</v>
      </c>
      <c r="AY313" s="2" t="s">
        <v>4051</v>
      </c>
      <c r="AZ313" s="2" t="s">
        <v>4051</v>
      </c>
      <c r="BA313" s="2" t="s">
        <v>4052</v>
      </c>
      <c r="BB313" s="2" t="s">
        <v>21</v>
      </c>
      <c r="BD313" s="2" t="s">
        <v>4053</v>
      </c>
      <c r="BE313" s="2" t="s">
        <v>4054</v>
      </c>
      <c r="BF313" s="2" t="s">
        <v>4055</v>
      </c>
    </row>
    <row r="314" spans="1:58" ht="42.75" customHeight="1" x14ac:dyDescent="0.25">
      <c r="A314" s="8" t="s">
        <v>8</v>
      </c>
      <c r="B314" s="1" t="s">
        <v>0</v>
      </c>
      <c r="C314" s="1" t="s">
        <v>1</v>
      </c>
      <c r="D314" s="1" t="s">
        <v>4056</v>
      </c>
      <c r="E314" s="1" t="s">
        <v>4057</v>
      </c>
      <c r="F314" s="1" t="s">
        <v>4058</v>
      </c>
      <c r="H314" s="2" t="s">
        <v>8</v>
      </c>
      <c r="I314" s="2" t="s">
        <v>7</v>
      </c>
      <c r="J314" s="2" t="s">
        <v>8</v>
      </c>
      <c r="K314" s="2" t="s">
        <v>8</v>
      </c>
      <c r="L314" s="2" t="s">
        <v>9</v>
      </c>
      <c r="M314" s="1" t="s">
        <v>4059</v>
      </c>
      <c r="N314" s="1" t="s">
        <v>4060</v>
      </c>
      <c r="O314" s="2" t="s">
        <v>1629</v>
      </c>
      <c r="Q314" s="2" t="s">
        <v>12</v>
      </c>
      <c r="R314" s="2" t="s">
        <v>34</v>
      </c>
      <c r="T314" s="2" t="s">
        <v>14</v>
      </c>
      <c r="U314" s="3">
        <v>3</v>
      </c>
      <c r="V314" s="3">
        <v>3</v>
      </c>
      <c r="W314" s="4" t="s">
        <v>4061</v>
      </c>
      <c r="X314" s="4" t="s">
        <v>4061</v>
      </c>
      <c r="Y314" s="4" t="s">
        <v>2327</v>
      </c>
      <c r="Z314" s="4" t="s">
        <v>2327</v>
      </c>
      <c r="AA314" s="3">
        <v>238</v>
      </c>
      <c r="AB314" s="3">
        <v>192</v>
      </c>
      <c r="AC314" s="3">
        <v>194</v>
      </c>
      <c r="AD314" s="3">
        <v>2</v>
      </c>
      <c r="AE314" s="3">
        <v>2</v>
      </c>
      <c r="AF314" s="3">
        <v>15</v>
      </c>
      <c r="AG314" s="3">
        <v>15</v>
      </c>
      <c r="AH314" s="3">
        <v>1</v>
      </c>
      <c r="AI314" s="3">
        <v>1</v>
      </c>
      <c r="AJ314" s="3">
        <v>2</v>
      </c>
      <c r="AK314" s="3">
        <v>2</v>
      </c>
      <c r="AL314" s="3">
        <v>1</v>
      </c>
      <c r="AM314" s="3">
        <v>1</v>
      </c>
      <c r="AN314" s="3">
        <v>0</v>
      </c>
      <c r="AO314" s="3">
        <v>0</v>
      </c>
      <c r="AP314" s="3">
        <v>12</v>
      </c>
      <c r="AQ314" s="3">
        <v>12</v>
      </c>
      <c r="AR314" s="2" t="s">
        <v>8</v>
      </c>
      <c r="AS314" s="2" t="s">
        <v>6</v>
      </c>
      <c r="AT314" s="5" t="str">
        <f>HYPERLINK("http://catalog.hathitrust.org/Record/000368258","HathiTrust Record")</f>
        <v>HathiTrust Record</v>
      </c>
      <c r="AU314" s="5" t="str">
        <f>HYPERLINK("https://creighton-primo.hosted.exlibrisgroup.com/primo-explore/search?tab=default_tab&amp;search_scope=EVERYTHING&amp;vid=01CRU&amp;lang=en_US&amp;offset=0&amp;query=any,contains,991001255839702656","Catalog Record")</f>
        <v>Catalog Record</v>
      </c>
      <c r="AV314" s="5" t="str">
        <f>HYPERLINK("http://www.worldcat.org/oclc/10606382","WorldCat Record")</f>
        <v>WorldCat Record</v>
      </c>
      <c r="AW314" s="2" t="s">
        <v>4062</v>
      </c>
      <c r="AX314" s="2" t="s">
        <v>4063</v>
      </c>
      <c r="AY314" s="2" t="s">
        <v>4064</v>
      </c>
      <c r="AZ314" s="2" t="s">
        <v>4064</v>
      </c>
      <c r="BA314" s="2" t="s">
        <v>4065</v>
      </c>
      <c r="BB314" s="2" t="s">
        <v>21</v>
      </c>
      <c r="BD314" s="2" t="s">
        <v>4066</v>
      </c>
      <c r="BE314" s="2" t="s">
        <v>4067</v>
      </c>
      <c r="BF314" s="2" t="s">
        <v>4068</v>
      </c>
    </row>
    <row r="315" spans="1:58" ht="42.75" customHeight="1" x14ac:dyDescent="0.25">
      <c r="A315" s="8" t="s">
        <v>8</v>
      </c>
      <c r="B315" s="1" t="s">
        <v>0</v>
      </c>
      <c r="C315" s="1" t="s">
        <v>1</v>
      </c>
      <c r="D315" s="1" t="s">
        <v>4069</v>
      </c>
      <c r="E315" s="1" t="s">
        <v>4070</v>
      </c>
      <c r="F315" s="1" t="s">
        <v>4071</v>
      </c>
      <c r="H315" s="2" t="s">
        <v>8</v>
      </c>
      <c r="I315" s="2" t="s">
        <v>7</v>
      </c>
      <c r="J315" s="2" t="s">
        <v>8</v>
      </c>
      <c r="K315" s="2" t="s">
        <v>8</v>
      </c>
      <c r="L315" s="2" t="s">
        <v>9</v>
      </c>
      <c r="M315" s="1" t="s">
        <v>4072</v>
      </c>
      <c r="N315" s="1" t="s">
        <v>4073</v>
      </c>
      <c r="O315" s="2" t="s">
        <v>1034</v>
      </c>
      <c r="Q315" s="2" t="s">
        <v>12</v>
      </c>
      <c r="R315" s="2" t="s">
        <v>13</v>
      </c>
      <c r="S315" s="1" t="s">
        <v>4074</v>
      </c>
      <c r="T315" s="2" t="s">
        <v>14</v>
      </c>
      <c r="U315" s="3">
        <v>2</v>
      </c>
      <c r="V315" s="3">
        <v>2</v>
      </c>
      <c r="W315" s="4" t="s">
        <v>4075</v>
      </c>
      <c r="X315" s="4" t="s">
        <v>4075</v>
      </c>
      <c r="Y315" s="4" t="s">
        <v>4076</v>
      </c>
      <c r="Z315" s="4" t="s">
        <v>4076</v>
      </c>
      <c r="AA315" s="3">
        <v>98</v>
      </c>
      <c r="AB315" s="3">
        <v>89</v>
      </c>
      <c r="AC315" s="3">
        <v>91</v>
      </c>
      <c r="AD315" s="3">
        <v>1</v>
      </c>
      <c r="AE315" s="3">
        <v>1</v>
      </c>
      <c r="AF315" s="3">
        <v>3</v>
      </c>
      <c r="AG315" s="3">
        <v>3</v>
      </c>
      <c r="AH315" s="3">
        <v>0</v>
      </c>
      <c r="AI315" s="3">
        <v>0</v>
      </c>
      <c r="AJ315" s="3">
        <v>1</v>
      </c>
      <c r="AK315" s="3">
        <v>1</v>
      </c>
      <c r="AL315" s="3">
        <v>3</v>
      </c>
      <c r="AM315" s="3">
        <v>3</v>
      </c>
      <c r="AN315" s="3">
        <v>0</v>
      </c>
      <c r="AO315" s="3">
        <v>0</v>
      </c>
      <c r="AP315" s="3">
        <v>0</v>
      </c>
      <c r="AQ315" s="3">
        <v>0</v>
      </c>
      <c r="AR315" s="2" t="s">
        <v>8</v>
      </c>
      <c r="AS315" s="2" t="s">
        <v>6</v>
      </c>
      <c r="AT315" s="5" t="str">
        <f>HYPERLINK("http://catalog.hathitrust.org/Record/000758115","HathiTrust Record")</f>
        <v>HathiTrust Record</v>
      </c>
      <c r="AU315" s="5" t="str">
        <f>HYPERLINK("https://creighton-primo.hosted.exlibrisgroup.com/primo-explore/search?tab=default_tab&amp;search_scope=EVERYTHING&amp;vid=01CRU&amp;lang=en_US&amp;offset=0&amp;query=any,contains,991001388769702656","Catalog Record")</f>
        <v>Catalog Record</v>
      </c>
      <c r="AV315" s="5" t="str">
        <f>HYPERLINK("http://www.worldcat.org/oclc/5430400","WorldCat Record")</f>
        <v>WorldCat Record</v>
      </c>
      <c r="AW315" s="2" t="s">
        <v>4077</v>
      </c>
      <c r="AX315" s="2" t="s">
        <v>4078</v>
      </c>
      <c r="AY315" s="2" t="s">
        <v>4079</v>
      </c>
      <c r="AZ315" s="2" t="s">
        <v>4079</v>
      </c>
      <c r="BA315" s="2" t="s">
        <v>4080</v>
      </c>
      <c r="BB315" s="2" t="s">
        <v>21</v>
      </c>
      <c r="BE315" s="2" t="s">
        <v>4081</v>
      </c>
      <c r="BF315" s="2" t="s">
        <v>4082</v>
      </c>
    </row>
    <row r="316" spans="1:58" ht="42.75" customHeight="1" x14ac:dyDescent="0.25">
      <c r="A316" s="8" t="s">
        <v>8</v>
      </c>
      <c r="B316" s="1" t="s">
        <v>0</v>
      </c>
      <c r="C316" s="1" t="s">
        <v>1</v>
      </c>
      <c r="D316" s="1" t="s">
        <v>4083</v>
      </c>
      <c r="E316" s="1" t="s">
        <v>4084</v>
      </c>
      <c r="F316" s="1" t="s">
        <v>4085</v>
      </c>
      <c r="H316" s="2" t="s">
        <v>8</v>
      </c>
      <c r="I316" s="2" t="s">
        <v>7</v>
      </c>
      <c r="J316" s="2" t="s">
        <v>8</v>
      </c>
      <c r="K316" s="2" t="s">
        <v>8</v>
      </c>
      <c r="L316" s="2" t="s">
        <v>7</v>
      </c>
      <c r="M316" s="1" t="s">
        <v>4086</v>
      </c>
      <c r="N316" s="1" t="s">
        <v>4087</v>
      </c>
      <c r="O316" s="2" t="s">
        <v>814</v>
      </c>
      <c r="Q316" s="2" t="s">
        <v>12</v>
      </c>
      <c r="R316" s="2" t="s">
        <v>520</v>
      </c>
      <c r="T316" s="2" t="s">
        <v>14</v>
      </c>
      <c r="U316" s="3">
        <v>0</v>
      </c>
      <c r="V316" s="3">
        <v>0</v>
      </c>
      <c r="W316" s="4" t="s">
        <v>1003</v>
      </c>
      <c r="X316" s="4" t="s">
        <v>1003</v>
      </c>
      <c r="Y316" s="4" t="s">
        <v>1004</v>
      </c>
      <c r="Z316" s="4" t="s">
        <v>1004</v>
      </c>
      <c r="AA316" s="3">
        <v>143</v>
      </c>
      <c r="AB316" s="3">
        <v>134</v>
      </c>
      <c r="AC316" s="3">
        <v>1221</v>
      </c>
      <c r="AD316" s="3">
        <v>2</v>
      </c>
      <c r="AE316" s="3">
        <v>29</v>
      </c>
      <c r="AF316" s="3">
        <v>13</v>
      </c>
      <c r="AG316" s="3">
        <v>47</v>
      </c>
      <c r="AH316" s="3">
        <v>2</v>
      </c>
      <c r="AI316" s="3">
        <v>15</v>
      </c>
      <c r="AJ316" s="3">
        <v>2</v>
      </c>
      <c r="AK316" s="3">
        <v>7</v>
      </c>
      <c r="AL316" s="3">
        <v>4</v>
      </c>
      <c r="AM316" s="3">
        <v>13</v>
      </c>
      <c r="AN316" s="3">
        <v>1</v>
      </c>
      <c r="AO316" s="3">
        <v>14</v>
      </c>
      <c r="AP316" s="3">
        <v>6</v>
      </c>
      <c r="AQ316" s="3">
        <v>6</v>
      </c>
      <c r="AR316" s="2" t="s">
        <v>8</v>
      </c>
      <c r="AS316" s="2" t="s">
        <v>8</v>
      </c>
      <c r="AU316" s="5" t="str">
        <f>HYPERLINK("https://creighton-primo.hosted.exlibrisgroup.com/primo-explore/search?tab=default_tab&amp;search_scope=EVERYTHING&amp;vid=01CRU&amp;lang=en_US&amp;offset=0&amp;query=any,contains,991000399009702656","Catalog Record")</f>
        <v>Catalog Record</v>
      </c>
      <c r="AV316" s="5" t="str">
        <f>HYPERLINK("http://www.worldcat.org/oclc/40135333","WorldCat Record")</f>
        <v>WorldCat Record</v>
      </c>
      <c r="AW316" s="2" t="s">
        <v>4088</v>
      </c>
      <c r="AX316" s="2" t="s">
        <v>4089</v>
      </c>
      <c r="AY316" s="2" t="s">
        <v>4090</v>
      </c>
      <c r="AZ316" s="2" t="s">
        <v>4090</v>
      </c>
      <c r="BA316" s="2" t="s">
        <v>4091</v>
      </c>
      <c r="BB316" s="2" t="s">
        <v>21</v>
      </c>
      <c r="BD316" s="2" t="s">
        <v>4092</v>
      </c>
      <c r="BE316" s="2" t="s">
        <v>4093</v>
      </c>
      <c r="BF316" s="2" t="s">
        <v>4094</v>
      </c>
    </row>
    <row r="317" spans="1:58" ht="42.75" customHeight="1" x14ac:dyDescent="0.25">
      <c r="A317" s="8" t="s">
        <v>8</v>
      </c>
      <c r="B317" s="1" t="s">
        <v>0</v>
      </c>
      <c r="C317" s="1" t="s">
        <v>1</v>
      </c>
      <c r="D317" s="1" t="s">
        <v>4095</v>
      </c>
      <c r="E317" s="1" t="s">
        <v>4096</v>
      </c>
      <c r="F317" s="1" t="s">
        <v>4097</v>
      </c>
      <c r="H317" s="2" t="s">
        <v>8</v>
      </c>
      <c r="I317" s="2" t="s">
        <v>7</v>
      </c>
      <c r="J317" s="2" t="s">
        <v>8</v>
      </c>
      <c r="K317" s="2" t="s">
        <v>8</v>
      </c>
      <c r="L317" s="2" t="s">
        <v>9</v>
      </c>
      <c r="M317" s="1" t="s">
        <v>4098</v>
      </c>
      <c r="N317" s="1" t="s">
        <v>4099</v>
      </c>
      <c r="O317" s="2" t="s">
        <v>731</v>
      </c>
      <c r="P317" s="1" t="s">
        <v>761</v>
      </c>
      <c r="Q317" s="2" t="s">
        <v>12</v>
      </c>
      <c r="R317" s="2" t="s">
        <v>456</v>
      </c>
      <c r="T317" s="2" t="s">
        <v>14</v>
      </c>
      <c r="U317" s="3">
        <v>4</v>
      </c>
      <c r="V317" s="3">
        <v>4</v>
      </c>
      <c r="W317" s="4" t="s">
        <v>4100</v>
      </c>
      <c r="X317" s="4" t="s">
        <v>4100</v>
      </c>
      <c r="Y317" s="4" t="s">
        <v>4101</v>
      </c>
      <c r="Z317" s="4" t="s">
        <v>4101</v>
      </c>
      <c r="AA317" s="3">
        <v>254</v>
      </c>
      <c r="AB317" s="3">
        <v>227</v>
      </c>
      <c r="AC317" s="3">
        <v>321</v>
      </c>
      <c r="AD317" s="3">
        <v>2</v>
      </c>
      <c r="AE317" s="3">
        <v>2</v>
      </c>
      <c r="AF317" s="3">
        <v>12</v>
      </c>
      <c r="AG317" s="3">
        <v>15</v>
      </c>
      <c r="AH317" s="3">
        <v>1</v>
      </c>
      <c r="AI317" s="3">
        <v>3</v>
      </c>
      <c r="AJ317" s="3">
        <v>2</v>
      </c>
      <c r="AK317" s="3">
        <v>2</v>
      </c>
      <c r="AL317" s="3">
        <v>1</v>
      </c>
      <c r="AM317" s="3">
        <v>2</v>
      </c>
      <c r="AN317" s="3">
        <v>1</v>
      </c>
      <c r="AO317" s="3">
        <v>1</v>
      </c>
      <c r="AP317" s="3">
        <v>8</v>
      </c>
      <c r="AQ317" s="3">
        <v>9</v>
      </c>
      <c r="AR317" s="2" t="s">
        <v>8</v>
      </c>
      <c r="AS317" s="2" t="s">
        <v>6</v>
      </c>
      <c r="AT317" s="5" t="str">
        <f>HYPERLINK("http://catalog.hathitrust.org/Record/003971228","HathiTrust Record")</f>
        <v>HathiTrust Record</v>
      </c>
      <c r="AU317" s="5" t="str">
        <f>HYPERLINK("https://creighton-primo.hosted.exlibrisgroup.com/primo-explore/search?tab=default_tab&amp;search_scope=EVERYTHING&amp;vid=01CRU&amp;lang=en_US&amp;offset=0&amp;query=any,contains,991001429529702656","Catalog Record")</f>
        <v>Catalog Record</v>
      </c>
      <c r="AV317" s="5" t="str">
        <f>HYPERLINK("http://www.worldcat.org/oclc/38048052","WorldCat Record")</f>
        <v>WorldCat Record</v>
      </c>
      <c r="AW317" s="2" t="s">
        <v>4102</v>
      </c>
      <c r="AX317" s="2" t="s">
        <v>4103</v>
      </c>
      <c r="AY317" s="2" t="s">
        <v>4104</v>
      </c>
      <c r="AZ317" s="2" t="s">
        <v>4104</v>
      </c>
      <c r="BA317" s="2" t="s">
        <v>4105</v>
      </c>
      <c r="BB317" s="2" t="s">
        <v>21</v>
      </c>
      <c r="BD317" s="2" t="s">
        <v>4106</v>
      </c>
      <c r="BE317" s="2" t="s">
        <v>4107</v>
      </c>
      <c r="BF317" s="2" t="s">
        <v>4108</v>
      </c>
    </row>
    <row r="318" spans="1:58" ht="42.75" customHeight="1" x14ac:dyDescent="0.25">
      <c r="A318" s="8" t="s">
        <v>8</v>
      </c>
      <c r="B318" s="1" t="s">
        <v>0</v>
      </c>
      <c r="C318" s="1" t="s">
        <v>1</v>
      </c>
      <c r="D318" s="1" t="s">
        <v>4109</v>
      </c>
      <c r="E318" s="1" t="s">
        <v>4110</v>
      </c>
      <c r="F318" s="1" t="s">
        <v>4111</v>
      </c>
      <c r="H318" s="2" t="s">
        <v>8</v>
      </c>
      <c r="I318" s="2" t="s">
        <v>7</v>
      </c>
      <c r="J318" s="2" t="s">
        <v>6</v>
      </c>
      <c r="K318" s="2" t="s">
        <v>6</v>
      </c>
      <c r="L318" s="2" t="s">
        <v>7</v>
      </c>
      <c r="M318" s="1" t="s">
        <v>4112</v>
      </c>
      <c r="N318" s="1" t="s">
        <v>4113</v>
      </c>
      <c r="O318" s="2" t="s">
        <v>298</v>
      </c>
      <c r="Q318" s="2" t="s">
        <v>12</v>
      </c>
      <c r="R318" s="2" t="s">
        <v>34</v>
      </c>
      <c r="T318" s="2" t="s">
        <v>14</v>
      </c>
      <c r="U318" s="3">
        <v>17</v>
      </c>
      <c r="V318" s="3">
        <v>17</v>
      </c>
      <c r="W318" s="4" t="s">
        <v>4114</v>
      </c>
      <c r="X318" s="4" t="s">
        <v>4114</v>
      </c>
      <c r="Y318" s="4" t="s">
        <v>1553</v>
      </c>
      <c r="Z318" s="4" t="s">
        <v>1553</v>
      </c>
      <c r="AA318" s="3">
        <v>659</v>
      </c>
      <c r="AB318" s="3">
        <v>551</v>
      </c>
      <c r="AC318" s="3">
        <v>1505</v>
      </c>
      <c r="AD318" s="3">
        <v>5</v>
      </c>
      <c r="AE318" s="3">
        <v>17</v>
      </c>
      <c r="AF318" s="3">
        <v>44</v>
      </c>
      <c r="AG318" s="3">
        <v>79</v>
      </c>
      <c r="AH318" s="3">
        <v>13</v>
      </c>
      <c r="AI318" s="3">
        <v>23</v>
      </c>
      <c r="AJ318" s="3">
        <v>4</v>
      </c>
      <c r="AK318" s="3">
        <v>11</v>
      </c>
      <c r="AL318" s="3">
        <v>12</v>
      </c>
      <c r="AM318" s="3">
        <v>20</v>
      </c>
      <c r="AN318" s="3">
        <v>1</v>
      </c>
      <c r="AO318" s="3">
        <v>13</v>
      </c>
      <c r="AP318" s="3">
        <v>21</v>
      </c>
      <c r="AQ318" s="3">
        <v>24</v>
      </c>
      <c r="AR318" s="2" t="s">
        <v>8</v>
      </c>
      <c r="AS318" s="2" t="s">
        <v>6</v>
      </c>
      <c r="AT318" s="5" t="str">
        <f>HYPERLINK("http://catalog.hathitrust.org/Record/000916655","HathiTrust Record")</f>
        <v>HathiTrust Record</v>
      </c>
      <c r="AU318" s="5" t="str">
        <f>HYPERLINK("https://creighton-primo.hosted.exlibrisgroup.com/primo-explore/search?tab=default_tab&amp;search_scope=EVERYTHING&amp;vid=01CRU&amp;lang=en_US&amp;offset=0&amp;query=any,contains,991001536509702656","Catalog Record")</f>
        <v>Catalog Record</v>
      </c>
      <c r="AV318" s="5" t="str">
        <f>HYPERLINK("http://www.worldcat.org/oclc/13947684","WorldCat Record")</f>
        <v>WorldCat Record</v>
      </c>
      <c r="AW318" s="2" t="s">
        <v>4115</v>
      </c>
      <c r="AX318" s="2" t="s">
        <v>4116</v>
      </c>
      <c r="AY318" s="2" t="s">
        <v>4117</v>
      </c>
      <c r="AZ318" s="2" t="s">
        <v>4117</v>
      </c>
      <c r="BA318" s="2" t="s">
        <v>4118</v>
      </c>
      <c r="BB318" s="2" t="s">
        <v>21</v>
      </c>
      <c r="BD318" s="2" t="s">
        <v>4119</v>
      </c>
      <c r="BE318" s="2" t="s">
        <v>4120</v>
      </c>
      <c r="BF318" s="2" t="s">
        <v>4121</v>
      </c>
    </row>
    <row r="319" spans="1:58" ht="42.75" customHeight="1" x14ac:dyDescent="0.25">
      <c r="A319" s="8" t="s">
        <v>8</v>
      </c>
      <c r="B319" s="1" t="s">
        <v>0</v>
      </c>
      <c r="C319" s="1" t="s">
        <v>1</v>
      </c>
      <c r="D319" s="1" t="s">
        <v>4122</v>
      </c>
      <c r="E319" s="1" t="s">
        <v>4123</v>
      </c>
      <c r="F319" s="1" t="s">
        <v>4124</v>
      </c>
      <c r="H319" s="2" t="s">
        <v>8</v>
      </c>
      <c r="I319" s="2" t="s">
        <v>7</v>
      </c>
      <c r="J319" s="2" t="s">
        <v>6</v>
      </c>
      <c r="K319" s="2" t="s">
        <v>8</v>
      </c>
      <c r="L319" s="2" t="s">
        <v>9</v>
      </c>
      <c r="M319" s="1" t="s">
        <v>4125</v>
      </c>
      <c r="N319" s="1" t="s">
        <v>4126</v>
      </c>
      <c r="O319" s="2" t="s">
        <v>224</v>
      </c>
      <c r="Q319" s="2" t="s">
        <v>12</v>
      </c>
      <c r="R319" s="2" t="s">
        <v>34</v>
      </c>
      <c r="T319" s="2" t="s">
        <v>14</v>
      </c>
      <c r="U319" s="3">
        <v>9</v>
      </c>
      <c r="V319" s="3">
        <v>9</v>
      </c>
      <c r="W319" s="4" t="s">
        <v>4127</v>
      </c>
      <c r="X319" s="4" t="s">
        <v>4127</v>
      </c>
      <c r="Y319" s="4" t="s">
        <v>4128</v>
      </c>
      <c r="Z319" s="4" t="s">
        <v>4128</v>
      </c>
      <c r="AA319" s="3">
        <v>451</v>
      </c>
      <c r="AB319" s="3">
        <v>384</v>
      </c>
      <c r="AC319" s="3">
        <v>388</v>
      </c>
      <c r="AD319" s="3">
        <v>5</v>
      </c>
      <c r="AE319" s="3">
        <v>5</v>
      </c>
      <c r="AF319" s="3">
        <v>20</v>
      </c>
      <c r="AG319" s="3">
        <v>20</v>
      </c>
      <c r="AH319" s="3">
        <v>2</v>
      </c>
      <c r="AI319" s="3">
        <v>2</v>
      </c>
      <c r="AJ319" s="3">
        <v>2</v>
      </c>
      <c r="AK319" s="3">
        <v>2</v>
      </c>
      <c r="AL319" s="3">
        <v>5</v>
      </c>
      <c r="AM319" s="3">
        <v>5</v>
      </c>
      <c r="AN319" s="3">
        <v>2</v>
      </c>
      <c r="AO319" s="3">
        <v>2</v>
      </c>
      <c r="AP319" s="3">
        <v>11</v>
      </c>
      <c r="AQ319" s="3">
        <v>11</v>
      </c>
      <c r="AR319" s="2" t="s">
        <v>8</v>
      </c>
      <c r="AS319" s="2" t="s">
        <v>6</v>
      </c>
      <c r="AT319" s="5" t="str">
        <f>HYPERLINK("http://catalog.hathitrust.org/Record/000029533","HathiTrust Record")</f>
        <v>HathiTrust Record</v>
      </c>
      <c r="AU319" s="5" t="str">
        <f>HYPERLINK("https://creighton-primo.hosted.exlibrisgroup.com/primo-explore/search?tab=default_tab&amp;search_scope=EVERYTHING&amp;vid=01CRU&amp;lang=en_US&amp;offset=0&amp;query=any,contains,991001246569702656","Catalog Record")</f>
        <v>Catalog Record</v>
      </c>
      <c r="AV319" s="5" t="str">
        <f>HYPERLINK("http://www.worldcat.org/oclc/5353160","WorldCat Record")</f>
        <v>WorldCat Record</v>
      </c>
      <c r="AW319" s="2" t="s">
        <v>4129</v>
      </c>
      <c r="AX319" s="2" t="s">
        <v>4130</v>
      </c>
      <c r="AY319" s="2" t="s">
        <v>4131</v>
      </c>
      <c r="AZ319" s="2" t="s">
        <v>4131</v>
      </c>
      <c r="BA319" s="2" t="s">
        <v>4132</v>
      </c>
      <c r="BB319" s="2" t="s">
        <v>21</v>
      </c>
      <c r="BD319" s="2" t="s">
        <v>4133</v>
      </c>
      <c r="BE319" s="2" t="s">
        <v>4134</v>
      </c>
      <c r="BF319" s="2" t="s">
        <v>4135</v>
      </c>
    </row>
    <row r="320" spans="1:58" ht="42.75" customHeight="1" x14ac:dyDescent="0.25">
      <c r="A320" s="8" t="s">
        <v>8</v>
      </c>
      <c r="B320" s="1" t="s">
        <v>0</v>
      </c>
      <c r="C320" s="1" t="s">
        <v>1</v>
      </c>
      <c r="D320" s="1" t="s">
        <v>4136</v>
      </c>
      <c r="E320" s="1" t="s">
        <v>4137</v>
      </c>
      <c r="F320" s="1" t="s">
        <v>4138</v>
      </c>
      <c r="H320" s="2" t="s">
        <v>8</v>
      </c>
      <c r="I320" s="2" t="s">
        <v>7</v>
      </c>
      <c r="J320" s="2" t="s">
        <v>8</v>
      </c>
      <c r="K320" s="2" t="s">
        <v>8</v>
      </c>
      <c r="L320" s="2" t="s">
        <v>9</v>
      </c>
      <c r="M320" s="1" t="s">
        <v>4139</v>
      </c>
      <c r="N320" s="1" t="s">
        <v>4140</v>
      </c>
      <c r="O320" s="2" t="s">
        <v>602</v>
      </c>
      <c r="Q320" s="2" t="s">
        <v>12</v>
      </c>
      <c r="R320" s="2" t="s">
        <v>643</v>
      </c>
      <c r="T320" s="2" t="s">
        <v>14</v>
      </c>
      <c r="U320" s="3">
        <v>17</v>
      </c>
      <c r="V320" s="3">
        <v>17</v>
      </c>
      <c r="W320" s="4" t="s">
        <v>734</v>
      </c>
      <c r="X320" s="4" t="s">
        <v>734</v>
      </c>
      <c r="Y320" s="4" t="s">
        <v>4141</v>
      </c>
      <c r="Z320" s="4" t="s">
        <v>4141</v>
      </c>
      <c r="AA320" s="3">
        <v>82</v>
      </c>
      <c r="AB320" s="3">
        <v>40</v>
      </c>
      <c r="AC320" s="3">
        <v>252</v>
      </c>
      <c r="AD320" s="3">
        <v>1</v>
      </c>
      <c r="AE320" s="3">
        <v>2</v>
      </c>
      <c r="AF320" s="3">
        <v>3</v>
      </c>
      <c r="AG320" s="3">
        <v>22</v>
      </c>
      <c r="AH320" s="3">
        <v>2</v>
      </c>
      <c r="AI320" s="3">
        <v>4</v>
      </c>
      <c r="AJ320" s="3">
        <v>1</v>
      </c>
      <c r="AK320" s="3">
        <v>3</v>
      </c>
      <c r="AL320" s="3">
        <v>0</v>
      </c>
      <c r="AM320" s="3">
        <v>5</v>
      </c>
      <c r="AN320" s="3">
        <v>0</v>
      </c>
      <c r="AO320" s="3">
        <v>1</v>
      </c>
      <c r="AP320" s="3">
        <v>1</v>
      </c>
      <c r="AQ320" s="3">
        <v>13</v>
      </c>
      <c r="AR320" s="2" t="s">
        <v>8</v>
      </c>
      <c r="AS320" s="2" t="s">
        <v>8</v>
      </c>
      <c r="AU320" s="5" t="str">
        <f>HYPERLINK("https://creighton-primo.hosted.exlibrisgroup.com/primo-explore/search?tab=default_tab&amp;search_scope=EVERYTHING&amp;vid=01CRU&amp;lang=en_US&amp;offset=0&amp;query=any,contains,991001033979702656","Catalog Record")</f>
        <v>Catalog Record</v>
      </c>
      <c r="AV320" s="5" t="str">
        <f>HYPERLINK("http://www.worldcat.org/oclc/24863635","WorldCat Record")</f>
        <v>WorldCat Record</v>
      </c>
      <c r="AW320" s="2" t="s">
        <v>4142</v>
      </c>
      <c r="AX320" s="2" t="s">
        <v>4143</v>
      </c>
      <c r="AY320" s="2" t="s">
        <v>4144</v>
      </c>
      <c r="AZ320" s="2" t="s">
        <v>4144</v>
      </c>
      <c r="BA320" s="2" t="s">
        <v>4145</v>
      </c>
      <c r="BB320" s="2" t="s">
        <v>21</v>
      </c>
      <c r="BD320" s="2" t="s">
        <v>4146</v>
      </c>
      <c r="BE320" s="2" t="s">
        <v>4147</v>
      </c>
      <c r="BF320" s="2" t="s">
        <v>4148</v>
      </c>
    </row>
    <row r="321" spans="1:58" ht="42.75" customHeight="1" x14ac:dyDescent="0.25">
      <c r="A321" s="8" t="s">
        <v>8</v>
      </c>
      <c r="B321" s="1" t="s">
        <v>0</v>
      </c>
      <c r="C321" s="1" t="s">
        <v>1</v>
      </c>
      <c r="D321" s="1" t="s">
        <v>4149</v>
      </c>
      <c r="E321" s="1" t="s">
        <v>4150</v>
      </c>
      <c r="F321" s="1" t="s">
        <v>4151</v>
      </c>
      <c r="H321" s="2" t="s">
        <v>8</v>
      </c>
      <c r="I321" s="2" t="s">
        <v>7</v>
      </c>
      <c r="J321" s="2" t="s">
        <v>8</v>
      </c>
      <c r="K321" s="2" t="s">
        <v>8</v>
      </c>
      <c r="L321" s="2" t="s">
        <v>9</v>
      </c>
      <c r="M321" s="1" t="s">
        <v>4098</v>
      </c>
      <c r="N321" s="1" t="s">
        <v>4152</v>
      </c>
      <c r="O321" s="2" t="s">
        <v>51</v>
      </c>
      <c r="P321" s="1" t="s">
        <v>83</v>
      </c>
      <c r="Q321" s="2" t="s">
        <v>12</v>
      </c>
      <c r="R321" s="2" t="s">
        <v>34</v>
      </c>
      <c r="T321" s="2" t="s">
        <v>14</v>
      </c>
      <c r="U321" s="3">
        <v>5</v>
      </c>
      <c r="V321" s="3">
        <v>5</v>
      </c>
      <c r="W321" s="4" t="s">
        <v>4153</v>
      </c>
      <c r="X321" s="4" t="s">
        <v>4153</v>
      </c>
      <c r="Y321" s="4" t="s">
        <v>4154</v>
      </c>
      <c r="Z321" s="4" t="s">
        <v>4154</v>
      </c>
      <c r="AA321" s="3">
        <v>230</v>
      </c>
      <c r="AB321" s="3">
        <v>200</v>
      </c>
      <c r="AC321" s="3">
        <v>322</v>
      </c>
      <c r="AD321" s="3">
        <v>2</v>
      </c>
      <c r="AE321" s="3">
        <v>2</v>
      </c>
      <c r="AF321" s="3">
        <v>11</v>
      </c>
      <c r="AG321" s="3">
        <v>17</v>
      </c>
      <c r="AH321" s="3">
        <v>3</v>
      </c>
      <c r="AI321" s="3">
        <v>4</v>
      </c>
      <c r="AJ321" s="3">
        <v>1</v>
      </c>
      <c r="AK321" s="3">
        <v>3</v>
      </c>
      <c r="AL321" s="3">
        <v>3</v>
      </c>
      <c r="AM321" s="3">
        <v>4</v>
      </c>
      <c r="AN321" s="3">
        <v>0</v>
      </c>
      <c r="AO321" s="3">
        <v>0</v>
      </c>
      <c r="AP321" s="3">
        <v>7</v>
      </c>
      <c r="AQ321" s="3">
        <v>9</v>
      </c>
      <c r="AR321" s="2" t="s">
        <v>8</v>
      </c>
      <c r="AS321" s="2" t="s">
        <v>6</v>
      </c>
      <c r="AT321" s="5" t="str">
        <f>HYPERLINK("http://catalog.hathitrust.org/Record/001077068","HathiTrust Record")</f>
        <v>HathiTrust Record</v>
      </c>
      <c r="AU321" s="5" t="str">
        <f>HYPERLINK("https://creighton-primo.hosted.exlibrisgroup.com/primo-explore/search?tab=default_tab&amp;search_scope=EVERYTHING&amp;vid=01CRU&amp;lang=en_US&amp;offset=0&amp;query=any,contains,991001423859702656","Catalog Record")</f>
        <v>Catalog Record</v>
      </c>
      <c r="AV321" s="5" t="str">
        <f>HYPERLINK("http://www.worldcat.org/oclc/17549755","WorldCat Record")</f>
        <v>WorldCat Record</v>
      </c>
      <c r="AW321" s="2" t="s">
        <v>4155</v>
      </c>
      <c r="AX321" s="2" t="s">
        <v>4156</v>
      </c>
      <c r="AY321" s="2" t="s">
        <v>4157</v>
      </c>
      <c r="AZ321" s="2" t="s">
        <v>4157</v>
      </c>
      <c r="BA321" s="2" t="s">
        <v>4158</v>
      </c>
      <c r="BB321" s="2" t="s">
        <v>21</v>
      </c>
      <c r="BD321" s="2" t="s">
        <v>4159</v>
      </c>
      <c r="BE321" s="2" t="s">
        <v>4160</v>
      </c>
      <c r="BF321" s="2" t="s">
        <v>4161</v>
      </c>
    </row>
    <row r="322" spans="1:58" ht="42.75" customHeight="1" x14ac:dyDescent="0.25">
      <c r="A322" s="8" t="s">
        <v>8</v>
      </c>
      <c r="B322" s="1" t="s">
        <v>0</v>
      </c>
      <c r="C322" s="1" t="s">
        <v>1</v>
      </c>
      <c r="D322" s="1" t="s">
        <v>4162</v>
      </c>
      <c r="E322" s="1" t="s">
        <v>4163</v>
      </c>
      <c r="F322" s="1" t="s">
        <v>4164</v>
      </c>
      <c r="H322" s="2" t="s">
        <v>8</v>
      </c>
      <c r="I322" s="2" t="s">
        <v>7</v>
      </c>
      <c r="J322" s="2" t="s">
        <v>8</v>
      </c>
      <c r="K322" s="2" t="s">
        <v>8</v>
      </c>
      <c r="L322" s="2" t="s">
        <v>9</v>
      </c>
      <c r="M322" s="1" t="s">
        <v>4098</v>
      </c>
      <c r="N322" s="1" t="s">
        <v>4165</v>
      </c>
      <c r="O322" s="2" t="s">
        <v>410</v>
      </c>
      <c r="P322" s="1" t="s">
        <v>732</v>
      </c>
      <c r="Q322" s="2" t="s">
        <v>12</v>
      </c>
      <c r="R322" s="2" t="s">
        <v>456</v>
      </c>
      <c r="T322" s="2" t="s">
        <v>14</v>
      </c>
      <c r="U322" s="3">
        <v>11</v>
      </c>
      <c r="V322" s="3">
        <v>11</v>
      </c>
      <c r="W322" s="4" t="s">
        <v>4166</v>
      </c>
      <c r="X322" s="4" t="s">
        <v>4166</v>
      </c>
      <c r="Y322" s="4" t="s">
        <v>2605</v>
      </c>
      <c r="Z322" s="4" t="s">
        <v>2605</v>
      </c>
      <c r="AA322" s="3">
        <v>200</v>
      </c>
      <c r="AB322" s="3">
        <v>174</v>
      </c>
      <c r="AC322" s="3">
        <v>179</v>
      </c>
      <c r="AD322" s="3">
        <v>1</v>
      </c>
      <c r="AE322" s="3">
        <v>1</v>
      </c>
      <c r="AF322" s="3">
        <v>4</v>
      </c>
      <c r="AG322" s="3">
        <v>4</v>
      </c>
      <c r="AH322" s="3">
        <v>0</v>
      </c>
      <c r="AI322" s="3">
        <v>0</v>
      </c>
      <c r="AJ322" s="3">
        <v>1</v>
      </c>
      <c r="AK322" s="3">
        <v>1</v>
      </c>
      <c r="AL322" s="3">
        <v>1</v>
      </c>
      <c r="AM322" s="3">
        <v>1</v>
      </c>
      <c r="AN322" s="3">
        <v>0</v>
      </c>
      <c r="AO322" s="3">
        <v>0</v>
      </c>
      <c r="AP322" s="3">
        <v>3</v>
      </c>
      <c r="AQ322" s="3">
        <v>3</v>
      </c>
      <c r="AR322" s="2" t="s">
        <v>8</v>
      </c>
      <c r="AS322" s="2" t="s">
        <v>8</v>
      </c>
      <c r="AU322" s="5" t="str">
        <f>HYPERLINK("https://creighton-primo.hosted.exlibrisgroup.com/primo-explore/search?tab=default_tab&amp;search_scope=EVERYTHING&amp;vid=01CRU&amp;lang=en_US&amp;offset=0&amp;query=any,contains,991001513709702656","Catalog Record")</f>
        <v>Catalog Record</v>
      </c>
      <c r="AV322" s="5" t="str">
        <f>HYPERLINK("http://www.worldcat.org/oclc/27072275","WorldCat Record")</f>
        <v>WorldCat Record</v>
      </c>
      <c r="AW322" s="2" t="s">
        <v>4167</v>
      </c>
      <c r="AX322" s="2" t="s">
        <v>4168</v>
      </c>
      <c r="AY322" s="2" t="s">
        <v>4169</v>
      </c>
      <c r="AZ322" s="2" t="s">
        <v>4169</v>
      </c>
      <c r="BA322" s="2" t="s">
        <v>4170</v>
      </c>
      <c r="BB322" s="2" t="s">
        <v>21</v>
      </c>
      <c r="BD322" s="2" t="s">
        <v>4171</v>
      </c>
      <c r="BE322" s="2" t="s">
        <v>4172</v>
      </c>
      <c r="BF322" s="2" t="s">
        <v>4173</v>
      </c>
    </row>
    <row r="323" spans="1:58" ht="42.75" customHeight="1" x14ac:dyDescent="0.25">
      <c r="A323" s="8" t="s">
        <v>8</v>
      </c>
      <c r="B323" s="1" t="s">
        <v>0</v>
      </c>
      <c r="C323" s="1" t="s">
        <v>1</v>
      </c>
      <c r="D323" s="1" t="s">
        <v>4174</v>
      </c>
      <c r="E323" s="1" t="s">
        <v>4175</v>
      </c>
      <c r="F323" s="1" t="s">
        <v>4176</v>
      </c>
      <c r="H323" s="2" t="s">
        <v>8</v>
      </c>
      <c r="I323" s="2" t="s">
        <v>7</v>
      </c>
      <c r="J323" s="2" t="s">
        <v>8</v>
      </c>
      <c r="K323" s="2" t="s">
        <v>8</v>
      </c>
      <c r="L323" s="2" t="s">
        <v>9</v>
      </c>
      <c r="M323" s="1" t="s">
        <v>4177</v>
      </c>
      <c r="N323" s="1" t="s">
        <v>4178</v>
      </c>
      <c r="O323" s="2" t="s">
        <v>4179</v>
      </c>
      <c r="Q323" s="2" t="s">
        <v>12</v>
      </c>
      <c r="R323" s="2" t="s">
        <v>520</v>
      </c>
      <c r="T323" s="2" t="s">
        <v>14</v>
      </c>
      <c r="U323" s="3">
        <v>1</v>
      </c>
      <c r="V323" s="3">
        <v>1</v>
      </c>
      <c r="W323" s="4" t="s">
        <v>4180</v>
      </c>
      <c r="X323" s="4" t="s">
        <v>4180</v>
      </c>
      <c r="Y323" s="4" t="s">
        <v>2327</v>
      </c>
      <c r="Z323" s="4" t="s">
        <v>2327</v>
      </c>
      <c r="AA323" s="3">
        <v>74</v>
      </c>
      <c r="AB323" s="3">
        <v>63</v>
      </c>
      <c r="AC323" s="3">
        <v>94</v>
      </c>
      <c r="AD323" s="3">
        <v>1</v>
      </c>
      <c r="AE323" s="3">
        <v>1</v>
      </c>
      <c r="AF323" s="3">
        <v>6</v>
      </c>
      <c r="AG323" s="3">
        <v>7</v>
      </c>
      <c r="AH323" s="3">
        <v>0</v>
      </c>
      <c r="AI323" s="3">
        <v>0</v>
      </c>
      <c r="AJ323" s="3">
        <v>0</v>
      </c>
      <c r="AK323" s="3">
        <v>0</v>
      </c>
      <c r="AL323" s="3">
        <v>0</v>
      </c>
      <c r="AM323" s="3">
        <v>1</v>
      </c>
      <c r="AN323" s="3">
        <v>0</v>
      </c>
      <c r="AO323" s="3">
        <v>0</v>
      </c>
      <c r="AP323" s="3">
        <v>6</v>
      </c>
      <c r="AQ323" s="3">
        <v>6</v>
      </c>
      <c r="AR323" s="2" t="s">
        <v>8</v>
      </c>
      <c r="AS323" s="2" t="s">
        <v>6</v>
      </c>
      <c r="AT323" s="5" t="str">
        <f>HYPERLINK("http://catalog.hathitrust.org/Record/002068073","HathiTrust Record")</f>
        <v>HathiTrust Record</v>
      </c>
      <c r="AU323" s="5" t="str">
        <f>HYPERLINK("https://creighton-primo.hosted.exlibrisgroup.com/primo-explore/search?tab=default_tab&amp;search_scope=EVERYTHING&amp;vid=01CRU&amp;lang=en_US&amp;offset=0&amp;query=any,contains,991001180499702656","Catalog Record")</f>
        <v>Catalog Record</v>
      </c>
      <c r="AV323" s="5" t="str">
        <f>HYPERLINK("http://www.worldcat.org/oclc/3353581","WorldCat Record")</f>
        <v>WorldCat Record</v>
      </c>
      <c r="AW323" s="2" t="s">
        <v>4181</v>
      </c>
      <c r="AX323" s="2" t="s">
        <v>4182</v>
      </c>
      <c r="AY323" s="2" t="s">
        <v>4183</v>
      </c>
      <c r="AZ323" s="2" t="s">
        <v>4183</v>
      </c>
      <c r="BA323" s="2" t="s">
        <v>4184</v>
      </c>
      <c r="BB323" s="2" t="s">
        <v>21</v>
      </c>
      <c r="BE323" s="2" t="s">
        <v>4185</v>
      </c>
      <c r="BF323" s="2" t="s">
        <v>4186</v>
      </c>
    </row>
    <row r="324" spans="1:58" ht="42.75" customHeight="1" x14ac:dyDescent="0.25">
      <c r="A324" s="8" t="s">
        <v>8</v>
      </c>
      <c r="B324" s="1" t="s">
        <v>0</v>
      </c>
      <c r="C324" s="1" t="s">
        <v>1</v>
      </c>
      <c r="D324" s="1" t="s">
        <v>4187</v>
      </c>
      <c r="E324" s="1" t="s">
        <v>4188</v>
      </c>
      <c r="F324" s="1" t="s">
        <v>4189</v>
      </c>
      <c r="H324" s="2" t="s">
        <v>8</v>
      </c>
      <c r="I324" s="2" t="s">
        <v>7</v>
      </c>
      <c r="J324" s="2" t="s">
        <v>8</v>
      </c>
      <c r="K324" s="2" t="s">
        <v>8</v>
      </c>
      <c r="L324" s="2" t="s">
        <v>9</v>
      </c>
      <c r="M324" s="1" t="s">
        <v>4190</v>
      </c>
      <c r="N324" s="1" t="s">
        <v>4191</v>
      </c>
      <c r="O324" s="2" t="s">
        <v>627</v>
      </c>
      <c r="P324" s="1" t="s">
        <v>1225</v>
      </c>
      <c r="Q324" s="2" t="s">
        <v>12</v>
      </c>
      <c r="R324" s="2" t="s">
        <v>34</v>
      </c>
      <c r="T324" s="2" t="s">
        <v>14</v>
      </c>
      <c r="U324" s="3">
        <v>9</v>
      </c>
      <c r="V324" s="3">
        <v>9</v>
      </c>
      <c r="W324" s="4" t="s">
        <v>4192</v>
      </c>
      <c r="X324" s="4" t="s">
        <v>4192</v>
      </c>
      <c r="Y324" s="4" t="s">
        <v>4193</v>
      </c>
      <c r="Z324" s="4" t="s">
        <v>4193</v>
      </c>
      <c r="AA324" s="3">
        <v>511</v>
      </c>
      <c r="AB324" s="3">
        <v>464</v>
      </c>
      <c r="AC324" s="3">
        <v>469</v>
      </c>
      <c r="AD324" s="3">
        <v>2</v>
      </c>
      <c r="AE324" s="3">
        <v>2</v>
      </c>
      <c r="AF324" s="3">
        <v>31</v>
      </c>
      <c r="AG324" s="3">
        <v>31</v>
      </c>
      <c r="AH324" s="3">
        <v>4</v>
      </c>
      <c r="AI324" s="3">
        <v>4</v>
      </c>
      <c r="AJ324" s="3">
        <v>5</v>
      </c>
      <c r="AK324" s="3">
        <v>5</v>
      </c>
      <c r="AL324" s="3">
        <v>11</v>
      </c>
      <c r="AM324" s="3">
        <v>11</v>
      </c>
      <c r="AN324" s="3">
        <v>1</v>
      </c>
      <c r="AO324" s="3">
        <v>1</v>
      </c>
      <c r="AP324" s="3">
        <v>13</v>
      </c>
      <c r="AQ324" s="3">
        <v>13</v>
      </c>
      <c r="AR324" s="2" t="s">
        <v>8</v>
      </c>
      <c r="AS324" s="2" t="s">
        <v>6</v>
      </c>
      <c r="AT324" s="5" t="str">
        <f>HYPERLINK("http://catalog.hathitrust.org/Record/001304037","HathiTrust Record")</f>
        <v>HathiTrust Record</v>
      </c>
      <c r="AU324" s="5" t="str">
        <f>HYPERLINK("https://creighton-primo.hosted.exlibrisgroup.com/primo-explore/search?tab=default_tab&amp;search_scope=EVERYTHING&amp;vid=01CRU&amp;lang=en_US&amp;offset=0&amp;query=any,contains,991001317019702656","Catalog Record")</f>
        <v>Catalog Record</v>
      </c>
      <c r="AV324" s="5" t="str">
        <f>HYPERLINK("http://www.worldcat.org/oclc/18589036","WorldCat Record")</f>
        <v>WorldCat Record</v>
      </c>
      <c r="AW324" s="2" t="s">
        <v>4194</v>
      </c>
      <c r="AX324" s="2" t="s">
        <v>4195</v>
      </c>
      <c r="AY324" s="2" t="s">
        <v>4196</v>
      </c>
      <c r="AZ324" s="2" t="s">
        <v>4196</v>
      </c>
      <c r="BA324" s="2" t="s">
        <v>4197</v>
      </c>
      <c r="BB324" s="2" t="s">
        <v>21</v>
      </c>
      <c r="BD324" s="2" t="s">
        <v>4198</v>
      </c>
      <c r="BE324" s="2" t="s">
        <v>4199</v>
      </c>
      <c r="BF324" s="2" t="s">
        <v>4200</v>
      </c>
    </row>
    <row r="325" spans="1:58" ht="42.75" customHeight="1" x14ac:dyDescent="0.25">
      <c r="A325" s="8" t="s">
        <v>8</v>
      </c>
      <c r="B325" s="1" t="s">
        <v>0</v>
      </c>
      <c r="C325" s="1" t="s">
        <v>1</v>
      </c>
      <c r="D325" s="1" t="s">
        <v>4201</v>
      </c>
      <c r="E325" s="1" t="s">
        <v>4202</v>
      </c>
      <c r="F325" s="1" t="s">
        <v>4203</v>
      </c>
      <c r="H325" s="2" t="s">
        <v>8</v>
      </c>
      <c r="I325" s="2" t="s">
        <v>7</v>
      </c>
      <c r="J325" s="2" t="s">
        <v>8</v>
      </c>
      <c r="K325" s="2" t="s">
        <v>8</v>
      </c>
      <c r="L325" s="2" t="s">
        <v>9</v>
      </c>
      <c r="M325" s="1" t="s">
        <v>4204</v>
      </c>
      <c r="N325" s="1" t="s">
        <v>4205</v>
      </c>
      <c r="O325" s="2" t="s">
        <v>627</v>
      </c>
      <c r="Q325" s="2" t="s">
        <v>12</v>
      </c>
      <c r="R325" s="2" t="s">
        <v>34</v>
      </c>
      <c r="T325" s="2" t="s">
        <v>14</v>
      </c>
      <c r="U325" s="3">
        <v>4</v>
      </c>
      <c r="V325" s="3">
        <v>4</v>
      </c>
      <c r="W325" s="4" t="s">
        <v>4206</v>
      </c>
      <c r="X325" s="4" t="s">
        <v>4206</v>
      </c>
      <c r="Y325" s="4" t="s">
        <v>4207</v>
      </c>
      <c r="Z325" s="4" t="s">
        <v>4207</v>
      </c>
      <c r="AA325" s="3">
        <v>562</v>
      </c>
      <c r="AB325" s="3">
        <v>465</v>
      </c>
      <c r="AC325" s="3">
        <v>470</v>
      </c>
      <c r="AD325" s="3">
        <v>2</v>
      </c>
      <c r="AE325" s="3">
        <v>2</v>
      </c>
      <c r="AF325" s="3">
        <v>38</v>
      </c>
      <c r="AG325" s="3">
        <v>38</v>
      </c>
      <c r="AH325" s="3">
        <v>11</v>
      </c>
      <c r="AI325" s="3">
        <v>11</v>
      </c>
      <c r="AJ325" s="3">
        <v>5</v>
      </c>
      <c r="AK325" s="3">
        <v>5</v>
      </c>
      <c r="AL325" s="3">
        <v>17</v>
      </c>
      <c r="AM325" s="3">
        <v>17</v>
      </c>
      <c r="AN325" s="3">
        <v>0</v>
      </c>
      <c r="AO325" s="3">
        <v>0</v>
      </c>
      <c r="AP325" s="3">
        <v>15</v>
      </c>
      <c r="AQ325" s="3">
        <v>15</v>
      </c>
      <c r="AR325" s="2" t="s">
        <v>8</v>
      </c>
      <c r="AS325" s="2" t="s">
        <v>8</v>
      </c>
      <c r="AU325" s="5" t="str">
        <f>HYPERLINK("https://creighton-primo.hosted.exlibrisgroup.com/primo-explore/search?tab=default_tab&amp;search_scope=EVERYTHING&amp;vid=01CRU&amp;lang=en_US&amp;offset=0&amp;query=any,contains,991001445729702656","Catalog Record")</f>
        <v>Catalog Record</v>
      </c>
      <c r="AV325" s="5" t="str">
        <f>HYPERLINK("http://www.worldcat.org/oclc/19125259","WorldCat Record")</f>
        <v>WorldCat Record</v>
      </c>
      <c r="AW325" s="2" t="s">
        <v>4208</v>
      </c>
      <c r="AX325" s="2" t="s">
        <v>4209</v>
      </c>
      <c r="AY325" s="2" t="s">
        <v>4210</v>
      </c>
      <c r="AZ325" s="2" t="s">
        <v>4210</v>
      </c>
      <c r="BA325" s="2" t="s">
        <v>4211</v>
      </c>
      <c r="BB325" s="2" t="s">
        <v>21</v>
      </c>
      <c r="BD325" s="2" t="s">
        <v>4212</v>
      </c>
      <c r="BE325" s="2" t="s">
        <v>4213</v>
      </c>
      <c r="BF325" s="2" t="s">
        <v>4214</v>
      </c>
    </row>
    <row r="326" spans="1:58" ht="42.75" customHeight="1" x14ac:dyDescent="0.25">
      <c r="A326" s="8" t="s">
        <v>8</v>
      </c>
      <c r="B326" s="1" t="s">
        <v>0</v>
      </c>
      <c r="C326" s="1" t="s">
        <v>1</v>
      </c>
      <c r="D326" s="1" t="s">
        <v>4215</v>
      </c>
      <c r="E326" s="1" t="s">
        <v>4216</v>
      </c>
      <c r="F326" s="1" t="s">
        <v>4217</v>
      </c>
      <c r="H326" s="2" t="s">
        <v>8</v>
      </c>
      <c r="I326" s="2" t="s">
        <v>7</v>
      </c>
      <c r="J326" s="2" t="s">
        <v>8</v>
      </c>
      <c r="K326" s="2" t="s">
        <v>8</v>
      </c>
      <c r="L326" s="2" t="s">
        <v>9</v>
      </c>
      <c r="M326" s="1" t="s">
        <v>4218</v>
      </c>
      <c r="N326" s="1" t="s">
        <v>4219</v>
      </c>
      <c r="O326" s="2" t="s">
        <v>252</v>
      </c>
      <c r="Q326" s="2" t="s">
        <v>12</v>
      </c>
      <c r="R326" s="2" t="s">
        <v>1340</v>
      </c>
      <c r="S326" s="1" t="s">
        <v>4220</v>
      </c>
      <c r="T326" s="2" t="s">
        <v>14</v>
      </c>
      <c r="U326" s="3">
        <v>8</v>
      </c>
      <c r="V326" s="3">
        <v>8</v>
      </c>
      <c r="W326" s="4" t="s">
        <v>4221</v>
      </c>
      <c r="X326" s="4" t="s">
        <v>4221</v>
      </c>
      <c r="Y326" s="4" t="s">
        <v>2327</v>
      </c>
      <c r="Z326" s="4" t="s">
        <v>2327</v>
      </c>
      <c r="AA326" s="3">
        <v>212</v>
      </c>
      <c r="AB326" s="3">
        <v>200</v>
      </c>
      <c r="AC326" s="3">
        <v>528</v>
      </c>
      <c r="AD326" s="3">
        <v>2</v>
      </c>
      <c r="AE326" s="3">
        <v>5</v>
      </c>
      <c r="AF326" s="3">
        <v>10</v>
      </c>
      <c r="AG326" s="3">
        <v>24</v>
      </c>
      <c r="AH326" s="3">
        <v>3</v>
      </c>
      <c r="AI326" s="3">
        <v>4</v>
      </c>
      <c r="AJ326" s="3">
        <v>2</v>
      </c>
      <c r="AK326" s="3">
        <v>2</v>
      </c>
      <c r="AL326" s="3">
        <v>2</v>
      </c>
      <c r="AM326" s="3">
        <v>6</v>
      </c>
      <c r="AN326" s="3">
        <v>1</v>
      </c>
      <c r="AO326" s="3">
        <v>3</v>
      </c>
      <c r="AP326" s="3">
        <v>3</v>
      </c>
      <c r="AQ326" s="3">
        <v>11</v>
      </c>
      <c r="AR326" s="2" t="s">
        <v>8</v>
      </c>
      <c r="AS326" s="2" t="s">
        <v>6</v>
      </c>
      <c r="AT326" s="5" t="str">
        <f>HYPERLINK("http://catalog.hathitrust.org/Record/000225572","HathiTrust Record")</f>
        <v>HathiTrust Record</v>
      </c>
      <c r="AU326" s="5" t="str">
        <f>HYPERLINK("https://creighton-primo.hosted.exlibrisgroup.com/primo-explore/search?tab=default_tab&amp;search_scope=EVERYTHING&amp;vid=01CRU&amp;lang=en_US&amp;offset=0&amp;query=any,contains,991001180379702656","Catalog Record")</f>
        <v>Catalog Record</v>
      </c>
      <c r="AV326" s="5" t="str">
        <f>HYPERLINK("http://www.worldcat.org/oclc/7844842","WorldCat Record")</f>
        <v>WorldCat Record</v>
      </c>
      <c r="AW326" s="2" t="s">
        <v>4222</v>
      </c>
      <c r="AX326" s="2" t="s">
        <v>4223</v>
      </c>
      <c r="AY326" s="2" t="s">
        <v>4224</v>
      </c>
      <c r="AZ326" s="2" t="s">
        <v>4224</v>
      </c>
      <c r="BA326" s="2" t="s">
        <v>4225</v>
      </c>
      <c r="BB326" s="2" t="s">
        <v>21</v>
      </c>
      <c r="BD326" s="2" t="s">
        <v>4226</v>
      </c>
      <c r="BE326" s="2" t="s">
        <v>4227</v>
      </c>
      <c r="BF326" s="2" t="s">
        <v>4228</v>
      </c>
    </row>
    <row r="327" spans="1:58" ht="42.75" customHeight="1" x14ac:dyDescent="0.25">
      <c r="A327" s="8" t="s">
        <v>8</v>
      </c>
      <c r="B327" s="1" t="s">
        <v>0</v>
      </c>
      <c r="C327" s="1" t="s">
        <v>1</v>
      </c>
      <c r="D327" s="1" t="s">
        <v>4229</v>
      </c>
      <c r="E327" s="1" t="s">
        <v>4230</v>
      </c>
      <c r="F327" s="1" t="s">
        <v>4231</v>
      </c>
      <c r="H327" s="2" t="s">
        <v>8</v>
      </c>
      <c r="I327" s="2" t="s">
        <v>7</v>
      </c>
      <c r="J327" s="2" t="s">
        <v>8</v>
      </c>
      <c r="K327" s="2" t="s">
        <v>8</v>
      </c>
      <c r="L327" s="2" t="s">
        <v>9</v>
      </c>
      <c r="N327" s="1" t="s">
        <v>4232</v>
      </c>
      <c r="O327" s="2" t="s">
        <v>731</v>
      </c>
      <c r="Q327" s="2" t="s">
        <v>12</v>
      </c>
      <c r="R327" s="2" t="s">
        <v>815</v>
      </c>
      <c r="S327" s="1" t="s">
        <v>4233</v>
      </c>
      <c r="T327" s="2" t="s">
        <v>14</v>
      </c>
      <c r="U327" s="3">
        <v>2</v>
      </c>
      <c r="V327" s="3">
        <v>2</v>
      </c>
      <c r="W327" s="4" t="s">
        <v>2273</v>
      </c>
      <c r="X327" s="4" t="s">
        <v>2273</v>
      </c>
      <c r="Y327" s="4" t="s">
        <v>4234</v>
      </c>
      <c r="Z327" s="4" t="s">
        <v>4234</v>
      </c>
      <c r="AA327" s="3">
        <v>143</v>
      </c>
      <c r="AB327" s="3">
        <v>140</v>
      </c>
      <c r="AC327" s="3">
        <v>140</v>
      </c>
      <c r="AD327" s="3">
        <v>1</v>
      </c>
      <c r="AE327" s="3">
        <v>1</v>
      </c>
      <c r="AF327" s="3">
        <v>13</v>
      </c>
      <c r="AG327" s="3">
        <v>13</v>
      </c>
      <c r="AH327" s="3">
        <v>1</v>
      </c>
      <c r="AI327" s="3">
        <v>1</v>
      </c>
      <c r="AJ327" s="3">
        <v>2</v>
      </c>
      <c r="AK327" s="3">
        <v>2</v>
      </c>
      <c r="AL327" s="3">
        <v>3</v>
      </c>
      <c r="AM327" s="3">
        <v>3</v>
      </c>
      <c r="AN327" s="3">
        <v>0</v>
      </c>
      <c r="AO327" s="3">
        <v>0</v>
      </c>
      <c r="AP327" s="3">
        <v>8</v>
      </c>
      <c r="AQ327" s="3">
        <v>8</v>
      </c>
      <c r="AR327" s="2" t="s">
        <v>8</v>
      </c>
      <c r="AS327" s="2" t="s">
        <v>8</v>
      </c>
      <c r="AU327" s="5" t="str">
        <f>HYPERLINK("https://creighton-primo.hosted.exlibrisgroup.com/primo-explore/search?tab=default_tab&amp;search_scope=EVERYTHING&amp;vid=01CRU&amp;lang=en_US&amp;offset=0&amp;query=any,contains,991001338439702656","Catalog Record")</f>
        <v>Catalog Record</v>
      </c>
      <c r="AV327" s="5" t="str">
        <f>HYPERLINK("http://www.worldcat.org/oclc/38249129","WorldCat Record")</f>
        <v>WorldCat Record</v>
      </c>
      <c r="AW327" s="2" t="s">
        <v>4235</v>
      </c>
      <c r="AX327" s="2" t="s">
        <v>4236</v>
      </c>
      <c r="AY327" s="2" t="s">
        <v>4237</v>
      </c>
      <c r="AZ327" s="2" t="s">
        <v>4237</v>
      </c>
      <c r="BA327" s="2" t="s">
        <v>4238</v>
      </c>
      <c r="BB327" s="2" t="s">
        <v>21</v>
      </c>
      <c r="BD327" s="2" t="s">
        <v>4239</v>
      </c>
      <c r="BE327" s="2" t="s">
        <v>4240</v>
      </c>
      <c r="BF327" s="2" t="s">
        <v>4241</v>
      </c>
    </row>
    <row r="328" spans="1:58" ht="42.75" customHeight="1" x14ac:dyDescent="0.25">
      <c r="A328" s="8" t="s">
        <v>8</v>
      </c>
      <c r="B328" s="1" t="s">
        <v>0</v>
      </c>
      <c r="C328" s="1" t="s">
        <v>1</v>
      </c>
      <c r="D328" s="1" t="s">
        <v>4242</v>
      </c>
      <c r="E328" s="1" t="s">
        <v>4243</v>
      </c>
      <c r="F328" s="1" t="s">
        <v>4244</v>
      </c>
      <c r="H328" s="2" t="s">
        <v>8</v>
      </c>
      <c r="I328" s="2" t="s">
        <v>7</v>
      </c>
      <c r="J328" s="2" t="s">
        <v>8</v>
      </c>
      <c r="K328" s="2" t="s">
        <v>8</v>
      </c>
      <c r="L328" s="2" t="s">
        <v>9</v>
      </c>
      <c r="M328" s="1" t="s">
        <v>4245</v>
      </c>
      <c r="N328" s="1" t="s">
        <v>4246</v>
      </c>
      <c r="O328" s="2" t="s">
        <v>814</v>
      </c>
      <c r="Q328" s="2" t="s">
        <v>12</v>
      </c>
      <c r="R328" s="2" t="s">
        <v>13</v>
      </c>
      <c r="S328" s="1" t="s">
        <v>4247</v>
      </c>
      <c r="T328" s="2" t="s">
        <v>14</v>
      </c>
      <c r="U328" s="3">
        <v>2</v>
      </c>
      <c r="V328" s="3">
        <v>2</v>
      </c>
      <c r="W328" s="4" t="s">
        <v>4248</v>
      </c>
      <c r="X328" s="4" t="s">
        <v>4248</v>
      </c>
      <c r="Y328" s="4" t="s">
        <v>1643</v>
      </c>
      <c r="Z328" s="4" t="s">
        <v>1643</v>
      </c>
      <c r="AA328" s="3">
        <v>9</v>
      </c>
      <c r="AB328" s="3">
        <v>9</v>
      </c>
      <c r="AC328" s="3">
        <v>9</v>
      </c>
      <c r="AD328" s="3">
        <v>1</v>
      </c>
      <c r="AE328" s="3">
        <v>1</v>
      </c>
      <c r="AF328" s="3">
        <v>0</v>
      </c>
      <c r="AG328" s="3">
        <v>0</v>
      </c>
      <c r="AH328" s="3">
        <v>0</v>
      </c>
      <c r="AI328" s="3">
        <v>0</v>
      </c>
      <c r="AJ328" s="3">
        <v>0</v>
      </c>
      <c r="AK328" s="3">
        <v>0</v>
      </c>
      <c r="AL328" s="3">
        <v>0</v>
      </c>
      <c r="AM328" s="3">
        <v>0</v>
      </c>
      <c r="AN328" s="3">
        <v>0</v>
      </c>
      <c r="AO328" s="3">
        <v>0</v>
      </c>
      <c r="AP328" s="3">
        <v>0</v>
      </c>
      <c r="AQ328" s="3">
        <v>0</v>
      </c>
      <c r="AR328" s="2" t="s">
        <v>8</v>
      </c>
      <c r="AS328" s="2" t="s">
        <v>8</v>
      </c>
      <c r="AU328" s="5" t="str">
        <f>HYPERLINK("https://creighton-primo.hosted.exlibrisgroup.com/primo-explore/search?tab=default_tab&amp;search_scope=EVERYTHING&amp;vid=01CRU&amp;lang=en_US&amp;offset=0&amp;query=any,contains,991000397109702656","Catalog Record")</f>
        <v>Catalog Record</v>
      </c>
      <c r="AV328" s="5" t="str">
        <f>HYPERLINK("http://www.worldcat.org/oclc/41482372","WorldCat Record")</f>
        <v>WorldCat Record</v>
      </c>
      <c r="AW328" s="2" t="s">
        <v>4249</v>
      </c>
      <c r="AX328" s="2" t="s">
        <v>4250</v>
      </c>
      <c r="AY328" s="2" t="s">
        <v>4251</v>
      </c>
      <c r="AZ328" s="2" t="s">
        <v>4251</v>
      </c>
      <c r="BA328" s="2" t="s">
        <v>4252</v>
      </c>
      <c r="BB328" s="2" t="s">
        <v>21</v>
      </c>
      <c r="BD328" s="2" t="s">
        <v>4253</v>
      </c>
      <c r="BE328" s="2" t="s">
        <v>4254</v>
      </c>
      <c r="BF328" s="2" t="s">
        <v>4255</v>
      </c>
    </row>
    <row r="329" spans="1:58" ht="42.75" customHeight="1" x14ac:dyDescent="0.25">
      <c r="A329" s="8" t="s">
        <v>8</v>
      </c>
      <c r="B329" s="1" t="s">
        <v>0</v>
      </c>
      <c r="C329" s="1" t="s">
        <v>1</v>
      </c>
      <c r="D329" s="1" t="s">
        <v>4256</v>
      </c>
      <c r="E329" s="1" t="s">
        <v>4257</v>
      </c>
      <c r="F329" s="1" t="s">
        <v>4258</v>
      </c>
      <c r="H329" s="2" t="s">
        <v>8</v>
      </c>
      <c r="I329" s="2" t="s">
        <v>7</v>
      </c>
      <c r="J329" s="2" t="s">
        <v>8</v>
      </c>
      <c r="K329" s="2" t="s">
        <v>8</v>
      </c>
      <c r="L329" s="2" t="s">
        <v>9</v>
      </c>
      <c r="M329" s="1" t="s">
        <v>4259</v>
      </c>
      <c r="N329" s="1" t="s">
        <v>4260</v>
      </c>
      <c r="O329" s="2" t="s">
        <v>642</v>
      </c>
      <c r="Q329" s="2" t="s">
        <v>12</v>
      </c>
      <c r="R329" s="2" t="s">
        <v>1170</v>
      </c>
      <c r="S329" s="1" t="s">
        <v>4261</v>
      </c>
      <c r="T329" s="2" t="s">
        <v>14</v>
      </c>
      <c r="U329" s="3">
        <v>0</v>
      </c>
      <c r="V329" s="3">
        <v>0</v>
      </c>
      <c r="W329" s="4" t="s">
        <v>4262</v>
      </c>
      <c r="X329" s="4" t="s">
        <v>4262</v>
      </c>
      <c r="Y329" s="4" t="s">
        <v>4263</v>
      </c>
      <c r="Z329" s="4" t="s">
        <v>4263</v>
      </c>
      <c r="AA329" s="3">
        <v>200</v>
      </c>
      <c r="AB329" s="3">
        <v>186</v>
      </c>
      <c r="AC329" s="3">
        <v>192</v>
      </c>
      <c r="AD329" s="3">
        <v>2</v>
      </c>
      <c r="AE329" s="3">
        <v>2</v>
      </c>
      <c r="AF329" s="3">
        <v>11</v>
      </c>
      <c r="AG329" s="3">
        <v>11</v>
      </c>
      <c r="AH329" s="3">
        <v>1</v>
      </c>
      <c r="AI329" s="3">
        <v>1</v>
      </c>
      <c r="AJ329" s="3">
        <v>0</v>
      </c>
      <c r="AK329" s="3">
        <v>0</v>
      </c>
      <c r="AL329" s="3">
        <v>1</v>
      </c>
      <c r="AM329" s="3">
        <v>1</v>
      </c>
      <c r="AN329" s="3">
        <v>1</v>
      </c>
      <c r="AO329" s="3">
        <v>1</v>
      </c>
      <c r="AP329" s="3">
        <v>8</v>
      </c>
      <c r="AQ329" s="3">
        <v>8</v>
      </c>
      <c r="AR329" s="2" t="s">
        <v>8</v>
      </c>
      <c r="AS329" s="2" t="s">
        <v>8</v>
      </c>
      <c r="AU329" s="5" t="str">
        <f>HYPERLINK("https://creighton-primo.hosted.exlibrisgroup.com/primo-explore/search?tab=default_tab&amp;search_scope=EVERYTHING&amp;vid=01CRU&amp;lang=en_US&amp;offset=0&amp;query=any,contains,991000441349702656","Catalog Record")</f>
        <v>Catalog Record</v>
      </c>
      <c r="AV329" s="5" t="str">
        <f>HYPERLINK("http://www.worldcat.org/oclc/56013068","WorldCat Record")</f>
        <v>WorldCat Record</v>
      </c>
      <c r="AW329" s="2" t="s">
        <v>4264</v>
      </c>
      <c r="AX329" s="2" t="s">
        <v>4265</v>
      </c>
      <c r="AY329" s="2" t="s">
        <v>4266</v>
      </c>
      <c r="AZ329" s="2" t="s">
        <v>4266</v>
      </c>
      <c r="BA329" s="2" t="s">
        <v>4267</v>
      </c>
      <c r="BB329" s="2" t="s">
        <v>21</v>
      </c>
      <c r="BD329" s="2" t="s">
        <v>4268</v>
      </c>
      <c r="BE329" s="2" t="s">
        <v>4269</v>
      </c>
      <c r="BF329" s="2" t="s">
        <v>4270</v>
      </c>
    </row>
    <row r="330" spans="1:58" ht="42.75" customHeight="1" x14ac:dyDescent="0.25">
      <c r="A330" s="8" t="s">
        <v>8</v>
      </c>
      <c r="B330" s="1" t="s">
        <v>0</v>
      </c>
      <c r="C330" s="1" t="s">
        <v>1</v>
      </c>
      <c r="D330" s="1" t="s">
        <v>4271</v>
      </c>
      <c r="E330" s="1" t="s">
        <v>4272</v>
      </c>
      <c r="F330" s="1" t="s">
        <v>4273</v>
      </c>
      <c r="H330" s="2" t="s">
        <v>8</v>
      </c>
      <c r="I330" s="2" t="s">
        <v>7</v>
      </c>
      <c r="J330" s="2" t="s">
        <v>8</v>
      </c>
      <c r="K330" s="2" t="s">
        <v>8</v>
      </c>
      <c r="L330" s="2" t="s">
        <v>9</v>
      </c>
      <c r="N330" s="1" t="s">
        <v>4274</v>
      </c>
      <c r="O330" s="2" t="s">
        <v>731</v>
      </c>
      <c r="Q330" s="2" t="s">
        <v>12</v>
      </c>
      <c r="R330" s="2" t="s">
        <v>520</v>
      </c>
      <c r="T330" s="2" t="s">
        <v>14</v>
      </c>
      <c r="U330" s="3">
        <v>2</v>
      </c>
      <c r="V330" s="3">
        <v>2</v>
      </c>
      <c r="W330" s="4" t="s">
        <v>4275</v>
      </c>
      <c r="X330" s="4" t="s">
        <v>4275</v>
      </c>
      <c r="Y330" s="4" t="s">
        <v>4101</v>
      </c>
      <c r="Z330" s="4" t="s">
        <v>4101</v>
      </c>
      <c r="AA330" s="3">
        <v>44</v>
      </c>
      <c r="AB330" s="3">
        <v>42</v>
      </c>
      <c r="AC330" s="3">
        <v>44</v>
      </c>
      <c r="AD330" s="3">
        <v>1</v>
      </c>
      <c r="AE330" s="3">
        <v>1</v>
      </c>
      <c r="AF330" s="3">
        <v>5</v>
      </c>
      <c r="AG330" s="3">
        <v>5</v>
      </c>
      <c r="AH330" s="3">
        <v>1</v>
      </c>
      <c r="AI330" s="3">
        <v>1</v>
      </c>
      <c r="AJ330" s="3">
        <v>0</v>
      </c>
      <c r="AK330" s="3">
        <v>0</v>
      </c>
      <c r="AL330" s="3">
        <v>0</v>
      </c>
      <c r="AM330" s="3">
        <v>0</v>
      </c>
      <c r="AN330" s="3">
        <v>0</v>
      </c>
      <c r="AO330" s="3">
        <v>0</v>
      </c>
      <c r="AP330" s="3">
        <v>4</v>
      </c>
      <c r="AQ330" s="3">
        <v>4</v>
      </c>
      <c r="AR330" s="2" t="s">
        <v>8</v>
      </c>
      <c r="AS330" s="2" t="s">
        <v>6</v>
      </c>
      <c r="AT330" s="5" t="str">
        <f>HYPERLINK("http://catalog.hathitrust.org/Record/003957685","HathiTrust Record")</f>
        <v>HathiTrust Record</v>
      </c>
      <c r="AU330" s="5" t="str">
        <f>HYPERLINK("https://creighton-primo.hosted.exlibrisgroup.com/primo-explore/search?tab=default_tab&amp;search_scope=EVERYTHING&amp;vid=01CRU&amp;lang=en_US&amp;offset=0&amp;query=any,contains,991001429439702656","Catalog Record")</f>
        <v>Catalog Record</v>
      </c>
      <c r="AV330" s="5" t="str">
        <f>HYPERLINK("http://www.worldcat.org/oclc/38541061","WorldCat Record")</f>
        <v>WorldCat Record</v>
      </c>
      <c r="AW330" s="2" t="s">
        <v>4276</v>
      </c>
      <c r="AX330" s="2" t="s">
        <v>4277</v>
      </c>
      <c r="AY330" s="2" t="s">
        <v>4278</v>
      </c>
      <c r="AZ330" s="2" t="s">
        <v>4278</v>
      </c>
      <c r="BA330" s="2" t="s">
        <v>4279</v>
      </c>
      <c r="BB330" s="2" t="s">
        <v>21</v>
      </c>
      <c r="BD330" s="2" t="s">
        <v>4280</v>
      </c>
      <c r="BE330" s="2" t="s">
        <v>4281</v>
      </c>
      <c r="BF330" s="2" t="s">
        <v>4282</v>
      </c>
    </row>
    <row r="331" spans="1:58" ht="42.75" customHeight="1" x14ac:dyDescent="0.25">
      <c r="A331" s="8" t="s">
        <v>8</v>
      </c>
      <c r="B331" s="1" t="s">
        <v>0</v>
      </c>
      <c r="C331" s="1" t="s">
        <v>1</v>
      </c>
      <c r="D331" s="1" t="s">
        <v>4283</v>
      </c>
      <c r="E331" s="1" t="s">
        <v>4284</v>
      </c>
      <c r="F331" s="1" t="s">
        <v>4285</v>
      </c>
      <c r="H331" s="2" t="s">
        <v>8</v>
      </c>
      <c r="I331" s="2" t="s">
        <v>7</v>
      </c>
      <c r="J331" s="2" t="s">
        <v>8</v>
      </c>
      <c r="K331" s="2" t="s">
        <v>6</v>
      </c>
      <c r="L331" s="2" t="s">
        <v>9</v>
      </c>
      <c r="M331" s="1" t="s">
        <v>4286</v>
      </c>
      <c r="N331" s="1" t="s">
        <v>4287</v>
      </c>
      <c r="O331" s="2" t="s">
        <v>2044</v>
      </c>
      <c r="P331" s="1" t="s">
        <v>4288</v>
      </c>
      <c r="Q331" s="2" t="s">
        <v>12</v>
      </c>
      <c r="R331" s="2" t="s">
        <v>520</v>
      </c>
      <c r="T331" s="2" t="s">
        <v>14</v>
      </c>
      <c r="U331" s="3">
        <v>5</v>
      </c>
      <c r="V331" s="3">
        <v>5</v>
      </c>
      <c r="W331" s="4" t="s">
        <v>4289</v>
      </c>
      <c r="X331" s="4" t="s">
        <v>4289</v>
      </c>
      <c r="Y331" s="4" t="s">
        <v>4290</v>
      </c>
      <c r="Z331" s="4" t="s">
        <v>4290</v>
      </c>
      <c r="AA331" s="3">
        <v>140</v>
      </c>
      <c r="AB331" s="3">
        <v>127</v>
      </c>
      <c r="AC331" s="3">
        <v>512</v>
      </c>
      <c r="AD331" s="3">
        <v>1</v>
      </c>
      <c r="AE331" s="3">
        <v>4</v>
      </c>
      <c r="AF331" s="3">
        <v>4</v>
      </c>
      <c r="AG331" s="3">
        <v>19</v>
      </c>
      <c r="AH331" s="3">
        <v>1</v>
      </c>
      <c r="AI331" s="3">
        <v>4</v>
      </c>
      <c r="AJ331" s="3">
        <v>1</v>
      </c>
      <c r="AK331" s="3">
        <v>4</v>
      </c>
      <c r="AL331" s="3">
        <v>2</v>
      </c>
      <c r="AM331" s="3">
        <v>6</v>
      </c>
      <c r="AN331" s="3">
        <v>0</v>
      </c>
      <c r="AO331" s="3">
        <v>2</v>
      </c>
      <c r="AP331" s="3">
        <v>2</v>
      </c>
      <c r="AQ331" s="3">
        <v>6</v>
      </c>
      <c r="AR331" s="2" t="s">
        <v>8</v>
      </c>
      <c r="AS331" s="2" t="s">
        <v>8</v>
      </c>
      <c r="AU331" s="5" t="str">
        <f>HYPERLINK("https://creighton-primo.hosted.exlibrisgroup.com/primo-explore/search?tab=default_tab&amp;search_scope=EVERYTHING&amp;vid=01CRU&amp;lang=en_US&amp;offset=0&amp;query=any,contains,991000332319702656","Catalog Record")</f>
        <v>Catalog Record</v>
      </c>
      <c r="AV331" s="5" t="str">
        <f>HYPERLINK("http://www.worldcat.org/oclc/50442133","WorldCat Record")</f>
        <v>WorldCat Record</v>
      </c>
      <c r="AW331" s="2" t="s">
        <v>4291</v>
      </c>
      <c r="AX331" s="2" t="s">
        <v>4292</v>
      </c>
      <c r="AY331" s="2" t="s">
        <v>4293</v>
      </c>
      <c r="AZ331" s="2" t="s">
        <v>4293</v>
      </c>
      <c r="BA331" s="2" t="s">
        <v>4294</v>
      </c>
      <c r="BB331" s="2" t="s">
        <v>21</v>
      </c>
      <c r="BD331" s="2" t="s">
        <v>4295</v>
      </c>
      <c r="BE331" s="2" t="s">
        <v>4296</v>
      </c>
      <c r="BF331" s="2" t="s">
        <v>4297</v>
      </c>
    </row>
    <row r="332" spans="1:58" ht="42.75" customHeight="1" x14ac:dyDescent="0.25">
      <c r="A332" s="8" t="s">
        <v>8</v>
      </c>
      <c r="B332" s="1" t="s">
        <v>0</v>
      </c>
      <c r="C332" s="1" t="s">
        <v>1</v>
      </c>
      <c r="D332" s="1" t="s">
        <v>4298</v>
      </c>
      <c r="E332" s="1" t="s">
        <v>4299</v>
      </c>
      <c r="F332" s="1" t="s">
        <v>4285</v>
      </c>
      <c r="H332" s="2" t="s">
        <v>8</v>
      </c>
      <c r="I332" s="2" t="s">
        <v>7</v>
      </c>
      <c r="J332" s="2" t="s">
        <v>8</v>
      </c>
      <c r="K332" s="2" t="s">
        <v>6</v>
      </c>
      <c r="L332" s="2" t="s">
        <v>9</v>
      </c>
      <c r="M332" s="1" t="s">
        <v>4286</v>
      </c>
      <c r="N332" s="1" t="s">
        <v>4300</v>
      </c>
      <c r="O332" s="2" t="s">
        <v>642</v>
      </c>
      <c r="P332" s="1" t="s">
        <v>4301</v>
      </c>
      <c r="Q332" s="2" t="s">
        <v>12</v>
      </c>
      <c r="R332" s="2" t="s">
        <v>520</v>
      </c>
      <c r="T332" s="2" t="s">
        <v>14</v>
      </c>
      <c r="U332" s="3">
        <v>3</v>
      </c>
      <c r="V332" s="3">
        <v>3</v>
      </c>
      <c r="W332" s="4" t="s">
        <v>4302</v>
      </c>
      <c r="X332" s="4" t="s">
        <v>4302</v>
      </c>
      <c r="Y332" s="4" t="s">
        <v>4303</v>
      </c>
      <c r="Z332" s="4" t="s">
        <v>4303</v>
      </c>
      <c r="AA332" s="3">
        <v>166</v>
      </c>
      <c r="AB332" s="3">
        <v>154</v>
      </c>
      <c r="AC332" s="3">
        <v>512</v>
      </c>
      <c r="AD332" s="3">
        <v>2</v>
      </c>
      <c r="AE332" s="3">
        <v>4</v>
      </c>
      <c r="AF332" s="3">
        <v>9</v>
      </c>
      <c r="AG332" s="3">
        <v>19</v>
      </c>
      <c r="AH332" s="3">
        <v>1</v>
      </c>
      <c r="AI332" s="3">
        <v>4</v>
      </c>
      <c r="AJ332" s="3">
        <v>2</v>
      </c>
      <c r="AK332" s="3">
        <v>4</v>
      </c>
      <c r="AL332" s="3">
        <v>3</v>
      </c>
      <c r="AM332" s="3">
        <v>6</v>
      </c>
      <c r="AN332" s="3">
        <v>1</v>
      </c>
      <c r="AO332" s="3">
        <v>2</v>
      </c>
      <c r="AP332" s="3">
        <v>2</v>
      </c>
      <c r="AQ332" s="3">
        <v>6</v>
      </c>
      <c r="AR332" s="2" t="s">
        <v>8</v>
      </c>
      <c r="AS332" s="2" t="s">
        <v>8</v>
      </c>
      <c r="AU332" s="5" t="str">
        <f>HYPERLINK("https://creighton-primo.hosted.exlibrisgroup.com/primo-explore/search?tab=default_tab&amp;search_scope=EVERYTHING&amp;vid=01CRU&amp;lang=en_US&amp;offset=0&amp;query=any,contains,991000400989702656","Catalog Record")</f>
        <v>Catalog Record</v>
      </c>
      <c r="AV332" s="5" t="str">
        <f>HYPERLINK("http://www.worldcat.org/oclc/56335718","WorldCat Record")</f>
        <v>WorldCat Record</v>
      </c>
      <c r="AW332" s="2" t="s">
        <v>4291</v>
      </c>
      <c r="AX332" s="2" t="s">
        <v>4304</v>
      </c>
      <c r="AY332" s="2" t="s">
        <v>4305</v>
      </c>
      <c r="AZ332" s="2" t="s">
        <v>4305</v>
      </c>
      <c r="BA332" s="2" t="s">
        <v>4306</v>
      </c>
      <c r="BB332" s="2" t="s">
        <v>21</v>
      </c>
      <c r="BE332" s="2" t="s">
        <v>4307</v>
      </c>
      <c r="BF332" s="2" t="s">
        <v>4308</v>
      </c>
    </row>
    <row r="333" spans="1:58" ht="42.75" customHeight="1" x14ac:dyDescent="0.25">
      <c r="A333" s="8" t="s">
        <v>8</v>
      </c>
      <c r="B333" s="1" t="s">
        <v>0</v>
      </c>
      <c r="C333" s="1" t="s">
        <v>1</v>
      </c>
      <c r="D333" s="1" t="s">
        <v>4309</v>
      </c>
      <c r="E333" s="1" t="s">
        <v>4310</v>
      </c>
      <c r="F333" s="1" t="s">
        <v>4311</v>
      </c>
      <c r="H333" s="2" t="s">
        <v>8</v>
      </c>
      <c r="I333" s="2" t="s">
        <v>7</v>
      </c>
      <c r="J333" s="2" t="s">
        <v>8</v>
      </c>
      <c r="K333" s="2" t="s">
        <v>8</v>
      </c>
      <c r="L333" s="2" t="s">
        <v>9</v>
      </c>
      <c r="M333" s="1" t="s">
        <v>4312</v>
      </c>
      <c r="N333" s="1" t="s">
        <v>4313</v>
      </c>
      <c r="O333" s="2" t="s">
        <v>874</v>
      </c>
      <c r="P333" s="1" t="s">
        <v>2031</v>
      </c>
      <c r="Q333" s="2" t="s">
        <v>12</v>
      </c>
      <c r="R333" s="2" t="s">
        <v>456</v>
      </c>
      <c r="T333" s="2" t="s">
        <v>14</v>
      </c>
      <c r="U333" s="3">
        <v>2</v>
      </c>
      <c r="V333" s="3">
        <v>2</v>
      </c>
      <c r="W333" s="4" t="s">
        <v>4314</v>
      </c>
      <c r="X333" s="4" t="s">
        <v>4314</v>
      </c>
      <c r="Y333" s="4" t="s">
        <v>4315</v>
      </c>
      <c r="Z333" s="4" t="s">
        <v>4315</v>
      </c>
      <c r="AA333" s="3">
        <v>64</v>
      </c>
      <c r="AB333" s="3">
        <v>56</v>
      </c>
      <c r="AC333" s="3">
        <v>553</v>
      </c>
      <c r="AD333" s="3">
        <v>1</v>
      </c>
      <c r="AE333" s="3">
        <v>2</v>
      </c>
      <c r="AF333" s="3">
        <v>0</v>
      </c>
      <c r="AG333" s="3">
        <v>1</v>
      </c>
      <c r="AH333" s="3">
        <v>0</v>
      </c>
      <c r="AI333" s="3">
        <v>0</v>
      </c>
      <c r="AJ333" s="3">
        <v>0</v>
      </c>
      <c r="AK333" s="3">
        <v>0</v>
      </c>
      <c r="AL333" s="3">
        <v>0</v>
      </c>
      <c r="AM333" s="3">
        <v>0</v>
      </c>
      <c r="AN333" s="3">
        <v>0</v>
      </c>
      <c r="AO333" s="3">
        <v>1</v>
      </c>
      <c r="AP333" s="3">
        <v>0</v>
      </c>
      <c r="AQ333" s="3">
        <v>0</v>
      </c>
      <c r="AR333" s="2" t="s">
        <v>8</v>
      </c>
      <c r="AS333" s="2" t="s">
        <v>6</v>
      </c>
      <c r="AT333" s="5" t="str">
        <f>HYPERLINK("http://catalog.hathitrust.org/Record/010377062","HathiTrust Record")</f>
        <v>HathiTrust Record</v>
      </c>
      <c r="AU333" s="5" t="str">
        <f>HYPERLINK("https://creighton-primo.hosted.exlibrisgroup.com/primo-explore/search?tab=default_tab&amp;search_scope=EVERYTHING&amp;vid=01CRU&amp;lang=en_US&amp;offset=0&amp;query=any,contains,991001560579702656","Catalog Record")</f>
        <v>Catalog Record</v>
      </c>
      <c r="AV333" s="5" t="str">
        <f>HYPERLINK("http://www.worldcat.org/oclc/35876789","WorldCat Record")</f>
        <v>WorldCat Record</v>
      </c>
      <c r="AW333" s="2" t="s">
        <v>4316</v>
      </c>
      <c r="AX333" s="2" t="s">
        <v>4317</v>
      </c>
      <c r="AY333" s="2" t="s">
        <v>4318</v>
      </c>
      <c r="AZ333" s="2" t="s">
        <v>4318</v>
      </c>
      <c r="BA333" s="2" t="s">
        <v>4319</v>
      </c>
      <c r="BB333" s="2" t="s">
        <v>21</v>
      </c>
      <c r="BD333" s="2" t="s">
        <v>4320</v>
      </c>
      <c r="BE333" s="2" t="s">
        <v>4321</v>
      </c>
      <c r="BF333" s="2" t="s">
        <v>4322</v>
      </c>
    </row>
    <row r="334" spans="1:58" ht="42.75" customHeight="1" x14ac:dyDescent="0.25">
      <c r="A334" s="8" t="s">
        <v>8</v>
      </c>
      <c r="B334" s="1" t="s">
        <v>0</v>
      </c>
      <c r="C334" s="1" t="s">
        <v>1</v>
      </c>
      <c r="D334" s="1" t="s">
        <v>4323</v>
      </c>
      <c r="E334" s="1" t="s">
        <v>4324</v>
      </c>
      <c r="F334" s="1" t="s">
        <v>4325</v>
      </c>
      <c r="H334" s="2" t="s">
        <v>8</v>
      </c>
      <c r="I334" s="2" t="s">
        <v>7</v>
      </c>
      <c r="J334" s="2" t="s">
        <v>8</v>
      </c>
      <c r="K334" s="2" t="s">
        <v>8</v>
      </c>
      <c r="L334" s="2" t="s">
        <v>9</v>
      </c>
      <c r="N334" s="1" t="s">
        <v>4326</v>
      </c>
      <c r="O334" s="2" t="s">
        <v>874</v>
      </c>
      <c r="Q334" s="2" t="s">
        <v>12</v>
      </c>
      <c r="R334" s="2" t="s">
        <v>520</v>
      </c>
      <c r="T334" s="2" t="s">
        <v>14</v>
      </c>
      <c r="U334" s="3">
        <v>0</v>
      </c>
      <c r="V334" s="3">
        <v>0</v>
      </c>
      <c r="W334" s="4" t="s">
        <v>4327</v>
      </c>
      <c r="X334" s="4" t="s">
        <v>4327</v>
      </c>
      <c r="Y334" s="4" t="s">
        <v>4327</v>
      </c>
      <c r="Z334" s="4" t="s">
        <v>4327</v>
      </c>
      <c r="AA334" s="3">
        <v>159</v>
      </c>
      <c r="AB334" s="3">
        <v>154</v>
      </c>
      <c r="AC334" s="3">
        <v>156</v>
      </c>
      <c r="AD334" s="3">
        <v>1</v>
      </c>
      <c r="AE334" s="3">
        <v>1</v>
      </c>
      <c r="AF334" s="3">
        <v>12</v>
      </c>
      <c r="AG334" s="3">
        <v>12</v>
      </c>
      <c r="AH334" s="3">
        <v>1</v>
      </c>
      <c r="AI334" s="3">
        <v>1</v>
      </c>
      <c r="AJ334" s="3">
        <v>3</v>
      </c>
      <c r="AK334" s="3">
        <v>3</v>
      </c>
      <c r="AL334" s="3">
        <v>3</v>
      </c>
      <c r="AM334" s="3">
        <v>3</v>
      </c>
      <c r="AN334" s="3">
        <v>0</v>
      </c>
      <c r="AO334" s="3">
        <v>0</v>
      </c>
      <c r="AP334" s="3">
        <v>8</v>
      </c>
      <c r="AQ334" s="3">
        <v>8</v>
      </c>
      <c r="AR334" s="2" t="s">
        <v>8</v>
      </c>
      <c r="AS334" s="2" t="s">
        <v>6</v>
      </c>
      <c r="AT334" s="5" t="str">
        <f>HYPERLINK("http://catalog.hathitrust.org/Record/004540016","HathiTrust Record")</f>
        <v>HathiTrust Record</v>
      </c>
      <c r="AU334" s="5" t="str">
        <f>HYPERLINK("https://creighton-primo.hosted.exlibrisgroup.com/primo-explore/search?tab=default_tab&amp;search_scope=EVERYTHING&amp;vid=01CRU&amp;lang=en_US&amp;offset=0&amp;query=any,contains,991000381319702656","Catalog Record")</f>
        <v>Catalog Record</v>
      </c>
      <c r="AV334" s="5" t="str">
        <f>HYPERLINK("http://www.worldcat.org/oclc/36589934","WorldCat Record")</f>
        <v>WorldCat Record</v>
      </c>
      <c r="AW334" s="2" t="s">
        <v>4328</v>
      </c>
      <c r="AX334" s="2" t="s">
        <v>4329</v>
      </c>
      <c r="AY334" s="2" t="s">
        <v>4330</v>
      </c>
      <c r="AZ334" s="2" t="s">
        <v>4330</v>
      </c>
      <c r="BA334" s="2" t="s">
        <v>4331</v>
      </c>
      <c r="BB334" s="2" t="s">
        <v>21</v>
      </c>
      <c r="BD334" s="2" t="s">
        <v>4332</v>
      </c>
      <c r="BE334" s="2" t="s">
        <v>4333</v>
      </c>
      <c r="BF334" s="2" t="s">
        <v>4334</v>
      </c>
    </row>
    <row r="335" spans="1:58" ht="42.75" customHeight="1" x14ac:dyDescent="0.25">
      <c r="A335" s="8" t="s">
        <v>8</v>
      </c>
      <c r="B335" s="1" t="s">
        <v>0</v>
      </c>
      <c r="C335" s="1" t="s">
        <v>1</v>
      </c>
      <c r="D335" s="1" t="s">
        <v>4335</v>
      </c>
      <c r="E335" s="1" t="s">
        <v>4336</v>
      </c>
      <c r="F335" s="1" t="s">
        <v>4337</v>
      </c>
      <c r="H335" s="2" t="s">
        <v>8</v>
      </c>
      <c r="I335" s="2" t="s">
        <v>7</v>
      </c>
      <c r="J335" s="2" t="s">
        <v>8</v>
      </c>
      <c r="K335" s="2" t="s">
        <v>6</v>
      </c>
      <c r="L335" s="2" t="s">
        <v>9</v>
      </c>
      <c r="M335" s="1" t="s">
        <v>2971</v>
      </c>
      <c r="O335" s="2" t="s">
        <v>2089</v>
      </c>
      <c r="P335" s="1" t="s">
        <v>4338</v>
      </c>
      <c r="Q335" s="2" t="s">
        <v>12</v>
      </c>
      <c r="R335" s="2" t="s">
        <v>4339</v>
      </c>
      <c r="T335" s="2" t="s">
        <v>14</v>
      </c>
      <c r="U335" s="3">
        <v>2</v>
      </c>
      <c r="V335" s="3">
        <v>2</v>
      </c>
      <c r="W335" s="4" t="s">
        <v>4340</v>
      </c>
      <c r="X335" s="4" t="s">
        <v>4340</v>
      </c>
      <c r="Y335" s="4" t="s">
        <v>4341</v>
      </c>
      <c r="Z335" s="4" t="s">
        <v>4341</v>
      </c>
      <c r="AA335" s="3">
        <v>3</v>
      </c>
      <c r="AB335" s="3">
        <v>3</v>
      </c>
      <c r="AC335" s="3">
        <v>45</v>
      </c>
      <c r="AD335" s="3">
        <v>1</v>
      </c>
      <c r="AE335" s="3">
        <v>1</v>
      </c>
      <c r="AF335" s="3">
        <v>0</v>
      </c>
      <c r="AG335" s="3">
        <v>0</v>
      </c>
      <c r="AH335" s="3">
        <v>0</v>
      </c>
      <c r="AI335" s="3">
        <v>0</v>
      </c>
      <c r="AJ335" s="3">
        <v>0</v>
      </c>
      <c r="AK335" s="3">
        <v>0</v>
      </c>
      <c r="AL335" s="3">
        <v>0</v>
      </c>
      <c r="AM335" s="3">
        <v>0</v>
      </c>
      <c r="AN335" s="3">
        <v>0</v>
      </c>
      <c r="AO335" s="3">
        <v>0</v>
      </c>
      <c r="AP335" s="3">
        <v>0</v>
      </c>
      <c r="AQ335" s="3">
        <v>0</v>
      </c>
      <c r="AR335" s="2" t="s">
        <v>8</v>
      </c>
      <c r="AS335" s="2" t="s">
        <v>8</v>
      </c>
      <c r="AU335" s="5" t="str">
        <f>HYPERLINK("https://creighton-primo.hosted.exlibrisgroup.com/primo-explore/search?tab=default_tab&amp;search_scope=EVERYTHING&amp;vid=01CRU&amp;lang=en_US&amp;offset=0&amp;query=any,contains,991000454319702656","Catalog Record")</f>
        <v>Catalog Record</v>
      </c>
      <c r="AV335" s="5" t="str">
        <f>HYPERLINK("http://www.worldcat.org/oclc/62321501","WorldCat Record")</f>
        <v>WorldCat Record</v>
      </c>
      <c r="AW335" s="2" t="s">
        <v>4342</v>
      </c>
      <c r="AX335" s="2" t="s">
        <v>4343</v>
      </c>
      <c r="AY335" s="2" t="s">
        <v>4344</v>
      </c>
      <c r="AZ335" s="2" t="s">
        <v>4344</v>
      </c>
      <c r="BA335" s="2" t="s">
        <v>4345</v>
      </c>
      <c r="BB335" s="2" t="s">
        <v>21</v>
      </c>
      <c r="BD335" s="2" t="s">
        <v>4346</v>
      </c>
      <c r="BE335" s="2" t="s">
        <v>4347</v>
      </c>
      <c r="BF335" s="2" t="s">
        <v>4348</v>
      </c>
    </row>
    <row r="336" spans="1:58" ht="42.75" customHeight="1" x14ac:dyDescent="0.25">
      <c r="A336" s="8" t="s">
        <v>8</v>
      </c>
      <c r="B336" s="1" t="s">
        <v>0</v>
      </c>
      <c r="C336" s="1" t="s">
        <v>1</v>
      </c>
      <c r="D336" s="1" t="s">
        <v>4349</v>
      </c>
      <c r="E336" s="1" t="s">
        <v>4350</v>
      </c>
      <c r="F336" s="1" t="s">
        <v>4351</v>
      </c>
      <c r="H336" s="2" t="s">
        <v>8</v>
      </c>
      <c r="I336" s="2" t="s">
        <v>7</v>
      </c>
      <c r="J336" s="2" t="s">
        <v>8</v>
      </c>
      <c r="K336" s="2" t="s">
        <v>6</v>
      </c>
      <c r="L336" s="2" t="s">
        <v>9</v>
      </c>
      <c r="N336" s="1" t="s">
        <v>4352</v>
      </c>
      <c r="O336" s="2" t="s">
        <v>602</v>
      </c>
      <c r="P336" s="1" t="s">
        <v>4353</v>
      </c>
      <c r="Q336" s="2" t="s">
        <v>12</v>
      </c>
      <c r="R336" s="2" t="s">
        <v>520</v>
      </c>
      <c r="T336" s="2" t="s">
        <v>14</v>
      </c>
      <c r="U336" s="3">
        <v>2</v>
      </c>
      <c r="V336" s="3">
        <v>2</v>
      </c>
      <c r="W336" s="4" t="s">
        <v>1567</v>
      </c>
      <c r="X336" s="4" t="s">
        <v>1567</v>
      </c>
      <c r="Y336" s="4" t="s">
        <v>1567</v>
      </c>
      <c r="Z336" s="4" t="s">
        <v>1567</v>
      </c>
      <c r="AA336" s="3">
        <v>20</v>
      </c>
      <c r="AB336" s="3">
        <v>20</v>
      </c>
      <c r="AC336" s="3">
        <v>74</v>
      </c>
      <c r="AD336" s="3">
        <v>1</v>
      </c>
      <c r="AE336" s="3">
        <v>1</v>
      </c>
      <c r="AF336" s="3">
        <v>0</v>
      </c>
      <c r="AG336" s="3">
        <v>1</v>
      </c>
      <c r="AH336" s="3">
        <v>0</v>
      </c>
      <c r="AI336" s="3">
        <v>0</v>
      </c>
      <c r="AJ336" s="3">
        <v>0</v>
      </c>
      <c r="AK336" s="3">
        <v>0</v>
      </c>
      <c r="AL336" s="3">
        <v>0</v>
      </c>
      <c r="AM336" s="3">
        <v>0</v>
      </c>
      <c r="AN336" s="3">
        <v>0</v>
      </c>
      <c r="AO336" s="3">
        <v>0</v>
      </c>
      <c r="AP336" s="3">
        <v>0</v>
      </c>
      <c r="AQ336" s="3">
        <v>1</v>
      </c>
      <c r="AR336" s="2" t="s">
        <v>8</v>
      </c>
      <c r="AS336" s="2" t="s">
        <v>8</v>
      </c>
      <c r="AU336" s="5" t="str">
        <f>HYPERLINK("https://creighton-primo.hosted.exlibrisgroup.com/primo-explore/search?tab=default_tab&amp;search_scope=EVERYTHING&amp;vid=01CRU&amp;lang=en_US&amp;offset=0&amp;query=any,contains,991000940399702656","Catalog Record")</f>
        <v>Catalog Record</v>
      </c>
      <c r="AV336" s="5" t="str">
        <f>HYPERLINK("http://www.worldcat.org/oclc/23828613","WorldCat Record")</f>
        <v>WorldCat Record</v>
      </c>
      <c r="AW336" s="2" t="s">
        <v>4354</v>
      </c>
      <c r="AX336" s="2" t="s">
        <v>4355</v>
      </c>
      <c r="AY336" s="2" t="s">
        <v>4356</v>
      </c>
      <c r="AZ336" s="2" t="s">
        <v>4356</v>
      </c>
      <c r="BA336" s="2" t="s">
        <v>4357</v>
      </c>
      <c r="BB336" s="2" t="s">
        <v>21</v>
      </c>
      <c r="BD336" s="2" t="s">
        <v>4358</v>
      </c>
      <c r="BE336" s="2" t="s">
        <v>4359</v>
      </c>
      <c r="BF336" s="2" t="s">
        <v>4360</v>
      </c>
    </row>
    <row r="337" spans="1:58" ht="42.75" customHeight="1" x14ac:dyDescent="0.25">
      <c r="A337" s="8" t="s">
        <v>8</v>
      </c>
      <c r="B337" s="1" t="s">
        <v>0</v>
      </c>
      <c r="C337" s="1" t="s">
        <v>1</v>
      </c>
      <c r="D337" s="1" t="s">
        <v>4361</v>
      </c>
      <c r="E337" s="1" t="s">
        <v>4362</v>
      </c>
      <c r="F337" s="1" t="s">
        <v>4363</v>
      </c>
      <c r="H337" s="2" t="s">
        <v>8</v>
      </c>
      <c r="I337" s="2" t="s">
        <v>7</v>
      </c>
      <c r="J337" s="2" t="s">
        <v>8</v>
      </c>
      <c r="K337" s="2" t="s">
        <v>8</v>
      </c>
      <c r="L337" s="2" t="s">
        <v>9</v>
      </c>
      <c r="M337" s="1" t="s">
        <v>4364</v>
      </c>
      <c r="N337" s="1" t="s">
        <v>4365</v>
      </c>
      <c r="O337" s="2" t="s">
        <v>959</v>
      </c>
      <c r="Q337" s="2" t="s">
        <v>12</v>
      </c>
      <c r="R337" s="2" t="s">
        <v>1340</v>
      </c>
      <c r="T337" s="2" t="s">
        <v>14</v>
      </c>
      <c r="U337" s="3">
        <v>1</v>
      </c>
      <c r="V337" s="3">
        <v>1</v>
      </c>
      <c r="W337" s="4" t="s">
        <v>4366</v>
      </c>
      <c r="X337" s="4" t="s">
        <v>4366</v>
      </c>
      <c r="Y337" s="4" t="s">
        <v>3794</v>
      </c>
      <c r="Z337" s="4" t="s">
        <v>3794</v>
      </c>
      <c r="AA337" s="3">
        <v>8</v>
      </c>
      <c r="AB337" s="3">
        <v>7</v>
      </c>
      <c r="AC337" s="3">
        <v>7</v>
      </c>
      <c r="AD337" s="3">
        <v>1</v>
      </c>
      <c r="AE337" s="3">
        <v>1</v>
      </c>
      <c r="AF337" s="3">
        <v>0</v>
      </c>
      <c r="AG337" s="3">
        <v>0</v>
      </c>
      <c r="AH337" s="3">
        <v>0</v>
      </c>
      <c r="AI337" s="3">
        <v>0</v>
      </c>
      <c r="AJ337" s="3">
        <v>0</v>
      </c>
      <c r="AK337" s="3">
        <v>0</v>
      </c>
      <c r="AL337" s="3">
        <v>0</v>
      </c>
      <c r="AM337" s="3">
        <v>0</v>
      </c>
      <c r="AN337" s="3">
        <v>0</v>
      </c>
      <c r="AO337" s="3">
        <v>0</v>
      </c>
      <c r="AP337" s="3">
        <v>0</v>
      </c>
      <c r="AQ337" s="3">
        <v>0</v>
      </c>
      <c r="AR337" s="2" t="s">
        <v>8</v>
      </c>
      <c r="AS337" s="2" t="s">
        <v>8</v>
      </c>
      <c r="AU337" s="5" t="str">
        <f>HYPERLINK("https://creighton-primo.hosted.exlibrisgroup.com/primo-explore/search?tab=default_tab&amp;search_scope=EVERYTHING&amp;vid=01CRU&amp;lang=en_US&amp;offset=0&amp;query=any,contains,991000535579702656","Catalog Record")</f>
        <v>Catalog Record</v>
      </c>
      <c r="AV337" s="5" t="str">
        <f>HYPERLINK("http://www.worldcat.org/oclc/69333342","WorldCat Record")</f>
        <v>WorldCat Record</v>
      </c>
      <c r="AW337" s="2" t="s">
        <v>4367</v>
      </c>
      <c r="AX337" s="2" t="s">
        <v>4368</v>
      </c>
      <c r="AY337" s="2" t="s">
        <v>4369</v>
      </c>
      <c r="AZ337" s="2" t="s">
        <v>4369</v>
      </c>
      <c r="BA337" s="2" t="s">
        <v>4370</v>
      </c>
      <c r="BB337" s="2" t="s">
        <v>21</v>
      </c>
      <c r="BD337" s="2" t="s">
        <v>4371</v>
      </c>
      <c r="BE337" s="2" t="s">
        <v>4372</v>
      </c>
      <c r="BF337" s="2" t="s">
        <v>4373</v>
      </c>
    </row>
    <row r="338" spans="1:58" ht="42.75" customHeight="1" x14ac:dyDescent="0.25">
      <c r="A338" s="8" t="s">
        <v>8</v>
      </c>
      <c r="B338" s="1" t="s">
        <v>0</v>
      </c>
      <c r="C338" s="1" t="s">
        <v>1</v>
      </c>
      <c r="D338" s="1" t="s">
        <v>4374</v>
      </c>
      <c r="E338" s="1" t="s">
        <v>4375</v>
      </c>
      <c r="F338" s="1" t="s">
        <v>4376</v>
      </c>
      <c r="H338" s="2" t="s">
        <v>8</v>
      </c>
      <c r="I338" s="2" t="s">
        <v>7</v>
      </c>
      <c r="J338" s="2" t="s">
        <v>8</v>
      </c>
      <c r="K338" s="2" t="s">
        <v>8</v>
      </c>
      <c r="L338" s="2" t="s">
        <v>9</v>
      </c>
      <c r="N338" s="1" t="s">
        <v>4377</v>
      </c>
      <c r="O338" s="2" t="s">
        <v>959</v>
      </c>
      <c r="P338" s="1" t="s">
        <v>1225</v>
      </c>
      <c r="Q338" s="2" t="s">
        <v>12</v>
      </c>
      <c r="R338" s="2" t="s">
        <v>815</v>
      </c>
      <c r="T338" s="2" t="s">
        <v>14</v>
      </c>
      <c r="U338" s="3">
        <v>2</v>
      </c>
      <c r="V338" s="3">
        <v>2</v>
      </c>
      <c r="W338" s="4" t="s">
        <v>4378</v>
      </c>
      <c r="X338" s="4" t="s">
        <v>4378</v>
      </c>
      <c r="Y338" s="4" t="s">
        <v>4379</v>
      </c>
      <c r="Z338" s="4" t="s">
        <v>4379</v>
      </c>
      <c r="AA338" s="3">
        <v>23</v>
      </c>
      <c r="AB338" s="3">
        <v>21</v>
      </c>
      <c r="AC338" s="3">
        <v>21</v>
      </c>
      <c r="AD338" s="3">
        <v>1</v>
      </c>
      <c r="AE338" s="3">
        <v>1</v>
      </c>
      <c r="AF338" s="3">
        <v>2</v>
      </c>
      <c r="AG338" s="3">
        <v>2</v>
      </c>
      <c r="AH338" s="3">
        <v>1</v>
      </c>
      <c r="AI338" s="3">
        <v>1</v>
      </c>
      <c r="AJ338" s="3">
        <v>0</v>
      </c>
      <c r="AK338" s="3">
        <v>0</v>
      </c>
      <c r="AL338" s="3">
        <v>0</v>
      </c>
      <c r="AM338" s="3">
        <v>0</v>
      </c>
      <c r="AN338" s="3">
        <v>0</v>
      </c>
      <c r="AO338" s="3">
        <v>0</v>
      </c>
      <c r="AP338" s="3">
        <v>1</v>
      </c>
      <c r="AQ338" s="3">
        <v>1</v>
      </c>
      <c r="AR338" s="2" t="s">
        <v>8</v>
      </c>
      <c r="AS338" s="2" t="s">
        <v>8</v>
      </c>
      <c r="AU338" s="5" t="str">
        <f>HYPERLINK("https://creighton-primo.hosted.exlibrisgroup.com/primo-explore/search?tab=default_tab&amp;search_scope=EVERYTHING&amp;vid=01CRU&amp;lang=en_US&amp;offset=0&amp;query=any,contains,991000584679702656","Catalog Record")</f>
        <v>Catalog Record</v>
      </c>
      <c r="AV338" s="5" t="str">
        <f>HYPERLINK("http://www.worldcat.org/oclc/57193112","WorldCat Record")</f>
        <v>WorldCat Record</v>
      </c>
      <c r="AW338" s="2" t="s">
        <v>4380</v>
      </c>
      <c r="AX338" s="2" t="s">
        <v>4381</v>
      </c>
      <c r="AY338" s="2" t="s">
        <v>4382</v>
      </c>
      <c r="AZ338" s="2" t="s">
        <v>4382</v>
      </c>
      <c r="BA338" s="2" t="s">
        <v>4383</v>
      </c>
      <c r="BB338" s="2" t="s">
        <v>21</v>
      </c>
      <c r="BD338" s="2" t="s">
        <v>4384</v>
      </c>
      <c r="BE338" s="2" t="s">
        <v>4385</v>
      </c>
      <c r="BF338" s="2" t="s">
        <v>4386</v>
      </c>
    </row>
    <row r="339" spans="1:58" ht="42.75" customHeight="1" x14ac:dyDescent="0.25">
      <c r="A339" s="8" t="s">
        <v>8</v>
      </c>
      <c r="B339" s="1" t="s">
        <v>0</v>
      </c>
      <c r="C339" s="1" t="s">
        <v>1</v>
      </c>
      <c r="D339" s="1" t="s">
        <v>4387</v>
      </c>
      <c r="E339" s="1" t="s">
        <v>4388</v>
      </c>
      <c r="F339" s="1" t="s">
        <v>4389</v>
      </c>
      <c r="H339" s="2" t="s">
        <v>8</v>
      </c>
      <c r="I339" s="2" t="s">
        <v>7</v>
      </c>
      <c r="J339" s="2" t="s">
        <v>8</v>
      </c>
      <c r="K339" s="2" t="s">
        <v>6</v>
      </c>
      <c r="L339" s="2" t="s">
        <v>9</v>
      </c>
      <c r="M339" s="1" t="s">
        <v>4390</v>
      </c>
      <c r="N339" s="1" t="s">
        <v>4246</v>
      </c>
      <c r="O339" s="2" t="s">
        <v>814</v>
      </c>
      <c r="P339" s="1" t="s">
        <v>83</v>
      </c>
      <c r="Q339" s="2" t="s">
        <v>12</v>
      </c>
      <c r="R339" s="2" t="s">
        <v>13</v>
      </c>
      <c r="T339" s="2" t="s">
        <v>14</v>
      </c>
      <c r="U339" s="3">
        <v>1</v>
      </c>
      <c r="V339" s="3">
        <v>1</v>
      </c>
      <c r="W339" s="4" t="s">
        <v>3807</v>
      </c>
      <c r="X339" s="4" t="s">
        <v>3807</v>
      </c>
      <c r="Y339" s="4" t="s">
        <v>4391</v>
      </c>
      <c r="Z339" s="4" t="s">
        <v>4391</v>
      </c>
      <c r="AA339" s="3">
        <v>191</v>
      </c>
      <c r="AB339" s="3">
        <v>174</v>
      </c>
      <c r="AC339" s="3">
        <v>236</v>
      </c>
      <c r="AD339" s="3">
        <v>1</v>
      </c>
      <c r="AE339" s="3">
        <v>1</v>
      </c>
      <c r="AF339" s="3">
        <v>13</v>
      </c>
      <c r="AG339" s="3">
        <v>16</v>
      </c>
      <c r="AH339" s="3">
        <v>1</v>
      </c>
      <c r="AI339" s="3">
        <v>3</v>
      </c>
      <c r="AJ339" s="3">
        <v>2</v>
      </c>
      <c r="AK339" s="3">
        <v>2</v>
      </c>
      <c r="AL339" s="3">
        <v>6</v>
      </c>
      <c r="AM339" s="3">
        <v>7</v>
      </c>
      <c r="AN339" s="3">
        <v>0</v>
      </c>
      <c r="AO339" s="3">
        <v>0</v>
      </c>
      <c r="AP339" s="3">
        <v>6</v>
      </c>
      <c r="AQ339" s="3">
        <v>6</v>
      </c>
      <c r="AR339" s="2" t="s">
        <v>8</v>
      </c>
      <c r="AS339" s="2" t="s">
        <v>8</v>
      </c>
      <c r="AU339" s="5" t="str">
        <f>HYPERLINK("https://creighton-primo.hosted.exlibrisgroup.com/primo-explore/search?tab=default_tab&amp;search_scope=EVERYTHING&amp;vid=01CRU&amp;lang=en_US&amp;offset=0&amp;query=any,contains,991000329999702656","Catalog Record")</f>
        <v>Catalog Record</v>
      </c>
      <c r="AV339" s="5" t="str">
        <f>HYPERLINK("http://www.worldcat.org/oclc/39455945","WorldCat Record")</f>
        <v>WorldCat Record</v>
      </c>
      <c r="AW339" s="2" t="s">
        <v>4392</v>
      </c>
      <c r="AX339" s="2" t="s">
        <v>4393</v>
      </c>
      <c r="AY339" s="2" t="s">
        <v>4394</v>
      </c>
      <c r="AZ339" s="2" t="s">
        <v>4394</v>
      </c>
      <c r="BA339" s="2" t="s">
        <v>4395</v>
      </c>
      <c r="BB339" s="2" t="s">
        <v>21</v>
      </c>
      <c r="BD339" s="2" t="s">
        <v>4396</v>
      </c>
      <c r="BE339" s="2" t="s">
        <v>4397</v>
      </c>
      <c r="BF339" s="2" t="s">
        <v>4398</v>
      </c>
    </row>
    <row r="340" spans="1:58" ht="42.75" customHeight="1" x14ac:dyDescent="0.25">
      <c r="A340" s="8" t="s">
        <v>8</v>
      </c>
      <c r="B340" s="1" t="s">
        <v>0</v>
      </c>
      <c r="C340" s="1" t="s">
        <v>1</v>
      </c>
      <c r="D340" s="1" t="s">
        <v>4399</v>
      </c>
      <c r="E340" s="1" t="s">
        <v>4400</v>
      </c>
      <c r="F340" s="1" t="s">
        <v>4401</v>
      </c>
      <c r="H340" s="2" t="s">
        <v>8</v>
      </c>
      <c r="I340" s="2" t="s">
        <v>7</v>
      </c>
      <c r="J340" s="2" t="s">
        <v>8</v>
      </c>
      <c r="K340" s="2" t="s">
        <v>8</v>
      </c>
      <c r="L340" s="2" t="s">
        <v>9</v>
      </c>
      <c r="M340" s="1" t="s">
        <v>4402</v>
      </c>
      <c r="N340" s="1" t="s">
        <v>4403</v>
      </c>
      <c r="O340" s="2" t="s">
        <v>67</v>
      </c>
      <c r="Q340" s="2" t="s">
        <v>12</v>
      </c>
      <c r="R340" s="2" t="s">
        <v>1679</v>
      </c>
      <c r="T340" s="2" t="s">
        <v>14</v>
      </c>
      <c r="U340" s="3">
        <v>3</v>
      </c>
      <c r="V340" s="3">
        <v>3</v>
      </c>
      <c r="W340" s="4" t="s">
        <v>4404</v>
      </c>
      <c r="X340" s="4" t="s">
        <v>4404</v>
      </c>
      <c r="Y340" s="4" t="s">
        <v>4405</v>
      </c>
      <c r="Z340" s="4" t="s">
        <v>4405</v>
      </c>
      <c r="AA340" s="3">
        <v>203</v>
      </c>
      <c r="AB340" s="3">
        <v>197</v>
      </c>
      <c r="AC340" s="3">
        <v>235</v>
      </c>
      <c r="AD340" s="3">
        <v>2</v>
      </c>
      <c r="AE340" s="3">
        <v>2</v>
      </c>
      <c r="AF340" s="3">
        <v>11</v>
      </c>
      <c r="AG340" s="3">
        <v>14</v>
      </c>
      <c r="AH340" s="3">
        <v>2</v>
      </c>
      <c r="AI340" s="3">
        <v>2</v>
      </c>
      <c r="AJ340" s="3">
        <v>1</v>
      </c>
      <c r="AK340" s="3">
        <v>1</v>
      </c>
      <c r="AL340" s="3">
        <v>3</v>
      </c>
      <c r="AM340" s="3">
        <v>3</v>
      </c>
      <c r="AN340" s="3">
        <v>1</v>
      </c>
      <c r="AO340" s="3">
        <v>1</v>
      </c>
      <c r="AP340" s="3">
        <v>4</v>
      </c>
      <c r="AQ340" s="3">
        <v>7</v>
      </c>
      <c r="AR340" s="2" t="s">
        <v>8</v>
      </c>
      <c r="AS340" s="2" t="s">
        <v>6</v>
      </c>
      <c r="AT340" s="5" t="str">
        <f>HYPERLINK("http://catalog.hathitrust.org/Record/000356114","HathiTrust Record")</f>
        <v>HathiTrust Record</v>
      </c>
      <c r="AU340" s="5" t="str">
        <f>HYPERLINK("https://creighton-primo.hosted.exlibrisgroup.com/primo-explore/search?tab=default_tab&amp;search_scope=EVERYTHING&amp;vid=01CRU&amp;lang=en_US&amp;offset=0&amp;query=any,contains,991001179909702656","Catalog Record")</f>
        <v>Catalog Record</v>
      </c>
      <c r="AV340" s="5" t="str">
        <f>HYPERLINK("http://www.worldcat.org/oclc/10876855","WorldCat Record")</f>
        <v>WorldCat Record</v>
      </c>
      <c r="AW340" s="2" t="s">
        <v>4406</v>
      </c>
      <c r="AX340" s="2" t="s">
        <v>4407</v>
      </c>
      <c r="AY340" s="2" t="s">
        <v>4408</v>
      </c>
      <c r="AZ340" s="2" t="s">
        <v>4408</v>
      </c>
      <c r="BA340" s="2" t="s">
        <v>4409</v>
      </c>
      <c r="BB340" s="2" t="s">
        <v>21</v>
      </c>
      <c r="BD340" s="2" t="s">
        <v>4410</v>
      </c>
      <c r="BE340" s="2" t="s">
        <v>4411</v>
      </c>
      <c r="BF340" s="2" t="s">
        <v>4412</v>
      </c>
    </row>
    <row r="341" spans="1:58" ht="42.75" customHeight="1" x14ac:dyDescent="0.25">
      <c r="A341" s="8" t="s">
        <v>8</v>
      </c>
      <c r="B341" s="1" t="s">
        <v>0</v>
      </c>
      <c r="C341" s="1" t="s">
        <v>1</v>
      </c>
      <c r="D341" s="1" t="s">
        <v>4413</v>
      </c>
      <c r="E341" s="1" t="s">
        <v>4414</v>
      </c>
      <c r="F341" s="1" t="s">
        <v>4415</v>
      </c>
      <c r="H341" s="2" t="s">
        <v>8</v>
      </c>
      <c r="I341" s="2" t="s">
        <v>7</v>
      </c>
      <c r="J341" s="2" t="s">
        <v>8</v>
      </c>
      <c r="K341" s="2" t="s">
        <v>8</v>
      </c>
      <c r="L341" s="2" t="s">
        <v>9</v>
      </c>
      <c r="M341" s="1" t="s">
        <v>4402</v>
      </c>
      <c r="N341" s="1" t="s">
        <v>4416</v>
      </c>
      <c r="O341" s="2" t="s">
        <v>298</v>
      </c>
      <c r="Q341" s="2" t="s">
        <v>12</v>
      </c>
      <c r="R341" s="2" t="s">
        <v>34</v>
      </c>
      <c r="T341" s="2" t="s">
        <v>14</v>
      </c>
      <c r="U341" s="3">
        <v>2</v>
      </c>
      <c r="V341" s="3">
        <v>2</v>
      </c>
      <c r="W341" s="4" t="s">
        <v>4404</v>
      </c>
      <c r="X341" s="4" t="s">
        <v>4404</v>
      </c>
      <c r="Y341" s="4" t="s">
        <v>4417</v>
      </c>
      <c r="Z341" s="4" t="s">
        <v>4417</v>
      </c>
      <c r="AA341" s="3">
        <v>166</v>
      </c>
      <c r="AB341" s="3">
        <v>158</v>
      </c>
      <c r="AC341" s="3">
        <v>160</v>
      </c>
      <c r="AD341" s="3">
        <v>1</v>
      </c>
      <c r="AE341" s="3">
        <v>1</v>
      </c>
      <c r="AF341" s="3">
        <v>7</v>
      </c>
      <c r="AG341" s="3">
        <v>7</v>
      </c>
      <c r="AH341" s="3">
        <v>0</v>
      </c>
      <c r="AI341" s="3">
        <v>0</v>
      </c>
      <c r="AJ341" s="3">
        <v>0</v>
      </c>
      <c r="AK341" s="3">
        <v>0</v>
      </c>
      <c r="AL341" s="3">
        <v>1</v>
      </c>
      <c r="AM341" s="3">
        <v>1</v>
      </c>
      <c r="AN341" s="3">
        <v>0</v>
      </c>
      <c r="AO341" s="3">
        <v>0</v>
      </c>
      <c r="AP341" s="3">
        <v>6</v>
      </c>
      <c r="AQ341" s="3">
        <v>6</v>
      </c>
      <c r="AR341" s="2" t="s">
        <v>8</v>
      </c>
      <c r="AS341" s="2" t="s">
        <v>6</v>
      </c>
      <c r="AT341" s="5" t="str">
        <f>HYPERLINK("http://catalog.hathitrust.org/Record/000927851","HathiTrust Record")</f>
        <v>HathiTrust Record</v>
      </c>
      <c r="AU341" s="5" t="str">
        <f>HYPERLINK("https://creighton-primo.hosted.exlibrisgroup.com/primo-explore/search?tab=default_tab&amp;search_scope=EVERYTHING&amp;vid=01CRU&amp;lang=en_US&amp;offset=0&amp;query=any,contains,991001529299702656","Catalog Record")</f>
        <v>Catalog Record</v>
      </c>
      <c r="AV341" s="5" t="str">
        <f>HYPERLINK("http://www.worldcat.org/oclc/13582089","WorldCat Record")</f>
        <v>WorldCat Record</v>
      </c>
      <c r="AW341" s="2" t="s">
        <v>4418</v>
      </c>
      <c r="AX341" s="2" t="s">
        <v>4419</v>
      </c>
      <c r="AY341" s="2" t="s">
        <v>4420</v>
      </c>
      <c r="AZ341" s="2" t="s">
        <v>4420</v>
      </c>
      <c r="BA341" s="2" t="s">
        <v>4421</v>
      </c>
      <c r="BB341" s="2" t="s">
        <v>21</v>
      </c>
      <c r="BD341" s="2" t="s">
        <v>4422</v>
      </c>
      <c r="BE341" s="2" t="s">
        <v>4423</v>
      </c>
      <c r="BF341" s="2" t="s">
        <v>4424</v>
      </c>
    </row>
    <row r="342" spans="1:58" ht="42.75" customHeight="1" x14ac:dyDescent="0.25">
      <c r="A342" s="8" t="s">
        <v>8</v>
      </c>
      <c r="B342" s="1" t="s">
        <v>0</v>
      </c>
      <c r="C342" s="1" t="s">
        <v>1</v>
      </c>
      <c r="D342" s="1" t="s">
        <v>4425</v>
      </c>
      <c r="E342" s="1" t="s">
        <v>4426</v>
      </c>
      <c r="F342" s="1" t="s">
        <v>4427</v>
      </c>
      <c r="H342" s="2" t="s">
        <v>8</v>
      </c>
      <c r="I342" s="2" t="s">
        <v>7</v>
      </c>
      <c r="J342" s="2" t="s">
        <v>8</v>
      </c>
      <c r="K342" s="2" t="s">
        <v>8</v>
      </c>
      <c r="L342" s="2" t="s">
        <v>9</v>
      </c>
      <c r="M342" s="1" t="s">
        <v>715</v>
      </c>
      <c r="N342" s="1" t="s">
        <v>4428</v>
      </c>
      <c r="O342" s="2" t="s">
        <v>266</v>
      </c>
      <c r="Q342" s="2" t="s">
        <v>12</v>
      </c>
      <c r="R342" s="2" t="s">
        <v>34</v>
      </c>
      <c r="T342" s="2" t="s">
        <v>14</v>
      </c>
      <c r="U342" s="3">
        <v>5</v>
      </c>
      <c r="V342" s="3">
        <v>5</v>
      </c>
      <c r="W342" s="4" t="s">
        <v>4061</v>
      </c>
      <c r="X342" s="4" t="s">
        <v>4061</v>
      </c>
      <c r="Y342" s="4" t="s">
        <v>2327</v>
      </c>
      <c r="Z342" s="4" t="s">
        <v>2327</v>
      </c>
      <c r="AA342" s="3">
        <v>136</v>
      </c>
      <c r="AB342" s="3">
        <v>129</v>
      </c>
      <c r="AC342" s="3">
        <v>131</v>
      </c>
      <c r="AD342" s="3">
        <v>1</v>
      </c>
      <c r="AE342" s="3">
        <v>1</v>
      </c>
      <c r="AF342" s="3">
        <v>2</v>
      </c>
      <c r="AG342" s="3">
        <v>2</v>
      </c>
      <c r="AH342" s="3">
        <v>0</v>
      </c>
      <c r="AI342" s="3">
        <v>0</v>
      </c>
      <c r="AJ342" s="3">
        <v>0</v>
      </c>
      <c r="AK342" s="3">
        <v>0</v>
      </c>
      <c r="AL342" s="3">
        <v>0</v>
      </c>
      <c r="AM342" s="3">
        <v>0</v>
      </c>
      <c r="AN342" s="3">
        <v>0</v>
      </c>
      <c r="AO342" s="3">
        <v>0</v>
      </c>
      <c r="AP342" s="3">
        <v>2</v>
      </c>
      <c r="AQ342" s="3">
        <v>2</v>
      </c>
      <c r="AR342" s="2" t="s">
        <v>8</v>
      </c>
      <c r="AS342" s="2" t="s">
        <v>6</v>
      </c>
      <c r="AT342" s="5" t="str">
        <f>HYPERLINK("http://catalog.hathitrust.org/Record/000324488","HathiTrust Record")</f>
        <v>HathiTrust Record</v>
      </c>
      <c r="AU342" s="5" t="str">
        <f>HYPERLINK("https://creighton-primo.hosted.exlibrisgroup.com/primo-explore/search?tab=default_tab&amp;search_scope=EVERYTHING&amp;vid=01CRU&amp;lang=en_US&amp;offset=0&amp;query=any,contains,991001179759702656","Catalog Record")</f>
        <v>Catalog Record</v>
      </c>
      <c r="AV342" s="5" t="str">
        <f>HYPERLINK("http://www.worldcat.org/oclc/9282410","WorldCat Record")</f>
        <v>WorldCat Record</v>
      </c>
      <c r="AW342" s="2" t="s">
        <v>4429</v>
      </c>
      <c r="AX342" s="2" t="s">
        <v>4430</v>
      </c>
      <c r="AY342" s="2" t="s">
        <v>4431</v>
      </c>
      <c r="AZ342" s="2" t="s">
        <v>4431</v>
      </c>
      <c r="BA342" s="2" t="s">
        <v>4432</v>
      </c>
      <c r="BB342" s="2" t="s">
        <v>21</v>
      </c>
      <c r="BD342" s="2" t="s">
        <v>4433</v>
      </c>
      <c r="BE342" s="2" t="s">
        <v>4434</v>
      </c>
      <c r="BF342" s="2" t="s">
        <v>4435</v>
      </c>
    </row>
    <row r="343" spans="1:58" ht="42.75" customHeight="1" x14ac:dyDescent="0.25">
      <c r="A343" s="8" t="s">
        <v>8</v>
      </c>
      <c r="B343" s="1" t="s">
        <v>0</v>
      </c>
      <c r="C343" s="1" t="s">
        <v>1</v>
      </c>
      <c r="D343" s="1" t="s">
        <v>4436</v>
      </c>
      <c r="E343" s="1" t="s">
        <v>4437</v>
      </c>
      <c r="F343" s="1" t="s">
        <v>4438</v>
      </c>
      <c r="H343" s="2" t="s">
        <v>8</v>
      </c>
      <c r="I343" s="2" t="s">
        <v>7</v>
      </c>
      <c r="J343" s="2" t="s">
        <v>6</v>
      </c>
      <c r="K343" s="2" t="s">
        <v>8</v>
      </c>
      <c r="L343" s="2" t="s">
        <v>9</v>
      </c>
      <c r="M343" s="1" t="s">
        <v>4439</v>
      </c>
      <c r="N343" s="1" t="s">
        <v>4440</v>
      </c>
      <c r="O343" s="2" t="s">
        <v>128</v>
      </c>
      <c r="P343" s="1" t="s">
        <v>83</v>
      </c>
      <c r="Q343" s="2" t="s">
        <v>12</v>
      </c>
      <c r="R343" s="2" t="s">
        <v>13</v>
      </c>
      <c r="S343" s="1" t="s">
        <v>4441</v>
      </c>
      <c r="T343" s="2" t="s">
        <v>14</v>
      </c>
      <c r="U343" s="3">
        <v>1</v>
      </c>
      <c r="V343" s="3">
        <v>4</v>
      </c>
      <c r="W343" s="4" t="s">
        <v>4061</v>
      </c>
      <c r="X343" s="4" t="s">
        <v>4442</v>
      </c>
      <c r="Y343" s="4" t="s">
        <v>4443</v>
      </c>
      <c r="Z343" s="4" t="s">
        <v>4444</v>
      </c>
      <c r="AA343" s="3">
        <v>381</v>
      </c>
      <c r="AB343" s="3">
        <v>325</v>
      </c>
      <c r="AC343" s="3">
        <v>498</v>
      </c>
      <c r="AD343" s="3">
        <v>4</v>
      </c>
      <c r="AE343" s="3">
        <v>4</v>
      </c>
      <c r="AF343" s="3">
        <v>27</v>
      </c>
      <c r="AG343" s="3">
        <v>31</v>
      </c>
      <c r="AH343" s="3">
        <v>4</v>
      </c>
      <c r="AI343" s="3">
        <v>6</v>
      </c>
      <c r="AJ343" s="3">
        <v>1</v>
      </c>
      <c r="AK343" s="3">
        <v>1</v>
      </c>
      <c r="AL343" s="3">
        <v>3</v>
      </c>
      <c r="AM343" s="3">
        <v>6</v>
      </c>
      <c r="AN343" s="3">
        <v>1</v>
      </c>
      <c r="AO343" s="3">
        <v>1</v>
      </c>
      <c r="AP343" s="3">
        <v>19</v>
      </c>
      <c r="AQ343" s="3">
        <v>20</v>
      </c>
      <c r="AR343" s="2" t="s">
        <v>8</v>
      </c>
      <c r="AS343" s="2" t="s">
        <v>6</v>
      </c>
      <c r="AT343" s="5" t="str">
        <f>HYPERLINK("http://catalog.hathitrust.org/Record/000089511","HathiTrust Record")</f>
        <v>HathiTrust Record</v>
      </c>
      <c r="AU343" s="5" t="str">
        <f>HYPERLINK("https://creighton-primo.hosted.exlibrisgroup.com/primo-explore/search?tab=default_tab&amp;search_scope=EVERYTHING&amp;vid=01CRU&amp;lang=en_US&amp;offset=0&amp;query=any,contains,991001784809702656","Catalog Record")</f>
        <v>Catalog Record</v>
      </c>
      <c r="AV343" s="5" t="str">
        <f>HYPERLINK("http://www.worldcat.org/oclc/3541830","WorldCat Record")</f>
        <v>WorldCat Record</v>
      </c>
      <c r="AW343" s="2" t="s">
        <v>4445</v>
      </c>
      <c r="AX343" s="2" t="s">
        <v>4446</v>
      </c>
      <c r="AY343" s="2" t="s">
        <v>4447</v>
      </c>
      <c r="AZ343" s="2" t="s">
        <v>4447</v>
      </c>
      <c r="BA343" s="2" t="s">
        <v>4448</v>
      </c>
      <c r="BB343" s="2" t="s">
        <v>21</v>
      </c>
      <c r="BD343" s="2" t="s">
        <v>4449</v>
      </c>
      <c r="BE343" s="2" t="s">
        <v>4450</v>
      </c>
      <c r="BF343" s="2" t="s">
        <v>4451</v>
      </c>
    </row>
    <row r="344" spans="1:58" ht="42.75" customHeight="1" x14ac:dyDescent="0.25">
      <c r="A344" s="8" t="s">
        <v>8</v>
      </c>
      <c r="B344" s="1" t="s">
        <v>0</v>
      </c>
      <c r="C344" s="1" t="s">
        <v>1</v>
      </c>
      <c r="D344" s="1" t="s">
        <v>4452</v>
      </c>
      <c r="E344" s="1" t="s">
        <v>4453</v>
      </c>
      <c r="F344" s="1" t="s">
        <v>4454</v>
      </c>
      <c r="H344" s="2" t="s">
        <v>8</v>
      </c>
      <c r="I344" s="2" t="s">
        <v>7</v>
      </c>
      <c r="J344" s="2" t="s">
        <v>8</v>
      </c>
      <c r="K344" s="2" t="s">
        <v>8</v>
      </c>
      <c r="L344" s="2" t="s">
        <v>9</v>
      </c>
      <c r="N344" s="1" t="s">
        <v>4455</v>
      </c>
      <c r="O344" s="2" t="s">
        <v>51</v>
      </c>
      <c r="Q344" s="2" t="s">
        <v>12</v>
      </c>
      <c r="R344" s="2" t="s">
        <v>34</v>
      </c>
      <c r="T344" s="2" t="s">
        <v>14</v>
      </c>
      <c r="U344" s="3">
        <v>1</v>
      </c>
      <c r="V344" s="3">
        <v>1</v>
      </c>
      <c r="W344" s="4" t="s">
        <v>4456</v>
      </c>
      <c r="X344" s="4" t="s">
        <v>4456</v>
      </c>
      <c r="Y344" s="4" t="s">
        <v>4457</v>
      </c>
      <c r="Z344" s="4" t="s">
        <v>4457</v>
      </c>
      <c r="AA344" s="3">
        <v>38</v>
      </c>
      <c r="AB344" s="3">
        <v>37</v>
      </c>
      <c r="AC344" s="3">
        <v>37</v>
      </c>
      <c r="AD344" s="3">
        <v>1</v>
      </c>
      <c r="AE344" s="3">
        <v>1</v>
      </c>
      <c r="AF344" s="3">
        <v>3</v>
      </c>
      <c r="AG344" s="3">
        <v>3</v>
      </c>
      <c r="AH344" s="3">
        <v>0</v>
      </c>
      <c r="AI344" s="3">
        <v>0</v>
      </c>
      <c r="AJ344" s="3">
        <v>1</v>
      </c>
      <c r="AK344" s="3">
        <v>1</v>
      </c>
      <c r="AL344" s="3">
        <v>0</v>
      </c>
      <c r="AM344" s="3">
        <v>0</v>
      </c>
      <c r="AN344" s="3">
        <v>0</v>
      </c>
      <c r="AO344" s="3">
        <v>0</v>
      </c>
      <c r="AP344" s="3">
        <v>2</v>
      </c>
      <c r="AQ344" s="3">
        <v>2</v>
      </c>
      <c r="AR344" s="2" t="s">
        <v>8</v>
      </c>
      <c r="AS344" s="2" t="s">
        <v>8</v>
      </c>
      <c r="AU344" s="5" t="str">
        <f>HYPERLINK("https://creighton-primo.hosted.exlibrisgroup.com/primo-explore/search?tab=default_tab&amp;search_scope=EVERYTHING&amp;vid=01CRU&amp;lang=en_US&amp;offset=0&amp;query=any,contains,991001540539702656","Catalog Record")</f>
        <v>Catalog Record</v>
      </c>
      <c r="AV344" s="5" t="str">
        <f>HYPERLINK("http://www.worldcat.org/oclc/16277255","WorldCat Record")</f>
        <v>WorldCat Record</v>
      </c>
      <c r="AW344" s="2" t="s">
        <v>4458</v>
      </c>
      <c r="AX344" s="2" t="s">
        <v>4459</v>
      </c>
      <c r="AY344" s="2" t="s">
        <v>4460</v>
      </c>
      <c r="AZ344" s="2" t="s">
        <v>4460</v>
      </c>
      <c r="BA344" s="2" t="s">
        <v>4461</v>
      </c>
      <c r="BB344" s="2" t="s">
        <v>21</v>
      </c>
      <c r="BD344" s="2" t="s">
        <v>4462</v>
      </c>
      <c r="BE344" s="2" t="s">
        <v>4463</v>
      </c>
      <c r="BF344" s="2" t="s">
        <v>4464</v>
      </c>
    </row>
    <row r="345" spans="1:58" ht="42.75" customHeight="1" x14ac:dyDescent="0.25">
      <c r="A345" s="8" t="s">
        <v>8</v>
      </c>
      <c r="B345" s="1" t="s">
        <v>0</v>
      </c>
      <c r="C345" s="1" t="s">
        <v>1</v>
      </c>
      <c r="D345" s="1" t="s">
        <v>4465</v>
      </c>
      <c r="E345" s="1" t="s">
        <v>4466</v>
      </c>
      <c r="F345" s="1" t="s">
        <v>4467</v>
      </c>
      <c r="H345" s="2" t="s">
        <v>8</v>
      </c>
      <c r="I345" s="2" t="s">
        <v>7</v>
      </c>
      <c r="J345" s="2" t="s">
        <v>6</v>
      </c>
      <c r="K345" s="2" t="s">
        <v>6</v>
      </c>
      <c r="L345" s="2" t="s">
        <v>9</v>
      </c>
      <c r="M345" s="1" t="s">
        <v>4468</v>
      </c>
      <c r="N345" s="1" t="s">
        <v>4469</v>
      </c>
      <c r="O345" s="2" t="s">
        <v>1327</v>
      </c>
      <c r="P345" s="1" t="s">
        <v>83</v>
      </c>
      <c r="Q345" s="2" t="s">
        <v>12</v>
      </c>
      <c r="R345" s="2" t="s">
        <v>34</v>
      </c>
      <c r="S345" s="1" t="s">
        <v>4470</v>
      </c>
      <c r="T345" s="2" t="s">
        <v>14</v>
      </c>
      <c r="U345" s="3">
        <v>8</v>
      </c>
      <c r="V345" s="3">
        <v>8</v>
      </c>
      <c r="W345" s="4" t="s">
        <v>4404</v>
      </c>
      <c r="X345" s="4" t="s">
        <v>4404</v>
      </c>
      <c r="Y345" s="4" t="s">
        <v>4471</v>
      </c>
      <c r="Z345" s="4" t="s">
        <v>4471</v>
      </c>
      <c r="AA345" s="3">
        <v>302</v>
      </c>
      <c r="AB345" s="3">
        <v>272</v>
      </c>
      <c r="AC345" s="3">
        <v>372</v>
      </c>
      <c r="AD345" s="3">
        <v>3</v>
      </c>
      <c r="AE345" s="3">
        <v>4</v>
      </c>
      <c r="AF345" s="3">
        <v>20</v>
      </c>
      <c r="AG345" s="3">
        <v>24</v>
      </c>
      <c r="AH345" s="3">
        <v>2</v>
      </c>
      <c r="AI345" s="3">
        <v>3</v>
      </c>
      <c r="AJ345" s="3">
        <v>0</v>
      </c>
      <c r="AK345" s="3">
        <v>0</v>
      </c>
      <c r="AL345" s="3">
        <v>3</v>
      </c>
      <c r="AM345" s="3">
        <v>4</v>
      </c>
      <c r="AN345" s="3">
        <v>0</v>
      </c>
      <c r="AO345" s="3">
        <v>1</v>
      </c>
      <c r="AP345" s="3">
        <v>16</v>
      </c>
      <c r="AQ345" s="3">
        <v>17</v>
      </c>
      <c r="AR345" s="2" t="s">
        <v>8</v>
      </c>
      <c r="AS345" s="2" t="s">
        <v>8</v>
      </c>
      <c r="AU345" s="5" t="str">
        <f>HYPERLINK("https://creighton-primo.hosted.exlibrisgroup.com/primo-explore/search?tab=default_tab&amp;search_scope=EVERYTHING&amp;vid=01CRU&amp;lang=en_US&amp;offset=0&amp;query=any,contains,991000828169702656","Catalog Record")</f>
        <v>Catalog Record</v>
      </c>
      <c r="AV345" s="5" t="str">
        <f>HYPERLINK("http://www.worldcat.org/oclc/13010058","WorldCat Record")</f>
        <v>WorldCat Record</v>
      </c>
      <c r="AW345" s="2" t="s">
        <v>4472</v>
      </c>
      <c r="AX345" s="2" t="s">
        <v>4473</v>
      </c>
      <c r="AY345" s="2" t="s">
        <v>4474</v>
      </c>
      <c r="AZ345" s="2" t="s">
        <v>4474</v>
      </c>
      <c r="BA345" s="2" t="s">
        <v>4475</v>
      </c>
      <c r="BB345" s="2" t="s">
        <v>21</v>
      </c>
      <c r="BD345" s="2" t="s">
        <v>4476</v>
      </c>
      <c r="BE345" s="2" t="s">
        <v>4477</v>
      </c>
      <c r="BF345" s="2" t="s">
        <v>4478</v>
      </c>
    </row>
    <row r="346" spans="1:58" ht="42.75" customHeight="1" x14ac:dyDescent="0.25">
      <c r="A346" s="8" t="s">
        <v>8</v>
      </c>
      <c r="B346" s="1" t="s">
        <v>0</v>
      </c>
      <c r="C346" s="1" t="s">
        <v>1</v>
      </c>
      <c r="D346" s="1" t="s">
        <v>4479</v>
      </c>
      <c r="E346" s="1" t="s">
        <v>4480</v>
      </c>
      <c r="F346" s="1" t="s">
        <v>4481</v>
      </c>
      <c r="H346" s="2" t="s">
        <v>8</v>
      </c>
      <c r="I346" s="2" t="s">
        <v>7</v>
      </c>
      <c r="J346" s="2" t="s">
        <v>8</v>
      </c>
      <c r="K346" s="2" t="s">
        <v>8</v>
      </c>
      <c r="L346" s="2" t="s">
        <v>9</v>
      </c>
      <c r="M346" s="1" t="s">
        <v>4482</v>
      </c>
      <c r="N346" s="1" t="s">
        <v>4483</v>
      </c>
      <c r="O346" s="2" t="s">
        <v>144</v>
      </c>
      <c r="Q346" s="2" t="s">
        <v>12</v>
      </c>
      <c r="R346" s="2" t="s">
        <v>535</v>
      </c>
      <c r="T346" s="2" t="s">
        <v>14</v>
      </c>
      <c r="U346" s="3">
        <v>1</v>
      </c>
      <c r="V346" s="3">
        <v>1</v>
      </c>
      <c r="W346" s="4" t="s">
        <v>4484</v>
      </c>
      <c r="X346" s="4" t="s">
        <v>4484</v>
      </c>
      <c r="Y346" s="4" t="s">
        <v>4443</v>
      </c>
      <c r="Z346" s="4" t="s">
        <v>4443</v>
      </c>
      <c r="AA346" s="3">
        <v>24</v>
      </c>
      <c r="AB346" s="3">
        <v>14</v>
      </c>
      <c r="AC346" s="3">
        <v>14</v>
      </c>
      <c r="AD346" s="3">
        <v>1</v>
      </c>
      <c r="AE346" s="3">
        <v>1</v>
      </c>
      <c r="AF346" s="3">
        <v>0</v>
      </c>
      <c r="AG346" s="3">
        <v>0</v>
      </c>
      <c r="AH346" s="3">
        <v>0</v>
      </c>
      <c r="AI346" s="3">
        <v>0</v>
      </c>
      <c r="AJ346" s="3">
        <v>0</v>
      </c>
      <c r="AK346" s="3">
        <v>0</v>
      </c>
      <c r="AL346" s="3">
        <v>0</v>
      </c>
      <c r="AM346" s="3">
        <v>0</v>
      </c>
      <c r="AN346" s="3">
        <v>0</v>
      </c>
      <c r="AO346" s="3">
        <v>0</v>
      </c>
      <c r="AP346" s="3">
        <v>0</v>
      </c>
      <c r="AQ346" s="3">
        <v>0</v>
      </c>
      <c r="AR346" s="2" t="s">
        <v>8</v>
      </c>
      <c r="AS346" s="2" t="s">
        <v>8</v>
      </c>
      <c r="AU346" s="5" t="str">
        <f>HYPERLINK("https://creighton-primo.hosted.exlibrisgroup.com/primo-explore/search?tab=default_tab&amp;search_scope=EVERYTHING&amp;vid=01CRU&amp;lang=en_US&amp;offset=0&amp;query=any,contains,991001182029702656","Catalog Record")</f>
        <v>Catalog Record</v>
      </c>
      <c r="AV346" s="5" t="str">
        <f>HYPERLINK("http://www.worldcat.org/oclc/856722","WorldCat Record")</f>
        <v>WorldCat Record</v>
      </c>
      <c r="AW346" s="2" t="s">
        <v>4485</v>
      </c>
      <c r="AX346" s="2" t="s">
        <v>4486</v>
      </c>
      <c r="AY346" s="2" t="s">
        <v>4487</v>
      </c>
      <c r="AZ346" s="2" t="s">
        <v>4487</v>
      </c>
      <c r="BA346" s="2" t="s">
        <v>4488</v>
      </c>
      <c r="BB346" s="2" t="s">
        <v>21</v>
      </c>
      <c r="BE346" s="2" t="s">
        <v>4489</v>
      </c>
      <c r="BF346" s="2" t="s">
        <v>4490</v>
      </c>
    </row>
    <row r="347" spans="1:58" ht="42.75" customHeight="1" x14ac:dyDescent="0.25">
      <c r="A347" s="8" t="s">
        <v>8</v>
      </c>
      <c r="B347" s="1" t="s">
        <v>0</v>
      </c>
      <c r="C347" s="1" t="s">
        <v>1</v>
      </c>
      <c r="D347" s="1" t="s">
        <v>4491</v>
      </c>
      <c r="E347" s="1" t="s">
        <v>4492</v>
      </c>
      <c r="F347" s="1" t="s">
        <v>4493</v>
      </c>
      <c r="H347" s="2" t="s">
        <v>8</v>
      </c>
      <c r="I347" s="2" t="s">
        <v>7</v>
      </c>
      <c r="J347" s="2" t="s">
        <v>8</v>
      </c>
      <c r="K347" s="2" t="s">
        <v>8</v>
      </c>
      <c r="L347" s="2" t="s">
        <v>9</v>
      </c>
      <c r="M347" s="1" t="s">
        <v>4494</v>
      </c>
      <c r="N347" s="1" t="s">
        <v>4495</v>
      </c>
      <c r="O347" s="2" t="s">
        <v>1629</v>
      </c>
      <c r="Q347" s="2" t="s">
        <v>12</v>
      </c>
      <c r="R347" s="2" t="s">
        <v>13</v>
      </c>
      <c r="T347" s="2" t="s">
        <v>14</v>
      </c>
      <c r="U347" s="3">
        <v>3</v>
      </c>
      <c r="V347" s="3">
        <v>3</v>
      </c>
      <c r="W347" s="4" t="s">
        <v>4496</v>
      </c>
      <c r="X347" s="4" t="s">
        <v>4496</v>
      </c>
      <c r="Y347" s="4" t="s">
        <v>4443</v>
      </c>
      <c r="Z347" s="4" t="s">
        <v>4443</v>
      </c>
      <c r="AA347" s="3">
        <v>43</v>
      </c>
      <c r="AB347" s="3">
        <v>43</v>
      </c>
      <c r="AC347" s="3">
        <v>88</v>
      </c>
      <c r="AD347" s="3">
        <v>1</v>
      </c>
      <c r="AE347" s="3">
        <v>1</v>
      </c>
      <c r="AF347" s="3">
        <v>1</v>
      </c>
      <c r="AG347" s="3">
        <v>1</v>
      </c>
      <c r="AH347" s="3">
        <v>0</v>
      </c>
      <c r="AI347" s="3">
        <v>0</v>
      </c>
      <c r="AJ347" s="3">
        <v>0</v>
      </c>
      <c r="AK347" s="3">
        <v>0</v>
      </c>
      <c r="AL347" s="3">
        <v>0</v>
      </c>
      <c r="AM347" s="3">
        <v>0</v>
      </c>
      <c r="AN347" s="3">
        <v>0</v>
      </c>
      <c r="AO347" s="3">
        <v>0</v>
      </c>
      <c r="AP347" s="3">
        <v>1</v>
      </c>
      <c r="AQ347" s="3">
        <v>1</v>
      </c>
      <c r="AR347" s="2" t="s">
        <v>8</v>
      </c>
      <c r="AS347" s="2" t="s">
        <v>6</v>
      </c>
      <c r="AT347" s="5" t="str">
        <f>HYPERLINK("http://catalog.hathitrust.org/Record/010579267","HathiTrust Record")</f>
        <v>HathiTrust Record</v>
      </c>
      <c r="AU347" s="5" t="str">
        <f>HYPERLINK("https://creighton-primo.hosted.exlibrisgroup.com/primo-explore/search?tab=default_tab&amp;search_scope=EVERYTHING&amp;vid=01CRU&amp;lang=en_US&amp;offset=0&amp;query=any,contains,991001182069702656","Catalog Record")</f>
        <v>Catalog Record</v>
      </c>
      <c r="AV347" s="5" t="str">
        <f>HYPERLINK("http://www.worldcat.org/oclc/11535033","WorldCat Record")</f>
        <v>WorldCat Record</v>
      </c>
      <c r="AW347" s="2" t="s">
        <v>4497</v>
      </c>
      <c r="AX347" s="2" t="s">
        <v>4498</v>
      </c>
      <c r="AY347" s="2" t="s">
        <v>4499</v>
      </c>
      <c r="AZ347" s="2" t="s">
        <v>4499</v>
      </c>
      <c r="BA347" s="2" t="s">
        <v>4500</v>
      </c>
      <c r="BB347" s="2" t="s">
        <v>21</v>
      </c>
      <c r="BE347" s="2" t="s">
        <v>4501</v>
      </c>
      <c r="BF347" s="2" t="s">
        <v>4502</v>
      </c>
    </row>
    <row r="348" spans="1:58" ht="42.75" customHeight="1" x14ac:dyDescent="0.25">
      <c r="A348" s="8" t="s">
        <v>8</v>
      </c>
      <c r="B348" s="1" t="s">
        <v>0</v>
      </c>
      <c r="C348" s="1" t="s">
        <v>1</v>
      </c>
      <c r="D348" s="1" t="s">
        <v>4503</v>
      </c>
      <c r="E348" s="1" t="s">
        <v>4504</v>
      </c>
      <c r="F348" s="1" t="s">
        <v>4505</v>
      </c>
      <c r="H348" s="2" t="s">
        <v>8</v>
      </c>
      <c r="I348" s="2" t="s">
        <v>7</v>
      </c>
      <c r="J348" s="2" t="s">
        <v>8</v>
      </c>
      <c r="K348" s="2" t="s">
        <v>6</v>
      </c>
      <c r="L348" s="2" t="s">
        <v>9</v>
      </c>
      <c r="M348" s="1" t="s">
        <v>4006</v>
      </c>
      <c r="N348" s="1" t="s">
        <v>4506</v>
      </c>
      <c r="O348" s="2" t="s">
        <v>589</v>
      </c>
      <c r="P348" s="1" t="s">
        <v>761</v>
      </c>
      <c r="Q348" s="2" t="s">
        <v>12</v>
      </c>
      <c r="R348" s="2" t="s">
        <v>34</v>
      </c>
      <c r="T348" s="2" t="s">
        <v>14</v>
      </c>
      <c r="U348" s="3">
        <v>1</v>
      </c>
      <c r="V348" s="3">
        <v>1</v>
      </c>
      <c r="W348" s="4" t="s">
        <v>4507</v>
      </c>
      <c r="X348" s="4" t="s">
        <v>4507</v>
      </c>
      <c r="Y348" s="4" t="s">
        <v>4507</v>
      </c>
      <c r="Z348" s="4" t="s">
        <v>4507</v>
      </c>
      <c r="AA348" s="3">
        <v>332</v>
      </c>
      <c r="AB348" s="3">
        <v>305</v>
      </c>
      <c r="AC348" s="3">
        <v>1362</v>
      </c>
      <c r="AD348" s="3">
        <v>3</v>
      </c>
      <c r="AE348" s="3">
        <v>11</v>
      </c>
      <c r="AF348" s="3">
        <v>16</v>
      </c>
      <c r="AG348" s="3">
        <v>66</v>
      </c>
      <c r="AH348" s="3">
        <v>5</v>
      </c>
      <c r="AI348" s="3">
        <v>18</v>
      </c>
      <c r="AJ348" s="3">
        <v>0</v>
      </c>
      <c r="AK348" s="3">
        <v>8</v>
      </c>
      <c r="AL348" s="3">
        <v>5</v>
      </c>
      <c r="AM348" s="3">
        <v>21</v>
      </c>
      <c r="AN348" s="3">
        <v>1</v>
      </c>
      <c r="AO348" s="3">
        <v>7</v>
      </c>
      <c r="AP348" s="3">
        <v>8</v>
      </c>
      <c r="AQ348" s="3">
        <v>21</v>
      </c>
      <c r="AR348" s="2" t="s">
        <v>8</v>
      </c>
      <c r="AS348" s="2" t="s">
        <v>6</v>
      </c>
      <c r="AT348" s="5" t="str">
        <f>HYPERLINK("http://catalog.hathitrust.org/Record/002205688","HathiTrust Record")</f>
        <v>HathiTrust Record</v>
      </c>
      <c r="AU348" s="5" t="str">
        <f>HYPERLINK("https://creighton-primo.hosted.exlibrisgroup.com/primo-explore/search?tab=default_tab&amp;search_scope=EVERYTHING&amp;vid=01CRU&amp;lang=en_US&amp;offset=0&amp;query=any,contains,991000771819702656","Catalog Record")</f>
        <v>Catalog Record</v>
      </c>
      <c r="AV348" s="5" t="str">
        <f>HYPERLINK("http://www.worldcat.org/oclc/21333630","WorldCat Record")</f>
        <v>WorldCat Record</v>
      </c>
      <c r="AW348" s="2" t="s">
        <v>4010</v>
      </c>
      <c r="AX348" s="2" t="s">
        <v>4508</v>
      </c>
      <c r="AY348" s="2" t="s">
        <v>4509</v>
      </c>
      <c r="AZ348" s="2" t="s">
        <v>4509</v>
      </c>
      <c r="BA348" s="2" t="s">
        <v>4510</v>
      </c>
      <c r="BB348" s="2" t="s">
        <v>21</v>
      </c>
      <c r="BD348" s="2" t="s">
        <v>4511</v>
      </c>
      <c r="BE348" s="2" t="s">
        <v>4512</v>
      </c>
      <c r="BF348" s="2" t="s">
        <v>4513</v>
      </c>
    </row>
    <row r="349" spans="1:58" ht="42.75" customHeight="1" x14ac:dyDescent="0.25">
      <c r="A349" s="8" t="s">
        <v>8</v>
      </c>
      <c r="B349" s="1" t="s">
        <v>0</v>
      </c>
      <c r="C349" s="1" t="s">
        <v>1</v>
      </c>
      <c r="D349" s="1" t="s">
        <v>4514</v>
      </c>
      <c r="E349" s="1" t="s">
        <v>4515</v>
      </c>
      <c r="F349" s="1" t="s">
        <v>4516</v>
      </c>
      <c r="H349" s="2" t="s">
        <v>8</v>
      </c>
      <c r="I349" s="2" t="s">
        <v>7</v>
      </c>
      <c r="J349" s="2" t="s">
        <v>8</v>
      </c>
      <c r="K349" s="2" t="s">
        <v>8</v>
      </c>
      <c r="L349" s="2" t="s">
        <v>9</v>
      </c>
      <c r="M349" s="1" t="s">
        <v>4517</v>
      </c>
      <c r="N349" s="1" t="s">
        <v>4518</v>
      </c>
      <c r="O349" s="2" t="s">
        <v>410</v>
      </c>
      <c r="Q349" s="2" t="s">
        <v>12</v>
      </c>
      <c r="R349" s="2" t="s">
        <v>590</v>
      </c>
      <c r="S349" s="1" t="s">
        <v>4519</v>
      </c>
      <c r="T349" s="2" t="s">
        <v>14</v>
      </c>
      <c r="U349" s="3">
        <v>4</v>
      </c>
      <c r="V349" s="3">
        <v>4</v>
      </c>
      <c r="W349" s="4" t="s">
        <v>4404</v>
      </c>
      <c r="X349" s="4" t="s">
        <v>4404</v>
      </c>
      <c r="Y349" s="4" t="s">
        <v>4520</v>
      </c>
      <c r="Z349" s="4" t="s">
        <v>4520</v>
      </c>
      <c r="AA349" s="3">
        <v>90</v>
      </c>
      <c r="AB349" s="3">
        <v>90</v>
      </c>
      <c r="AC349" s="3">
        <v>90</v>
      </c>
      <c r="AD349" s="3">
        <v>1</v>
      </c>
      <c r="AE349" s="3">
        <v>1</v>
      </c>
      <c r="AF349" s="3">
        <v>0</v>
      </c>
      <c r="AG349" s="3">
        <v>0</v>
      </c>
      <c r="AH349" s="3">
        <v>0</v>
      </c>
      <c r="AI349" s="3">
        <v>0</v>
      </c>
      <c r="AJ349" s="3">
        <v>0</v>
      </c>
      <c r="AK349" s="3">
        <v>0</v>
      </c>
      <c r="AL349" s="3">
        <v>0</v>
      </c>
      <c r="AM349" s="3">
        <v>0</v>
      </c>
      <c r="AN349" s="3">
        <v>0</v>
      </c>
      <c r="AO349" s="3">
        <v>0</v>
      </c>
      <c r="AP349" s="3">
        <v>0</v>
      </c>
      <c r="AQ349" s="3">
        <v>0</v>
      </c>
      <c r="AR349" s="2" t="s">
        <v>8</v>
      </c>
      <c r="AS349" s="2" t="s">
        <v>8</v>
      </c>
      <c r="AU349" s="5" t="str">
        <f>HYPERLINK("https://creighton-primo.hosted.exlibrisgroup.com/primo-explore/search?tab=default_tab&amp;search_scope=EVERYTHING&amp;vid=01CRU&amp;lang=en_US&amp;offset=0&amp;query=any,contains,991001547669702656","Catalog Record")</f>
        <v>Catalog Record</v>
      </c>
      <c r="AV349" s="5" t="str">
        <f>HYPERLINK("http://www.worldcat.org/oclc/28685500","WorldCat Record")</f>
        <v>WorldCat Record</v>
      </c>
      <c r="AW349" s="2" t="s">
        <v>4521</v>
      </c>
      <c r="AX349" s="2" t="s">
        <v>4522</v>
      </c>
      <c r="AY349" s="2" t="s">
        <v>4523</v>
      </c>
      <c r="AZ349" s="2" t="s">
        <v>4523</v>
      </c>
      <c r="BA349" s="2" t="s">
        <v>4524</v>
      </c>
      <c r="BB349" s="2" t="s">
        <v>21</v>
      </c>
      <c r="BD349" s="2" t="s">
        <v>4525</v>
      </c>
      <c r="BE349" s="2" t="s">
        <v>4526</v>
      </c>
      <c r="BF349" s="2" t="s">
        <v>4527</v>
      </c>
    </row>
    <row r="350" spans="1:58" ht="42.75" customHeight="1" x14ac:dyDescent="0.25">
      <c r="A350" s="8" t="s">
        <v>8</v>
      </c>
      <c r="B350" s="1" t="s">
        <v>0</v>
      </c>
      <c r="C350" s="1" t="s">
        <v>1</v>
      </c>
      <c r="D350" s="1" t="s">
        <v>4528</v>
      </c>
      <c r="E350" s="1" t="s">
        <v>4529</v>
      </c>
      <c r="F350" s="1" t="s">
        <v>4530</v>
      </c>
      <c r="H350" s="2" t="s">
        <v>8</v>
      </c>
      <c r="I350" s="2" t="s">
        <v>7</v>
      </c>
      <c r="J350" s="2" t="s">
        <v>8</v>
      </c>
      <c r="K350" s="2" t="s">
        <v>8</v>
      </c>
      <c r="L350" s="2" t="s">
        <v>9</v>
      </c>
      <c r="M350" s="1" t="s">
        <v>4531</v>
      </c>
      <c r="N350" s="1" t="s">
        <v>4532</v>
      </c>
      <c r="O350" s="2" t="s">
        <v>642</v>
      </c>
      <c r="Q350" s="2" t="s">
        <v>12</v>
      </c>
      <c r="R350" s="2" t="s">
        <v>520</v>
      </c>
      <c r="T350" s="2" t="s">
        <v>14</v>
      </c>
      <c r="U350" s="3">
        <v>4</v>
      </c>
      <c r="V350" s="3">
        <v>4</v>
      </c>
      <c r="W350" s="4" t="s">
        <v>4533</v>
      </c>
      <c r="X350" s="4" t="s">
        <v>4533</v>
      </c>
      <c r="Y350" s="4" t="s">
        <v>4534</v>
      </c>
      <c r="Z350" s="4" t="s">
        <v>4534</v>
      </c>
      <c r="AA350" s="3">
        <v>52</v>
      </c>
      <c r="AB350" s="3">
        <v>50</v>
      </c>
      <c r="AC350" s="3">
        <v>96</v>
      </c>
      <c r="AD350" s="3">
        <v>1</v>
      </c>
      <c r="AE350" s="3">
        <v>2</v>
      </c>
      <c r="AF350" s="3">
        <v>2</v>
      </c>
      <c r="AG350" s="3">
        <v>4</v>
      </c>
      <c r="AH350" s="3">
        <v>1</v>
      </c>
      <c r="AI350" s="3">
        <v>1</v>
      </c>
      <c r="AJ350" s="3">
        <v>1</v>
      </c>
      <c r="AK350" s="3">
        <v>1</v>
      </c>
      <c r="AL350" s="3">
        <v>0</v>
      </c>
      <c r="AM350" s="3">
        <v>1</v>
      </c>
      <c r="AN350" s="3">
        <v>0</v>
      </c>
      <c r="AO350" s="3">
        <v>1</v>
      </c>
      <c r="AP350" s="3">
        <v>0</v>
      </c>
      <c r="AQ350" s="3">
        <v>0</v>
      </c>
      <c r="AR350" s="2" t="s">
        <v>8</v>
      </c>
      <c r="AS350" s="2" t="s">
        <v>8</v>
      </c>
      <c r="AU350" s="5" t="str">
        <f>HYPERLINK("https://creighton-primo.hosted.exlibrisgroup.com/primo-explore/search?tab=default_tab&amp;search_scope=EVERYTHING&amp;vid=01CRU&amp;lang=en_US&amp;offset=0&amp;query=any,contains,991001747909702656","Catalog Record")</f>
        <v>Catalog Record</v>
      </c>
      <c r="AV350" s="5" t="str">
        <f>HYPERLINK("http://www.worldcat.org/oclc/56900067","WorldCat Record")</f>
        <v>WorldCat Record</v>
      </c>
      <c r="AW350" s="2" t="s">
        <v>4535</v>
      </c>
      <c r="AX350" s="2" t="s">
        <v>4536</v>
      </c>
      <c r="AY350" s="2" t="s">
        <v>4537</v>
      </c>
      <c r="AZ350" s="2" t="s">
        <v>4537</v>
      </c>
      <c r="BA350" s="2" t="s">
        <v>4538</v>
      </c>
      <c r="BB350" s="2" t="s">
        <v>21</v>
      </c>
      <c r="BD350" s="2" t="s">
        <v>4539</v>
      </c>
      <c r="BE350" s="2" t="s">
        <v>4540</v>
      </c>
      <c r="BF350" s="2" t="s">
        <v>4541</v>
      </c>
    </row>
    <row r="351" spans="1:58" ht="42.75" customHeight="1" x14ac:dyDescent="0.25">
      <c r="A351" s="8" t="s">
        <v>8</v>
      </c>
      <c r="B351" s="1" t="s">
        <v>0</v>
      </c>
      <c r="C351" s="1" t="s">
        <v>1</v>
      </c>
      <c r="D351" s="1" t="s">
        <v>4542</v>
      </c>
      <c r="E351" s="1" t="s">
        <v>4543</v>
      </c>
      <c r="F351" s="1" t="s">
        <v>4544</v>
      </c>
      <c r="H351" s="2" t="s">
        <v>8</v>
      </c>
      <c r="I351" s="2" t="s">
        <v>7</v>
      </c>
      <c r="J351" s="2" t="s">
        <v>8</v>
      </c>
      <c r="K351" s="2" t="s">
        <v>8</v>
      </c>
      <c r="L351" s="2" t="s">
        <v>9</v>
      </c>
      <c r="M351" s="1" t="s">
        <v>4545</v>
      </c>
      <c r="N351" s="1" t="s">
        <v>4546</v>
      </c>
      <c r="O351" s="2" t="s">
        <v>874</v>
      </c>
      <c r="Q351" s="2" t="s">
        <v>12</v>
      </c>
      <c r="R351" s="2" t="s">
        <v>1252</v>
      </c>
      <c r="T351" s="2" t="s">
        <v>14</v>
      </c>
      <c r="U351" s="3">
        <v>5</v>
      </c>
      <c r="V351" s="3">
        <v>5</v>
      </c>
      <c r="W351" s="4" t="s">
        <v>4547</v>
      </c>
      <c r="X351" s="4" t="s">
        <v>4547</v>
      </c>
      <c r="Y351" s="4" t="s">
        <v>4548</v>
      </c>
      <c r="Z351" s="4" t="s">
        <v>4548</v>
      </c>
      <c r="AA351" s="3">
        <v>29</v>
      </c>
      <c r="AB351" s="3">
        <v>26</v>
      </c>
      <c r="AC351" s="3">
        <v>26</v>
      </c>
      <c r="AD351" s="3">
        <v>1</v>
      </c>
      <c r="AE351" s="3">
        <v>1</v>
      </c>
      <c r="AF351" s="3">
        <v>0</v>
      </c>
      <c r="AG351" s="3">
        <v>0</v>
      </c>
      <c r="AH351" s="3">
        <v>0</v>
      </c>
      <c r="AI351" s="3">
        <v>0</v>
      </c>
      <c r="AJ351" s="3">
        <v>0</v>
      </c>
      <c r="AK351" s="3">
        <v>0</v>
      </c>
      <c r="AL351" s="3">
        <v>0</v>
      </c>
      <c r="AM351" s="3">
        <v>0</v>
      </c>
      <c r="AN351" s="3">
        <v>0</v>
      </c>
      <c r="AO351" s="3">
        <v>0</v>
      </c>
      <c r="AP351" s="3">
        <v>0</v>
      </c>
      <c r="AQ351" s="3">
        <v>0</v>
      </c>
      <c r="AR351" s="2" t="s">
        <v>8</v>
      </c>
      <c r="AS351" s="2" t="s">
        <v>8</v>
      </c>
      <c r="AU351" s="5" t="str">
        <f>HYPERLINK("https://creighton-primo.hosted.exlibrisgroup.com/primo-explore/search?tab=default_tab&amp;search_scope=EVERYTHING&amp;vid=01CRU&amp;lang=en_US&amp;offset=0&amp;query=any,contains,991001409219702656","Catalog Record")</f>
        <v>Catalog Record</v>
      </c>
      <c r="AV351" s="5" t="str">
        <f>HYPERLINK("http://www.worldcat.org/oclc/38117313","WorldCat Record")</f>
        <v>WorldCat Record</v>
      </c>
      <c r="AW351" s="2" t="s">
        <v>4549</v>
      </c>
      <c r="AX351" s="2" t="s">
        <v>4550</v>
      </c>
      <c r="AY351" s="2" t="s">
        <v>4551</v>
      </c>
      <c r="AZ351" s="2" t="s">
        <v>4551</v>
      </c>
      <c r="BA351" s="2" t="s">
        <v>4552</v>
      </c>
      <c r="BB351" s="2" t="s">
        <v>21</v>
      </c>
      <c r="BD351" s="2" t="s">
        <v>4553</v>
      </c>
      <c r="BE351" s="2" t="s">
        <v>4554</v>
      </c>
      <c r="BF351" s="2" t="s">
        <v>4555</v>
      </c>
    </row>
    <row r="352" spans="1:58" ht="42.75" customHeight="1" x14ac:dyDescent="0.25">
      <c r="A352" s="8" t="s">
        <v>8</v>
      </c>
      <c r="B352" s="1" t="s">
        <v>0</v>
      </c>
      <c r="C352" s="1" t="s">
        <v>1</v>
      </c>
      <c r="D352" s="1" t="s">
        <v>4556</v>
      </c>
      <c r="E352" s="1" t="s">
        <v>4557</v>
      </c>
      <c r="F352" s="1" t="s">
        <v>4558</v>
      </c>
      <c r="H352" s="2" t="s">
        <v>8</v>
      </c>
      <c r="I352" s="2" t="s">
        <v>7</v>
      </c>
      <c r="J352" s="2" t="s">
        <v>8</v>
      </c>
      <c r="K352" s="2" t="s">
        <v>8</v>
      </c>
      <c r="L352" s="2" t="s">
        <v>9</v>
      </c>
      <c r="M352" s="1" t="s">
        <v>4559</v>
      </c>
      <c r="N352" s="1" t="s">
        <v>4560</v>
      </c>
      <c r="O352" s="2" t="s">
        <v>657</v>
      </c>
      <c r="Q352" s="2" t="s">
        <v>12</v>
      </c>
      <c r="R352" s="2" t="s">
        <v>520</v>
      </c>
      <c r="S352" s="1" t="s">
        <v>4561</v>
      </c>
      <c r="T352" s="2" t="s">
        <v>14</v>
      </c>
      <c r="U352" s="3">
        <v>1</v>
      </c>
      <c r="V352" s="3">
        <v>1</v>
      </c>
      <c r="W352" s="4" t="s">
        <v>4562</v>
      </c>
      <c r="X352" s="4" t="s">
        <v>4562</v>
      </c>
      <c r="Y352" s="4" t="s">
        <v>1075</v>
      </c>
      <c r="Z352" s="4" t="s">
        <v>1075</v>
      </c>
      <c r="AA352" s="3">
        <v>52</v>
      </c>
      <c r="AB352" s="3">
        <v>46</v>
      </c>
      <c r="AC352" s="3">
        <v>46</v>
      </c>
      <c r="AD352" s="3">
        <v>1</v>
      </c>
      <c r="AE352" s="3">
        <v>1</v>
      </c>
      <c r="AF352" s="3">
        <v>2</v>
      </c>
      <c r="AG352" s="3">
        <v>2</v>
      </c>
      <c r="AH352" s="3">
        <v>1</v>
      </c>
      <c r="AI352" s="3">
        <v>1</v>
      </c>
      <c r="AJ352" s="3">
        <v>0</v>
      </c>
      <c r="AK352" s="3">
        <v>0</v>
      </c>
      <c r="AL352" s="3">
        <v>1</v>
      </c>
      <c r="AM352" s="3">
        <v>1</v>
      </c>
      <c r="AN352" s="3">
        <v>0</v>
      </c>
      <c r="AO352" s="3">
        <v>0</v>
      </c>
      <c r="AP352" s="3">
        <v>0</v>
      </c>
      <c r="AQ352" s="3">
        <v>0</v>
      </c>
      <c r="AR352" s="2" t="s">
        <v>8</v>
      </c>
      <c r="AS352" s="2" t="s">
        <v>8</v>
      </c>
      <c r="AU352" s="5" t="str">
        <f>HYPERLINK("https://creighton-primo.hosted.exlibrisgroup.com/primo-explore/search?tab=default_tab&amp;search_scope=EVERYTHING&amp;vid=01CRU&amp;lang=en_US&amp;offset=0&amp;query=any,contains,991000321709702656","Catalog Record")</f>
        <v>Catalog Record</v>
      </c>
      <c r="AV352" s="5" t="str">
        <f>HYPERLINK("http://www.worldcat.org/oclc/47290246","WorldCat Record")</f>
        <v>WorldCat Record</v>
      </c>
      <c r="AW352" s="2" t="s">
        <v>4563</v>
      </c>
      <c r="AX352" s="2" t="s">
        <v>4564</v>
      </c>
      <c r="AY352" s="2" t="s">
        <v>4565</v>
      </c>
      <c r="AZ352" s="2" t="s">
        <v>4565</v>
      </c>
      <c r="BA352" s="2" t="s">
        <v>4566</v>
      </c>
      <c r="BB352" s="2" t="s">
        <v>21</v>
      </c>
      <c r="BE352" s="2" t="s">
        <v>4567</v>
      </c>
      <c r="BF352" s="2" t="s">
        <v>4568</v>
      </c>
    </row>
    <row r="353" spans="1:58" ht="42.75" customHeight="1" x14ac:dyDescent="0.25">
      <c r="A353" s="8" t="s">
        <v>8</v>
      </c>
      <c r="B353" s="1" t="s">
        <v>0</v>
      </c>
      <c r="C353" s="1" t="s">
        <v>1</v>
      </c>
      <c r="D353" s="1" t="s">
        <v>4569</v>
      </c>
      <c r="E353" s="1" t="s">
        <v>4570</v>
      </c>
      <c r="F353" s="1" t="s">
        <v>4571</v>
      </c>
      <c r="H353" s="2" t="s">
        <v>8</v>
      </c>
      <c r="I353" s="2" t="s">
        <v>7</v>
      </c>
      <c r="J353" s="2" t="s">
        <v>8</v>
      </c>
      <c r="K353" s="2" t="s">
        <v>8</v>
      </c>
      <c r="L353" s="2" t="s">
        <v>9</v>
      </c>
      <c r="M353" s="1" t="s">
        <v>4572</v>
      </c>
      <c r="N353" s="1" t="s">
        <v>4573</v>
      </c>
      <c r="O353" s="2" t="s">
        <v>731</v>
      </c>
      <c r="Q353" s="2" t="s">
        <v>12</v>
      </c>
      <c r="R353" s="2" t="s">
        <v>815</v>
      </c>
      <c r="T353" s="2" t="s">
        <v>14</v>
      </c>
      <c r="U353" s="3">
        <v>1</v>
      </c>
      <c r="V353" s="3">
        <v>1</v>
      </c>
      <c r="W353" s="4" t="s">
        <v>4574</v>
      </c>
      <c r="X353" s="4" t="s">
        <v>4574</v>
      </c>
      <c r="Y353" s="4" t="s">
        <v>4575</v>
      </c>
      <c r="Z353" s="4" t="s">
        <v>4575</v>
      </c>
      <c r="AA353" s="3">
        <v>51</v>
      </c>
      <c r="AB353" s="3">
        <v>47</v>
      </c>
      <c r="AC353" s="3">
        <v>52</v>
      </c>
      <c r="AD353" s="3">
        <v>1</v>
      </c>
      <c r="AE353" s="3">
        <v>1</v>
      </c>
      <c r="AF353" s="3">
        <v>1</v>
      </c>
      <c r="AG353" s="3">
        <v>1</v>
      </c>
      <c r="AH353" s="3">
        <v>1</v>
      </c>
      <c r="AI353" s="3">
        <v>1</v>
      </c>
      <c r="AJ353" s="3">
        <v>0</v>
      </c>
      <c r="AK353" s="3">
        <v>0</v>
      </c>
      <c r="AL353" s="3">
        <v>0</v>
      </c>
      <c r="AM353" s="3">
        <v>0</v>
      </c>
      <c r="AN353" s="3">
        <v>0</v>
      </c>
      <c r="AO353" s="3">
        <v>0</v>
      </c>
      <c r="AP353" s="3">
        <v>0</v>
      </c>
      <c r="AQ353" s="3">
        <v>0</v>
      </c>
      <c r="AR353" s="2" t="s">
        <v>8</v>
      </c>
      <c r="AS353" s="2" t="s">
        <v>6</v>
      </c>
      <c r="AT353" s="5" t="str">
        <f>HYPERLINK("http://catalog.hathitrust.org/Record/004034416","HathiTrust Record")</f>
        <v>HathiTrust Record</v>
      </c>
      <c r="AU353" s="5" t="str">
        <f>HYPERLINK("https://creighton-primo.hosted.exlibrisgroup.com/primo-explore/search?tab=default_tab&amp;search_scope=EVERYTHING&amp;vid=01CRU&amp;lang=en_US&amp;offset=0&amp;query=any,contains,991001445269702656","Catalog Record")</f>
        <v>Catalog Record</v>
      </c>
      <c r="AV353" s="5" t="str">
        <f>HYPERLINK("http://www.worldcat.org/oclc/39094266","WorldCat Record")</f>
        <v>WorldCat Record</v>
      </c>
      <c r="AW353" s="2" t="s">
        <v>4576</v>
      </c>
      <c r="AX353" s="2" t="s">
        <v>4577</v>
      </c>
      <c r="AY353" s="2" t="s">
        <v>4578</v>
      </c>
      <c r="AZ353" s="2" t="s">
        <v>4578</v>
      </c>
      <c r="BA353" s="2" t="s">
        <v>4579</v>
      </c>
      <c r="BB353" s="2" t="s">
        <v>21</v>
      </c>
      <c r="BD353" s="2" t="s">
        <v>4580</v>
      </c>
      <c r="BE353" s="2" t="s">
        <v>4581</v>
      </c>
      <c r="BF353" s="2" t="s">
        <v>4582</v>
      </c>
    </row>
    <row r="354" spans="1:58" ht="42.75" customHeight="1" x14ac:dyDescent="0.25">
      <c r="A354" s="8" t="s">
        <v>8</v>
      </c>
      <c r="B354" s="1" t="s">
        <v>0</v>
      </c>
      <c r="C354" s="1" t="s">
        <v>1</v>
      </c>
      <c r="D354" s="1" t="s">
        <v>4583</v>
      </c>
      <c r="E354" s="1" t="s">
        <v>4584</v>
      </c>
      <c r="F354" s="1" t="s">
        <v>4585</v>
      </c>
      <c r="H354" s="2" t="s">
        <v>8</v>
      </c>
      <c r="I354" s="2" t="s">
        <v>7</v>
      </c>
      <c r="J354" s="2" t="s">
        <v>8</v>
      </c>
      <c r="K354" s="2" t="s">
        <v>8</v>
      </c>
      <c r="L354" s="2" t="s">
        <v>7</v>
      </c>
      <c r="M354" s="1" t="s">
        <v>4586</v>
      </c>
      <c r="N354" s="1" t="s">
        <v>4587</v>
      </c>
      <c r="O354" s="2" t="s">
        <v>830</v>
      </c>
      <c r="Q354" s="2" t="s">
        <v>12</v>
      </c>
      <c r="R354" s="2" t="s">
        <v>13</v>
      </c>
      <c r="T354" s="2" t="s">
        <v>14</v>
      </c>
      <c r="U354" s="3">
        <v>1</v>
      </c>
      <c r="V354" s="3">
        <v>1</v>
      </c>
      <c r="W354" s="4" t="s">
        <v>4588</v>
      </c>
      <c r="X354" s="4" t="s">
        <v>4588</v>
      </c>
      <c r="Y354" s="4" t="s">
        <v>4589</v>
      </c>
      <c r="Z354" s="4" t="s">
        <v>4589</v>
      </c>
      <c r="AA354" s="3">
        <v>198</v>
      </c>
      <c r="AB354" s="3">
        <v>196</v>
      </c>
      <c r="AC354" s="3">
        <v>1388</v>
      </c>
      <c r="AD354" s="3">
        <v>1</v>
      </c>
      <c r="AE354" s="3">
        <v>14</v>
      </c>
      <c r="AF354" s="3">
        <v>2</v>
      </c>
      <c r="AG354" s="3">
        <v>41</v>
      </c>
      <c r="AH354" s="3">
        <v>0</v>
      </c>
      <c r="AI354" s="3">
        <v>11</v>
      </c>
      <c r="AJ354" s="3">
        <v>1</v>
      </c>
      <c r="AK354" s="3">
        <v>10</v>
      </c>
      <c r="AL354" s="3">
        <v>1</v>
      </c>
      <c r="AM354" s="3">
        <v>11</v>
      </c>
      <c r="AN354" s="3">
        <v>0</v>
      </c>
      <c r="AO354" s="3">
        <v>12</v>
      </c>
      <c r="AP354" s="3">
        <v>0</v>
      </c>
      <c r="AQ354" s="3">
        <v>3</v>
      </c>
      <c r="AR354" s="2" t="s">
        <v>8</v>
      </c>
      <c r="AS354" s="2" t="s">
        <v>8</v>
      </c>
      <c r="AU354" s="5" t="str">
        <f>HYPERLINK("https://creighton-primo.hosted.exlibrisgroup.com/primo-explore/search?tab=default_tab&amp;search_scope=EVERYTHING&amp;vid=01CRU&amp;lang=en_US&amp;offset=0&amp;query=any,contains,991000378699702656","Catalog Record")</f>
        <v>Catalog Record</v>
      </c>
      <c r="AV354" s="5" t="str">
        <f>HYPERLINK("http://www.worldcat.org/oclc/50554782","WorldCat Record")</f>
        <v>WorldCat Record</v>
      </c>
      <c r="AW354" s="2" t="s">
        <v>4590</v>
      </c>
      <c r="AX354" s="2" t="s">
        <v>4591</v>
      </c>
      <c r="AY354" s="2" t="s">
        <v>4592</v>
      </c>
      <c r="AZ354" s="2" t="s">
        <v>4592</v>
      </c>
      <c r="BA354" s="2" t="s">
        <v>4593</v>
      </c>
      <c r="BB354" s="2" t="s">
        <v>21</v>
      </c>
      <c r="BD354" s="2" t="s">
        <v>4594</v>
      </c>
      <c r="BE354" s="2" t="s">
        <v>4595</v>
      </c>
      <c r="BF354" s="2" t="s">
        <v>4596</v>
      </c>
    </row>
    <row r="355" spans="1:58" ht="42.75" customHeight="1" x14ac:dyDescent="0.25">
      <c r="A355" s="8" t="s">
        <v>8</v>
      </c>
      <c r="B355" s="1" t="s">
        <v>0</v>
      </c>
      <c r="C355" s="1" t="s">
        <v>1</v>
      </c>
      <c r="D355" s="1" t="s">
        <v>4597</v>
      </c>
      <c r="E355" s="1" t="s">
        <v>4598</v>
      </c>
      <c r="F355" s="1" t="s">
        <v>4599</v>
      </c>
      <c r="H355" s="2" t="s">
        <v>8</v>
      </c>
      <c r="I355" s="2" t="s">
        <v>7</v>
      </c>
      <c r="J355" s="2" t="s">
        <v>8</v>
      </c>
      <c r="K355" s="2" t="s">
        <v>8</v>
      </c>
      <c r="L355" s="2" t="s">
        <v>9</v>
      </c>
      <c r="M355" s="1" t="s">
        <v>4600</v>
      </c>
      <c r="N355" s="1" t="s">
        <v>4205</v>
      </c>
      <c r="O355" s="2" t="s">
        <v>627</v>
      </c>
      <c r="Q355" s="2" t="s">
        <v>12</v>
      </c>
      <c r="R355" s="2" t="s">
        <v>34</v>
      </c>
      <c r="T355" s="2" t="s">
        <v>14</v>
      </c>
      <c r="U355" s="3">
        <v>32</v>
      </c>
      <c r="V355" s="3">
        <v>32</v>
      </c>
      <c r="W355" s="4" t="s">
        <v>4601</v>
      </c>
      <c r="X355" s="4" t="s">
        <v>4601</v>
      </c>
      <c r="Y355" s="4" t="s">
        <v>4602</v>
      </c>
      <c r="Z355" s="4" t="s">
        <v>4602</v>
      </c>
      <c r="AA355" s="3">
        <v>520</v>
      </c>
      <c r="AB355" s="3">
        <v>410</v>
      </c>
      <c r="AC355" s="3">
        <v>415</v>
      </c>
      <c r="AD355" s="3">
        <v>4</v>
      </c>
      <c r="AE355" s="3">
        <v>4</v>
      </c>
      <c r="AF355" s="3">
        <v>31</v>
      </c>
      <c r="AG355" s="3">
        <v>31</v>
      </c>
      <c r="AH355" s="3">
        <v>12</v>
      </c>
      <c r="AI355" s="3">
        <v>12</v>
      </c>
      <c r="AJ355" s="3">
        <v>4</v>
      </c>
      <c r="AK355" s="3">
        <v>4</v>
      </c>
      <c r="AL355" s="3">
        <v>15</v>
      </c>
      <c r="AM355" s="3">
        <v>15</v>
      </c>
      <c r="AN355" s="3">
        <v>3</v>
      </c>
      <c r="AO355" s="3">
        <v>3</v>
      </c>
      <c r="AP355" s="3">
        <v>4</v>
      </c>
      <c r="AQ355" s="3">
        <v>4</v>
      </c>
      <c r="AR355" s="2" t="s">
        <v>8</v>
      </c>
      <c r="AS355" s="2" t="s">
        <v>8</v>
      </c>
      <c r="AU355" s="5" t="str">
        <f>HYPERLINK("https://creighton-primo.hosted.exlibrisgroup.com/primo-explore/search?tab=default_tab&amp;search_scope=EVERYTHING&amp;vid=01CRU&amp;lang=en_US&amp;offset=0&amp;query=any,contains,991001381089702656","Catalog Record")</f>
        <v>Catalog Record</v>
      </c>
      <c r="AV355" s="5" t="str">
        <f>HYPERLINK("http://www.worldcat.org/oclc/19456397","WorldCat Record")</f>
        <v>WorldCat Record</v>
      </c>
      <c r="AW355" s="2" t="s">
        <v>4603</v>
      </c>
      <c r="AX355" s="2" t="s">
        <v>4604</v>
      </c>
      <c r="AY355" s="2" t="s">
        <v>4605</v>
      </c>
      <c r="AZ355" s="2" t="s">
        <v>4605</v>
      </c>
      <c r="BA355" s="2" t="s">
        <v>4606</v>
      </c>
      <c r="BB355" s="2" t="s">
        <v>21</v>
      </c>
      <c r="BD355" s="2" t="s">
        <v>4607</v>
      </c>
      <c r="BE355" s="2" t="s">
        <v>4608</v>
      </c>
      <c r="BF355" s="2" t="s">
        <v>4609</v>
      </c>
    </row>
    <row r="356" spans="1:58" ht="42.75" customHeight="1" x14ac:dyDescent="0.25">
      <c r="A356" s="8" t="s">
        <v>8</v>
      </c>
      <c r="B356" s="1" t="s">
        <v>0</v>
      </c>
      <c r="C356" s="1" t="s">
        <v>1</v>
      </c>
      <c r="D356" s="1" t="s">
        <v>4610</v>
      </c>
      <c r="E356" s="1" t="s">
        <v>4611</v>
      </c>
      <c r="F356" s="1" t="s">
        <v>4612</v>
      </c>
      <c r="H356" s="2" t="s">
        <v>8</v>
      </c>
      <c r="I356" s="2" t="s">
        <v>7</v>
      </c>
      <c r="J356" s="2" t="s">
        <v>8</v>
      </c>
      <c r="K356" s="2" t="s">
        <v>8</v>
      </c>
      <c r="L356" s="2" t="s">
        <v>9</v>
      </c>
      <c r="N356" s="1" t="s">
        <v>4613</v>
      </c>
      <c r="O356" s="2" t="s">
        <v>627</v>
      </c>
      <c r="Q356" s="2" t="s">
        <v>12</v>
      </c>
      <c r="R356" s="2" t="s">
        <v>34</v>
      </c>
      <c r="S356" s="1" t="s">
        <v>4614</v>
      </c>
      <c r="T356" s="2" t="s">
        <v>14</v>
      </c>
      <c r="U356" s="3">
        <v>17</v>
      </c>
      <c r="V356" s="3">
        <v>17</v>
      </c>
      <c r="W356" s="4" t="s">
        <v>4615</v>
      </c>
      <c r="X356" s="4" t="s">
        <v>4615</v>
      </c>
      <c r="Y356" s="4" t="s">
        <v>2755</v>
      </c>
      <c r="Z356" s="4" t="s">
        <v>2755</v>
      </c>
      <c r="AA356" s="3">
        <v>131</v>
      </c>
      <c r="AB356" s="3">
        <v>112</v>
      </c>
      <c r="AC356" s="3">
        <v>114</v>
      </c>
      <c r="AD356" s="3">
        <v>1</v>
      </c>
      <c r="AE356" s="3">
        <v>1</v>
      </c>
      <c r="AF356" s="3">
        <v>4</v>
      </c>
      <c r="AG356" s="3">
        <v>4</v>
      </c>
      <c r="AH356" s="3">
        <v>0</v>
      </c>
      <c r="AI356" s="3">
        <v>0</v>
      </c>
      <c r="AJ356" s="3">
        <v>1</v>
      </c>
      <c r="AK356" s="3">
        <v>1</v>
      </c>
      <c r="AL356" s="3">
        <v>1</v>
      </c>
      <c r="AM356" s="3">
        <v>1</v>
      </c>
      <c r="AN356" s="3">
        <v>0</v>
      </c>
      <c r="AO356" s="3">
        <v>0</v>
      </c>
      <c r="AP356" s="3">
        <v>2</v>
      </c>
      <c r="AQ356" s="3">
        <v>2</v>
      </c>
      <c r="AR356" s="2" t="s">
        <v>8</v>
      </c>
      <c r="AS356" s="2" t="s">
        <v>6</v>
      </c>
      <c r="AT356" s="5" t="str">
        <f>HYPERLINK("http://catalog.hathitrust.org/Record/004475871","HathiTrust Record")</f>
        <v>HathiTrust Record</v>
      </c>
      <c r="AU356" s="5" t="str">
        <f>HYPERLINK("https://creighton-primo.hosted.exlibrisgroup.com/primo-explore/search?tab=default_tab&amp;search_scope=EVERYTHING&amp;vid=01CRU&amp;lang=en_US&amp;offset=0&amp;query=any,contains,991001449239702656","Catalog Record")</f>
        <v>Catalog Record</v>
      </c>
      <c r="AV356" s="5" t="str">
        <f>HYPERLINK("http://www.worldcat.org/oclc/19268679","WorldCat Record")</f>
        <v>WorldCat Record</v>
      </c>
      <c r="AW356" s="2" t="s">
        <v>4616</v>
      </c>
      <c r="AX356" s="2" t="s">
        <v>4617</v>
      </c>
      <c r="AY356" s="2" t="s">
        <v>4618</v>
      </c>
      <c r="AZ356" s="2" t="s">
        <v>4618</v>
      </c>
      <c r="BA356" s="2" t="s">
        <v>4619</v>
      </c>
      <c r="BB356" s="2" t="s">
        <v>21</v>
      </c>
      <c r="BD356" s="2" t="s">
        <v>4620</v>
      </c>
      <c r="BE356" s="2" t="s">
        <v>4621</v>
      </c>
      <c r="BF356" s="2" t="s">
        <v>4622</v>
      </c>
    </row>
    <row r="357" spans="1:58" ht="42.75" customHeight="1" x14ac:dyDescent="0.25">
      <c r="A357" s="8" t="s">
        <v>8</v>
      </c>
      <c r="B357" s="1" t="s">
        <v>0</v>
      </c>
      <c r="C357" s="1" t="s">
        <v>1</v>
      </c>
      <c r="D357" s="1" t="s">
        <v>4623</v>
      </c>
      <c r="E357" s="1" t="s">
        <v>4624</v>
      </c>
      <c r="F357" s="1" t="s">
        <v>4625</v>
      </c>
      <c r="H357" s="2" t="s">
        <v>8</v>
      </c>
      <c r="I357" s="2" t="s">
        <v>7</v>
      </c>
      <c r="J357" s="2" t="s">
        <v>8</v>
      </c>
      <c r="K357" s="2" t="s">
        <v>8</v>
      </c>
      <c r="L357" s="2" t="s">
        <v>9</v>
      </c>
      <c r="M357" s="1" t="s">
        <v>4626</v>
      </c>
      <c r="N357" s="1" t="s">
        <v>4627</v>
      </c>
      <c r="O357" s="2" t="s">
        <v>4628</v>
      </c>
      <c r="Q357" s="2" t="s">
        <v>12</v>
      </c>
      <c r="R357" s="2" t="s">
        <v>267</v>
      </c>
      <c r="T357" s="2" t="s">
        <v>14</v>
      </c>
      <c r="U357" s="3">
        <v>5</v>
      </c>
      <c r="V357" s="3">
        <v>5</v>
      </c>
      <c r="W357" s="4" t="s">
        <v>4153</v>
      </c>
      <c r="X357" s="4" t="s">
        <v>4153</v>
      </c>
      <c r="Y357" s="4" t="s">
        <v>4443</v>
      </c>
      <c r="Z357" s="4" t="s">
        <v>4443</v>
      </c>
      <c r="AA357" s="3">
        <v>441</v>
      </c>
      <c r="AB357" s="3">
        <v>390</v>
      </c>
      <c r="AC357" s="3">
        <v>527</v>
      </c>
      <c r="AD357" s="3">
        <v>4</v>
      </c>
      <c r="AE357" s="3">
        <v>6</v>
      </c>
      <c r="AF357" s="3">
        <v>18</v>
      </c>
      <c r="AG357" s="3">
        <v>23</v>
      </c>
      <c r="AH357" s="3">
        <v>9</v>
      </c>
      <c r="AI357" s="3">
        <v>10</v>
      </c>
      <c r="AJ357" s="3">
        <v>3</v>
      </c>
      <c r="AK357" s="3">
        <v>4</v>
      </c>
      <c r="AL357" s="3">
        <v>9</v>
      </c>
      <c r="AM357" s="3">
        <v>11</v>
      </c>
      <c r="AN357" s="3">
        <v>3</v>
      </c>
      <c r="AO357" s="3">
        <v>4</v>
      </c>
      <c r="AP357" s="3">
        <v>0</v>
      </c>
      <c r="AQ357" s="3">
        <v>0</v>
      </c>
      <c r="AR357" s="2" t="s">
        <v>8</v>
      </c>
      <c r="AS357" s="2" t="s">
        <v>8</v>
      </c>
      <c r="AT357" s="5" t="str">
        <f>HYPERLINK("http://catalog.hathitrust.org/Record/001396853","HathiTrust Record")</f>
        <v>HathiTrust Record</v>
      </c>
      <c r="AU357" s="5" t="str">
        <f>HYPERLINK("https://creighton-primo.hosted.exlibrisgroup.com/primo-explore/search?tab=default_tab&amp;search_scope=EVERYTHING&amp;vid=01CRU&amp;lang=en_US&amp;offset=0&amp;query=any,contains,991001182399702656","Catalog Record")</f>
        <v>Catalog Record</v>
      </c>
      <c r="AV357" s="5" t="str">
        <f>HYPERLINK("http://www.worldcat.org/oclc/1430259","WorldCat Record")</f>
        <v>WorldCat Record</v>
      </c>
      <c r="AW357" s="2" t="s">
        <v>4629</v>
      </c>
      <c r="AX357" s="2" t="s">
        <v>4630</v>
      </c>
      <c r="AY357" s="2" t="s">
        <v>4631</v>
      </c>
      <c r="AZ357" s="2" t="s">
        <v>4631</v>
      </c>
      <c r="BA357" s="2" t="s">
        <v>4632</v>
      </c>
      <c r="BB357" s="2" t="s">
        <v>21</v>
      </c>
      <c r="BE357" s="2" t="s">
        <v>4633</v>
      </c>
      <c r="BF357" s="2" t="s">
        <v>4634</v>
      </c>
    </row>
    <row r="358" spans="1:58" ht="42.75" customHeight="1" x14ac:dyDescent="0.25">
      <c r="A358" s="8" t="s">
        <v>8</v>
      </c>
      <c r="B358" s="1" t="s">
        <v>0</v>
      </c>
      <c r="C358" s="1" t="s">
        <v>1</v>
      </c>
      <c r="D358" s="1" t="s">
        <v>4635</v>
      </c>
      <c r="E358" s="1" t="s">
        <v>4636</v>
      </c>
      <c r="F358" s="1" t="s">
        <v>4637</v>
      </c>
      <c r="H358" s="2" t="s">
        <v>8</v>
      </c>
      <c r="I358" s="2" t="s">
        <v>7</v>
      </c>
      <c r="J358" s="2" t="s">
        <v>8</v>
      </c>
      <c r="K358" s="2" t="s">
        <v>8</v>
      </c>
      <c r="L358" s="2" t="s">
        <v>9</v>
      </c>
      <c r="M358" s="1" t="s">
        <v>4638</v>
      </c>
      <c r="N358" s="1" t="s">
        <v>4639</v>
      </c>
      <c r="O358" s="2" t="s">
        <v>731</v>
      </c>
      <c r="P358" s="1" t="s">
        <v>761</v>
      </c>
      <c r="Q358" s="2" t="s">
        <v>12</v>
      </c>
      <c r="R358" s="2" t="s">
        <v>456</v>
      </c>
      <c r="T358" s="2" t="s">
        <v>14</v>
      </c>
      <c r="U358" s="3">
        <v>1</v>
      </c>
      <c r="V358" s="3">
        <v>1</v>
      </c>
      <c r="W358" s="4" t="s">
        <v>4640</v>
      </c>
      <c r="X358" s="4" t="s">
        <v>4640</v>
      </c>
      <c r="Y358" s="4" t="s">
        <v>4641</v>
      </c>
      <c r="Z358" s="4" t="s">
        <v>4641</v>
      </c>
      <c r="AA358" s="3">
        <v>61</v>
      </c>
      <c r="AB358" s="3">
        <v>50</v>
      </c>
      <c r="AC358" s="3">
        <v>174</v>
      </c>
      <c r="AD358" s="3">
        <v>1</v>
      </c>
      <c r="AE358" s="3">
        <v>1</v>
      </c>
      <c r="AF358" s="3">
        <v>2</v>
      </c>
      <c r="AG358" s="3">
        <v>9</v>
      </c>
      <c r="AH358" s="3">
        <v>1</v>
      </c>
      <c r="AI358" s="3">
        <v>4</v>
      </c>
      <c r="AJ358" s="3">
        <v>0</v>
      </c>
      <c r="AK358" s="3">
        <v>0</v>
      </c>
      <c r="AL358" s="3">
        <v>1</v>
      </c>
      <c r="AM358" s="3">
        <v>5</v>
      </c>
      <c r="AN358" s="3">
        <v>0</v>
      </c>
      <c r="AO358" s="3">
        <v>0</v>
      </c>
      <c r="AP358" s="3">
        <v>0</v>
      </c>
      <c r="AQ358" s="3">
        <v>2</v>
      </c>
      <c r="AR358" s="2" t="s">
        <v>8</v>
      </c>
      <c r="AS358" s="2" t="s">
        <v>6</v>
      </c>
      <c r="AT358" s="5" t="str">
        <f>HYPERLINK("http://catalog.hathitrust.org/Record/004027724","HathiTrust Record")</f>
        <v>HathiTrust Record</v>
      </c>
      <c r="AU358" s="5" t="str">
        <f>HYPERLINK("https://creighton-primo.hosted.exlibrisgroup.com/primo-explore/search?tab=default_tab&amp;search_scope=EVERYTHING&amp;vid=01CRU&amp;lang=en_US&amp;offset=0&amp;query=any,contains,991000414129702656","Catalog Record")</f>
        <v>Catalog Record</v>
      </c>
      <c r="AV358" s="5" t="str">
        <f>HYPERLINK("http://www.worldcat.org/oclc/38562560","WorldCat Record")</f>
        <v>WorldCat Record</v>
      </c>
      <c r="AW358" s="2" t="s">
        <v>4642</v>
      </c>
      <c r="AX358" s="2" t="s">
        <v>4643</v>
      </c>
      <c r="AY358" s="2" t="s">
        <v>4644</v>
      </c>
      <c r="AZ358" s="2" t="s">
        <v>4644</v>
      </c>
      <c r="BA358" s="2" t="s">
        <v>4645</v>
      </c>
      <c r="BB358" s="2" t="s">
        <v>21</v>
      </c>
      <c r="BD358" s="2" t="s">
        <v>4646</v>
      </c>
      <c r="BE358" s="2" t="s">
        <v>4647</v>
      </c>
      <c r="BF358" s="2" t="s">
        <v>4648</v>
      </c>
    </row>
    <row r="359" spans="1:58" ht="42.75" customHeight="1" x14ac:dyDescent="0.25">
      <c r="A359" s="8" t="s">
        <v>8</v>
      </c>
      <c r="B359" s="1" t="s">
        <v>0</v>
      </c>
      <c r="C359" s="1" t="s">
        <v>1</v>
      </c>
      <c r="D359" s="1" t="s">
        <v>4649</v>
      </c>
      <c r="E359" s="1" t="s">
        <v>4650</v>
      </c>
      <c r="F359" s="1" t="s">
        <v>4651</v>
      </c>
      <c r="H359" s="2" t="s">
        <v>8</v>
      </c>
      <c r="I359" s="2" t="s">
        <v>7</v>
      </c>
      <c r="J359" s="2" t="s">
        <v>8</v>
      </c>
      <c r="K359" s="2" t="s">
        <v>6</v>
      </c>
      <c r="L359" s="2" t="s">
        <v>9</v>
      </c>
      <c r="M359" s="1" t="s">
        <v>4286</v>
      </c>
      <c r="N359" s="1" t="s">
        <v>3049</v>
      </c>
      <c r="O359" s="2" t="s">
        <v>814</v>
      </c>
      <c r="Q359" s="2" t="s">
        <v>12</v>
      </c>
      <c r="R359" s="2" t="s">
        <v>520</v>
      </c>
      <c r="T359" s="2" t="s">
        <v>14</v>
      </c>
      <c r="U359" s="3">
        <v>0</v>
      </c>
      <c r="V359" s="3">
        <v>0</v>
      </c>
      <c r="W359" s="4" t="s">
        <v>1212</v>
      </c>
      <c r="X359" s="4" t="s">
        <v>1212</v>
      </c>
      <c r="Y359" s="4" t="s">
        <v>3769</v>
      </c>
      <c r="Z359" s="4" t="s">
        <v>3769</v>
      </c>
      <c r="AA359" s="3">
        <v>39</v>
      </c>
      <c r="AB359" s="3">
        <v>31</v>
      </c>
      <c r="AC359" s="3">
        <v>512</v>
      </c>
      <c r="AD359" s="3">
        <v>1</v>
      </c>
      <c r="AE359" s="3">
        <v>4</v>
      </c>
      <c r="AF359" s="3">
        <v>0</v>
      </c>
      <c r="AG359" s="3">
        <v>19</v>
      </c>
      <c r="AH359" s="3">
        <v>0</v>
      </c>
      <c r="AI359" s="3">
        <v>4</v>
      </c>
      <c r="AJ359" s="3">
        <v>0</v>
      </c>
      <c r="AK359" s="3">
        <v>4</v>
      </c>
      <c r="AL359" s="3">
        <v>0</v>
      </c>
      <c r="AM359" s="3">
        <v>6</v>
      </c>
      <c r="AN359" s="3">
        <v>0</v>
      </c>
      <c r="AO359" s="3">
        <v>2</v>
      </c>
      <c r="AP359" s="3">
        <v>0</v>
      </c>
      <c r="AQ359" s="3">
        <v>6</v>
      </c>
      <c r="AR359" s="2" t="s">
        <v>8</v>
      </c>
      <c r="AS359" s="2" t="s">
        <v>8</v>
      </c>
      <c r="AU359" s="5" t="str">
        <f>HYPERLINK("https://creighton-primo.hosted.exlibrisgroup.com/primo-explore/search?tab=default_tab&amp;search_scope=EVERYTHING&amp;vid=01CRU&amp;lang=en_US&amp;offset=0&amp;query=any,contains,991000582699702656","Catalog Record")</f>
        <v>Catalog Record</v>
      </c>
      <c r="AV359" s="5" t="str">
        <f>HYPERLINK("http://www.worldcat.org/oclc/42289281","WorldCat Record")</f>
        <v>WorldCat Record</v>
      </c>
      <c r="AW359" s="2" t="s">
        <v>4291</v>
      </c>
      <c r="AX359" s="2" t="s">
        <v>4652</v>
      </c>
      <c r="AY359" s="2" t="s">
        <v>4653</v>
      </c>
      <c r="AZ359" s="2" t="s">
        <v>4653</v>
      </c>
      <c r="BA359" s="2" t="s">
        <v>4654</v>
      </c>
      <c r="BB359" s="2" t="s">
        <v>21</v>
      </c>
      <c r="BD359" s="2" t="s">
        <v>4655</v>
      </c>
      <c r="BE359" s="2" t="s">
        <v>4656</v>
      </c>
      <c r="BF359" s="2" t="s">
        <v>4657</v>
      </c>
    </row>
    <row r="360" spans="1:58" ht="42.75" customHeight="1" x14ac:dyDescent="0.25">
      <c r="A360" s="8" t="s">
        <v>8</v>
      </c>
      <c r="B360" s="1" t="s">
        <v>0</v>
      </c>
      <c r="C360" s="1" t="s">
        <v>1</v>
      </c>
      <c r="D360" s="1" t="s">
        <v>4658</v>
      </c>
      <c r="E360" s="1" t="s">
        <v>4659</v>
      </c>
      <c r="F360" s="1" t="s">
        <v>4660</v>
      </c>
      <c r="H360" s="2" t="s">
        <v>8</v>
      </c>
      <c r="I360" s="2" t="s">
        <v>7</v>
      </c>
      <c r="J360" s="2" t="s">
        <v>8</v>
      </c>
      <c r="K360" s="2" t="s">
        <v>8</v>
      </c>
      <c r="L360" s="2" t="s">
        <v>9</v>
      </c>
      <c r="M360" s="1" t="s">
        <v>4661</v>
      </c>
      <c r="N360" s="1" t="s">
        <v>4662</v>
      </c>
      <c r="O360" s="2" t="s">
        <v>67</v>
      </c>
      <c r="Q360" s="2" t="s">
        <v>12</v>
      </c>
      <c r="R360" s="2" t="s">
        <v>34</v>
      </c>
      <c r="T360" s="2" t="s">
        <v>14</v>
      </c>
      <c r="U360" s="3">
        <v>9</v>
      </c>
      <c r="V360" s="3">
        <v>9</v>
      </c>
      <c r="W360" s="4" t="s">
        <v>4663</v>
      </c>
      <c r="X360" s="4" t="s">
        <v>4663</v>
      </c>
      <c r="Y360" s="4" t="s">
        <v>4443</v>
      </c>
      <c r="Z360" s="4" t="s">
        <v>4443</v>
      </c>
      <c r="AA360" s="3">
        <v>358</v>
      </c>
      <c r="AB360" s="3">
        <v>324</v>
      </c>
      <c r="AC360" s="3">
        <v>326</v>
      </c>
      <c r="AD360" s="3">
        <v>3</v>
      </c>
      <c r="AE360" s="3">
        <v>3</v>
      </c>
      <c r="AF360" s="3">
        <v>18</v>
      </c>
      <c r="AG360" s="3">
        <v>18</v>
      </c>
      <c r="AH360" s="3">
        <v>3</v>
      </c>
      <c r="AI360" s="3">
        <v>3</v>
      </c>
      <c r="AJ360" s="3">
        <v>3</v>
      </c>
      <c r="AK360" s="3">
        <v>3</v>
      </c>
      <c r="AL360" s="3">
        <v>9</v>
      </c>
      <c r="AM360" s="3">
        <v>9</v>
      </c>
      <c r="AN360" s="3">
        <v>1</v>
      </c>
      <c r="AO360" s="3">
        <v>1</v>
      </c>
      <c r="AP360" s="3">
        <v>5</v>
      </c>
      <c r="AQ360" s="3">
        <v>5</v>
      </c>
      <c r="AR360" s="2" t="s">
        <v>8</v>
      </c>
      <c r="AS360" s="2" t="s">
        <v>6</v>
      </c>
      <c r="AT360" s="5" t="str">
        <f>HYPERLINK("http://catalog.hathitrust.org/Record/000580533","HathiTrust Record")</f>
        <v>HathiTrust Record</v>
      </c>
      <c r="AU360" s="5" t="str">
        <f>HYPERLINK("https://creighton-primo.hosted.exlibrisgroup.com/primo-explore/search?tab=default_tab&amp;search_scope=EVERYTHING&amp;vid=01CRU&amp;lang=en_US&amp;offset=0&amp;query=any,contains,991001182439702656","Catalog Record")</f>
        <v>Catalog Record</v>
      </c>
      <c r="AV360" s="5" t="str">
        <f>HYPERLINK("http://www.worldcat.org/oclc/12217121","WorldCat Record")</f>
        <v>WorldCat Record</v>
      </c>
      <c r="AW360" s="2" t="s">
        <v>4664</v>
      </c>
      <c r="AX360" s="2" t="s">
        <v>4665</v>
      </c>
      <c r="AY360" s="2" t="s">
        <v>4666</v>
      </c>
      <c r="AZ360" s="2" t="s">
        <v>4666</v>
      </c>
      <c r="BA360" s="2" t="s">
        <v>4667</v>
      </c>
      <c r="BB360" s="2" t="s">
        <v>21</v>
      </c>
      <c r="BD360" s="2" t="s">
        <v>4668</v>
      </c>
      <c r="BE360" s="2" t="s">
        <v>4669</v>
      </c>
      <c r="BF360" s="2" t="s">
        <v>4670</v>
      </c>
    </row>
    <row r="361" spans="1:58" ht="42.75" customHeight="1" x14ac:dyDescent="0.25">
      <c r="A361" s="8" t="s">
        <v>8</v>
      </c>
      <c r="B361" s="1" t="s">
        <v>0</v>
      </c>
      <c r="C361" s="1" t="s">
        <v>1</v>
      </c>
      <c r="D361" s="1" t="s">
        <v>4671</v>
      </c>
      <c r="E361" s="1" t="s">
        <v>4672</v>
      </c>
      <c r="F361" s="1" t="s">
        <v>4673</v>
      </c>
      <c r="H361" s="2" t="s">
        <v>8</v>
      </c>
      <c r="I361" s="2" t="s">
        <v>7</v>
      </c>
      <c r="J361" s="2" t="s">
        <v>8</v>
      </c>
      <c r="K361" s="2" t="s">
        <v>8</v>
      </c>
      <c r="L361" s="2" t="s">
        <v>9</v>
      </c>
      <c r="M361" s="1" t="s">
        <v>4286</v>
      </c>
      <c r="N361" s="1" t="s">
        <v>4674</v>
      </c>
      <c r="O361" s="2" t="s">
        <v>1327</v>
      </c>
      <c r="Q361" s="2" t="s">
        <v>12</v>
      </c>
      <c r="R361" s="2" t="s">
        <v>520</v>
      </c>
      <c r="T361" s="2" t="s">
        <v>14</v>
      </c>
      <c r="U361" s="3">
        <v>7</v>
      </c>
      <c r="V361" s="3">
        <v>7</v>
      </c>
      <c r="W361" s="4" t="s">
        <v>4675</v>
      </c>
      <c r="X361" s="4" t="s">
        <v>4675</v>
      </c>
      <c r="Y361" s="4" t="s">
        <v>4676</v>
      </c>
      <c r="Z361" s="4" t="s">
        <v>4676</v>
      </c>
      <c r="AA361" s="3">
        <v>11</v>
      </c>
      <c r="AB361" s="3">
        <v>11</v>
      </c>
      <c r="AC361" s="3">
        <v>13</v>
      </c>
      <c r="AD361" s="3">
        <v>1</v>
      </c>
      <c r="AE361" s="3">
        <v>1</v>
      </c>
      <c r="AF361" s="3">
        <v>0</v>
      </c>
      <c r="AG361" s="3">
        <v>0</v>
      </c>
      <c r="AH361" s="3">
        <v>0</v>
      </c>
      <c r="AI361" s="3">
        <v>0</v>
      </c>
      <c r="AJ361" s="3">
        <v>0</v>
      </c>
      <c r="AK361" s="3">
        <v>0</v>
      </c>
      <c r="AL361" s="3">
        <v>0</v>
      </c>
      <c r="AM361" s="3">
        <v>0</v>
      </c>
      <c r="AN361" s="3">
        <v>0</v>
      </c>
      <c r="AO361" s="3">
        <v>0</v>
      </c>
      <c r="AP361" s="3">
        <v>0</v>
      </c>
      <c r="AQ361" s="3">
        <v>0</v>
      </c>
      <c r="AR361" s="2" t="s">
        <v>8</v>
      </c>
      <c r="AS361" s="2" t="s">
        <v>6</v>
      </c>
      <c r="AT361" s="5" t="str">
        <f>HYPERLINK("http://catalog.hathitrust.org/Record/009254906","HathiTrust Record")</f>
        <v>HathiTrust Record</v>
      </c>
      <c r="AU361" s="5" t="str">
        <f>HYPERLINK("https://creighton-primo.hosted.exlibrisgroup.com/primo-explore/search?tab=default_tab&amp;search_scope=EVERYTHING&amp;vid=01CRU&amp;lang=en_US&amp;offset=0&amp;query=any,contains,991001425629702656","Catalog Record")</f>
        <v>Catalog Record</v>
      </c>
      <c r="AV361" s="5" t="str">
        <f>HYPERLINK("http://www.worldcat.org/oclc/15614832","WorldCat Record")</f>
        <v>WorldCat Record</v>
      </c>
      <c r="AW361" s="2" t="s">
        <v>4677</v>
      </c>
      <c r="AX361" s="2" t="s">
        <v>4678</v>
      </c>
      <c r="AY361" s="2" t="s">
        <v>4679</v>
      </c>
      <c r="AZ361" s="2" t="s">
        <v>4679</v>
      </c>
      <c r="BA361" s="2" t="s">
        <v>4680</v>
      </c>
      <c r="BB361" s="2" t="s">
        <v>21</v>
      </c>
      <c r="BE361" s="2" t="s">
        <v>4681</v>
      </c>
      <c r="BF361" s="2" t="s">
        <v>4682</v>
      </c>
    </row>
    <row r="362" spans="1:58" ht="42.75" customHeight="1" x14ac:dyDescent="0.25">
      <c r="A362" s="8" t="s">
        <v>8</v>
      </c>
      <c r="B362" s="1" t="s">
        <v>0</v>
      </c>
      <c r="C362" s="1" t="s">
        <v>1</v>
      </c>
      <c r="D362" s="1" t="s">
        <v>4683</v>
      </c>
      <c r="E362" s="1" t="s">
        <v>4684</v>
      </c>
      <c r="F362" s="1" t="s">
        <v>4685</v>
      </c>
      <c r="H362" s="2" t="s">
        <v>8</v>
      </c>
      <c r="I362" s="2" t="s">
        <v>7</v>
      </c>
      <c r="J362" s="2" t="s">
        <v>8</v>
      </c>
      <c r="K362" s="2" t="s">
        <v>6</v>
      </c>
      <c r="L362" s="2" t="s">
        <v>9</v>
      </c>
      <c r="M362" s="1" t="s">
        <v>4286</v>
      </c>
      <c r="N362" s="1" t="s">
        <v>4686</v>
      </c>
      <c r="O362" s="2" t="s">
        <v>987</v>
      </c>
      <c r="P362" s="1" t="s">
        <v>4687</v>
      </c>
      <c r="Q362" s="2" t="s">
        <v>12</v>
      </c>
      <c r="R362" s="2" t="s">
        <v>520</v>
      </c>
      <c r="T362" s="2" t="s">
        <v>14</v>
      </c>
      <c r="U362" s="3">
        <v>2</v>
      </c>
      <c r="V362" s="3">
        <v>2</v>
      </c>
      <c r="W362" s="4" t="s">
        <v>4688</v>
      </c>
      <c r="X362" s="4" t="s">
        <v>4688</v>
      </c>
      <c r="Y362" s="4" t="s">
        <v>4689</v>
      </c>
      <c r="Z362" s="4" t="s">
        <v>4689</v>
      </c>
      <c r="AA362" s="3">
        <v>102</v>
      </c>
      <c r="AB362" s="3">
        <v>100</v>
      </c>
      <c r="AC362" s="3">
        <v>558</v>
      </c>
      <c r="AD362" s="3">
        <v>1</v>
      </c>
      <c r="AE362" s="3">
        <v>1</v>
      </c>
      <c r="AF362" s="3">
        <v>2</v>
      </c>
      <c r="AG362" s="3">
        <v>16</v>
      </c>
      <c r="AH362" s="3">
        <v>1</v>
      </c>
      <c r="AI362" s="3">
        <v>4</v>
      </c>
      <c r="AJ362" s="3">
        <v>0</v>
      </c>
      <c r="AK362" s="3">
        <v>3</v>
      </c>
      <c r="AL362" s="3">
        <v>1</v>
      </c>
      <c r="AM362" s="3">
        <v>7</v>
      </c>
      <c r="AN362" s="3">
        <v>0</v>
      </c>
      <c r="AO362" s="3">
        <v>0</v>
      </c>
      <c r="AP362" s="3">
        <v>0</v>
      </c>
      <c r="AQ362" s="3">
        <v>5</v>
      </c>
      <c r="AR362" s="2" t="s">
        <v>8</v>
      </c>
      <c r="AS362" s="2" t="s">
        <v>8</v>
      </c>
      <c r="AU362" s="5" t="str">
        <f>HYPERLINK("https://creighton-primo.hosted.exlibrisgroup.com/primo-explore/search?tab=default_tab&amp;search_scope=EVERYTHING&amp;vid=01CRU&amp;lang=en_US&amp;offset=0&amp;query=any,contains,991001357069702656","Catalog Record")</f>
        <v>Catalog Record</v>
      </c>
      <c r="AV362" s="5" t="str">
        <f>HYPERLINK("http://www.worldcat.org/oclc/237214234","WorldCat Record")</f>
        <v>WorldCat Record</v>
      </c>
      <c r="AW362" s="2" t="s">
        <v>4690</v>
      </c>
      <c r="AX362" s="2" t="s">
        <v>4691</v>
      </c>
      <c r="AY362" s="2" t="s">
        <v>4692</v>
      </c>
      <c r="AZ362" s="2" t="s">
        <v>4692</v>
      </c>
      <c r="BA362" s="2" t="s">
        <v>4693</v>
      </c>
      <c r="BB362" s="2" t="s">
        <v>21</v>
      </c>
      <c r="BD362" s="2" t="s">
        <v>4694</v>
      </c>
      <c r="BE362" s="2" t="s">
        <v>4695</v>
      </c>
      <c r="BF362" s="2" t="s">
        <v>4696</v>
      </c>
    </row>
    <row r="363" spans="1:58" ht="42.75" customHeight="1" x14ac:dyDescent="0.25">
      <c r="A363" s="8" t="s">
        <v>8</v>
      </c>
      <c r="B363" s="1" t="s">
        <v>0</v>
      </c>
      <c r="C363" s="1" t="s">
        <v>1</v>
      </c>
      <c r="D363" s="1" t="s">
        <v>4697</v>
      </c>
      <c r="E363" s="1" t="s">
        <v>4698</v>
      </c>
      <c r="F363" s="1" t="s">
        <v>4699</v>
      </c>
      <c r="H363" s="2" t="s">
        <v>8</v>
      </c>
      <c r="I363" s="2" t="s">
        <v>7</v>
      </c>
      <c r="J363" s="2" t="s">
        <v>8</v>
      </c>
      <c r="K363" s="2" t="s">
        <v>8</v>
      </c>
      <c r="L363" s="2" t="s">
        <v>9</v>
      </c>
      <c r="M363" s="1" t="s">
        <v>4700</v>
      </c>
      <c r="N363" s="1" t="s">
        <v>4701</v>
      </c>
      <c r="O363" s="2" t="s">
        <v>33</v>
      </c>
      <c r="Q363" s="2" t="s">
        <v>12</v>
      </c>
      <c r="R363" s="2" t="s">
        <v>1211</v>
      </c>
      <c r="T363" s="2" t="s">
        <v>14</v>
      </c>
      <c r="U363" s="3">
        <v>7</v>
      </c>
      <c r="V363" s="3">
        <v>7</v>
      </c>
      <c r="W363" s="4" t="s">
        <v>4702</v>
      </c>
      <c r="X363" s="4" t="s">
        <v>4702</v>
      </c>
      <c r="Y363" s="4" t="s">
        <v>4703</v>
      </c>
      <c r="Z363" s="4" t="s">
        <v>4703</v>
      </c>
      <c r="AA363" s="3">
        <v>548</v>
      </c>
      <c r="AB363" s="3">
        <v>467</v>
      </c>
      <c r="AC363" s="3">
        <v>876</v>
      </c>
      <c r="AD363" s="3">
        <v>4</v>
      </c>
      <c r="AE363" s="3">
        <v>9</v>
      </c>
      <c r="AF363" s="3">
        <v>21</v>
      </c>
      <c r="AG363" s="3">
        <v>41</v>
      </c>
      <c r="AH363" s="3">
        <v>10</v>
      </c>
      <c r="AI363" s="3">
        <v>15</v>
      </c>
      <c r="AJ363" s="3">
        <v>2</v>
      </c>
      <c r="AK363" s="3">
        <v>7</v>
      </c>
      <c r="AL363" s="3">
        <v>9</v>
      </c>
      <c r="AM363" s="3">
        <v>19</v>
      </c>
      <c r="AN363" s="3">
        <v>3</v>
      </c>
      <c r="AO363" s="3">
        <v>6</v>
      </c>
      <c r="AP363" s="3">
        <v>1</v>
      </c>
      <c r="AQ363" s="3">
        <v>3</v>
      </c>
      <c r="AR363" s="2" t="s">
        <v>8</v>
      </c>
      <c r="AS363" s="2" t="s">
        <v>8</v>
      </c>
      <c r="AU363" s="5" t="str">
        <f>HYPERLINK("https://creighton-primo.hosted.exlibrisgroup.com/primo-explore/search?tab=default_tab&amp;search_scope=EVERYTHING&amp;vid=01CRU&amp;lang=en_US&amp;offset=0&amp;query=any,contains,991001123629702656","Catalog Record")</f>
        <v>Catalog Record</v>
      </c>
      <c r="AV363" s="5" t="str">
        <f>HYPERLINK("http://www.worldcat.org/oclc/13234252","WorldCat Record")</f>
        <v>WorldCat Record</v>
      </c>
      <c r="AW363" s="2" t="s">
        <v>4704</v>
      </c>
      <c r="AX363" s="2" t="s">
        <v>4705</v>
      </c>
      <c r="AY363" s="2" t="s">
        <v>4706</v>
      </c>
      <c r="AZ363" s="2" t="s">
        <v>4706</v>
      </c>
      <c r="BA363" s="2" t="s">
        <v>4707</v>
      </c>
      <c r="BB363" s="2" t="s">
        <v>21</v>
      </c>
      <c r="BE363" s="2" t="s">
        <v>4708</v>
      </c>
      <c r="BF363" s="2" t="s">
        <v>4709</v>
      </c>
    </row>
    <row r="364" spans="1:58" ht="42.75" customHeight="1" x14ac:dyDescent="0.25">
      <c r="A364" s="8" t="s">
        <v>8</v>
      </c>
      <c r="B364" s="1" t="s">
        <v>0</v>
      </c>
      <c r="C364" s="1" t="s">
        <v>1</v>
      </c>
      <c r="D364" s="1" t="s">
        <v>4710</v>
      </c>
      <c r="E364" s="1" t="s">
        <v>4711</v>
      </c>
      <c r="F364" s="1" t="s">
        <v>4712</v>
      </c>
      <c r="H364" s="2" t="s">
        <v>8</v>
      </c>
      <c r="I364" s="2" t="s">
        <v>7</v>
      </c>
      <c r="J364" s="2" t="s">
        <v>6</v>
      </c>
      <c r="K364" s="2" t="s">
        <v>8</v>
      </c>
      <c r="L364" s="2" t="s">
        <v>9</v>
      </c>
      <c r="M364" s="1" t="s">
        <v>4218</v>
      </c>
      <c r="N364" s="1" t="s">
        <v>4713</v>
      </c>
      <c r="O364" s="2" t="s">
        <v>410</v>
      </c>
      <c r="Q364" s="2" t="s">
        <v>12</v>
      </c>
      <c r="R364" s="2" t="s">
        <v>13</v>
      </c>
      <c r="T364" s="2" t="s">
        <v>14</v>
      </c>
      <c r="U364" s="3">
        <v>14</v>
      </c>
      <c r="V364" s="3">
        <v>17</v>
      </c>
      <c r="W364" s="4" t="s">
        <v>4714</v>
      </c>
      <c r="X364" s="4" t="s">
        <v>4714</v>
      </c>
      <c r="Y364" s="4" t="s">
        <v>4715</v>
      </c>
      <c r="Z364" s="4" t="s">
        <v>4715</v>
      </c>
      <c r="AA364" s="3">
        <v>755</v>
      </c>
      <c r="AB364" s="3">
        <v>656</v>
      </c>
      <c r="AC364" s="3">
        <v>679</v>
      </c>
      <c r="AD364" s="3">
        <v>4</v>
      </c>
      <c r="AE364" s="3">
        <v>4</v>
      </c>
      <c r="AF364" s="3">
        <v>51</v>
      </c>
      <c r="AG364" s="3">
        <v>51</v>
      </c>
      <c r="AH364" s="3">
        <v>13</v>
      </c>
      <c r="AI364" s="3">
        <v>13</v>
      </c>
      <c r="AJ364" s="3">
        <v>9</v>
      </c>
      <c r="AK364" s="3">
        <v>9</v>
      </c>
      <c r="AL364" s="3">
        <v>17</v>
      </c>
      <c r="AM364" s="3">
        <v>17</v>
      </c>
      <c r="AN364" s="3">
        <v>2</v>
      </c>
      <c r="AO364" s="3">
        <v>2</v>
      </c>
      <c r="AP364" s="3">
        <v>21</v>
      </c>
      <c r="AQ364" s="3">
        <v>21</v>
      </c>
      <c r="AR364" s="2" t="s">
        <v>8</v>
      </c>
      <c r="AS364" s="2" t="s">
        <v>6</v>
      </c>
      <c r="AT364" s="5" t="str">
        <f>HYPERLINK("http://catalog.hathitrust.org/Record/002783758","HathiTrust Record")</f>
        <v>HathiTrust Record</v>
      </c>
      <c r="AU364" s="5" t="str">
        <f>HYPERLINK("https://creighton-primo.hosted.exlibrisgroup.com/primo-explore/search?tab=default_tab&amp;search_scope=EVERYTHING&amp;vid=01CRU&amp;lang=en_US&amp;offset=0&amp;query=any,contains,991001653039702656","Catalog Record")</f>
        <v>Catalog Record</v>
      </c>
      <c r="AV364" s="5" t="str">
        <f>HYPERLINK("http://www.worldcat.org/oclc/25867841","WorldCat Record")</f>
        <v>WorldCat Record</v>
      </c>
      <c r="AW364" s="2" t="s">
        <v>4716</v>
      </c>
      <c r="AX364" s="2" t="s">
        <v>4717</v>
      </c>
      <c r="AY364" s="2" t="s">
        <v>4718</v>
      </c>
      <c r="AZ364" s="2" t="s">
        <v>4718</v>
      </c>
      <c r="BA364" s="2" t="s">
        <v>4719</v>
      </c>
      <c r="BB364" s="2" t="s">
        <v>21</v>
      </c>
      <c r="BD364" s="2" t="s">
        <v>4720</v>
      </c>
      <c r="BE364" s="2" t="s">
        <v>4721</v>
      </c>
      <c r="BF364" s="2" t="s">
        <v>4722</v>
      </c>
    </row>
    <row r="365" spans="1:58" ht="42.75" customHeight="1" x14ac:dyDescent="0.25">
      <c r="A365" s="8" t="s">
        <v>8</v>
      </c>
      <c r="B365" s="1" t="s">
        <v>0</v>
      </c>
      <c r="C365" s="1" t="s">
        <v>1</v>
      </c>
      <c r="D365" s="1" t="s">
        <v>4723</v>
      </c>
      <c r="E365" s="1" t="s">
        <v>4724</v>
      </c>
      <c r="F365" s="1" t="s">
        <v>4725</v>
      </c>
      <c r="H365" s="2" t="s">
        <v>8</v>
      </c>
      <c r="I365" s="2" t="s">
        <v>7</v>
      </c>
      <c r="J365" s="2" t="s">
        <v>8</v>
      </c>
      <c r="K365" s="2" t="s">
        <v>6</v>
      </c>
      <c r="L365" s="2" t="s">
        <v>7</v>
      </c>
      <c r="M365" s="1" t="s">
        <v>4726</v>
      </c>
      <c r="N365" s="1" t="s">
        <v>4727</v>
      </c>
      <c r="O365" s="2" t="s">
        <v>627</v>
      </c>
      <c r="P365" s="1" t="s">
        <v>732</v>
      </c>
      <c r="Q365" s="2" t="s">
        <v>12</v>
      </c>
      <c r="R365" s="2" t="s">
        <v>34</v>
      </c>
      <c r="T365" s="2" t="s">
        <v>14</v>
      </c>
      <c r="U365" s="3">
        <v>54</v>
      </c>
      <c r="V365" s="3">
        <v>54</v>
      </c>
      <c r="W365" s="4" t="s">
        <v>4728</v>
      </c>
      <c r="X365" s="4" t="s">
        <v>4728</v>
      </c>
      <c r="Y365" s="4" t="s">
        <v>54</v>
      </c>
      <c r="Z365" s="4" t="s">
        <v>54</v>
      </c>
      <c r="AA365" s="3">
        <v>270</v>
      </c>
      <c r="AB365" s="3">
        <v>228</v>
      </c>
      <c r="AC365" s="3">
        <v>1917</v>
      </c>
      <c r="AD365" s="3">
        <v>4</v>
      </c>
      <c r="AE365" s="3">
        <v>18</v>
      </c>
      <c r="AF365" s="3">
        <v>19</v>
      </c>
      <c r="AG365" s="3">
        <v>72</v>
      </c>
      <c r="AH365" s="3">
        <v>6</v>
      </c>
      <c r="AI365" s="3">
        <v>25</v>
      </c>
      <c r="AJ365" s="3">
        <v>3</v>
      </c>
      <c r="AK365" s="3">
        <v>11</v>
      </c>
      <c r="AL365" s="3">
        <v>12</v>
      </c>
      <c r="AM365" s="3">
        <v>27</v>
      </c>
      <c r="AN365" s="3">
        <v>1</v>
      </c>
      <c r="AO365" s="3">
        <v>14</v>
      </c>
      <c r="AP365" s="3">
        <v>2</v>
      </c>
      <c r="AQ365" s="3">
        <v>8</v>
      </c>
      <c r="AR365" s="2" t="s">
        <v>8</v>
      </c>
      <c r="AS365" s="2" t="s">
        <v>6</v>
      </c>
      <c r="AT365" s="5" t="str">
        <f>HYPERLINK("http://catalog.hathitrust.org/Record/008852264","HathiTrust Record")</f>
        <v>HathiTrust Record</v>
      </c>
      <c r="AU365" s="5" t="str">
        <f>HYPERLINK("https://creighton-primo.hosted.exlibrisgroup.com/primo-explore/search?tab=default_tab&amp;search_scope=EVERYTHING&amp;vid=01CRU&amp;lang=en_US&amp;offset=0&amp;query=any,contains,991001316839702656","Catalog Record")</f>
        <v>Catalog Record</v>
      </c>
      <c r="AV365" s="5" t="str">
        <f>HYPERLINK("http://www.worldcat.org/oclc/19389599","WorldCat Record")</f>
        <v>WorldCat Record</v>
      </c>
      <c r="AW365" s="2" t="s">
        <v>4729</v>
      </c>
      <c r="AX365" s="2" t="s">
        <v>4730</v>
      </c>
      <c r="AY365" s="2" t="s">
        <v>4731</v>
      </c>
      <c r="AZ365" s="2" t="s">
        <v>4731</v>
      </c>
      <c r="BA365" s="2" t="s">
        <v>4732</v>
      </c>
      <c r="BB365" s="2" t="s">
        <v>21</v>
      </c>
      <c r="BD365" s="2" t="s">
        <v>4733</v>
      </c>
      <c r="BE365" s="2" t="s">
        <v>4734</v>
      </c>
      <c r="BF365" s="2" t="s">
        <v>4735</v>
      </c>
    </row>
    <row r="366" spans="1:58" ht="42.75" customHeight="1" x14ac:dyDescent="0.25">
      <c r="A366" s="8" t="s">
        <v>8</v>
      </c>
      <c r="B366" s="1" t="s">
        <v>0</v>
      </c>
      <c r="C366" s="1" t="s">
        <v>1</v>
      </c>
      <c r="D366" s="1" t="s">
        <v>4736</v>
      </c>
      <c r="E366" s="1" t="s">
        <v>4737</v>
      </c>
      <c r="F366" s="1" t="s">
        <v>4738</v>
      </c>
      <c r="H366" s="2" t="s">
        <v>8</v>
      </c>
      <c r="I366" s="2" t="s">
        <v>7</v>
      </c>
      <c r="J366" s="2" t="s">
        <v>8</v>
      </c>
      <c r="K366" s="2" t="s">
        <v>8</v>
      </c>
      <c r="L366" s="2" t="s">
        <v>7</v>
      </c>
      <c r="M366" s="1" t="s">
        <v>4726</v>
      </c>
      <c r="N366" s="1" t="s">
        <v>4739</v>
      </c>
      <c r="O366" s="2" t="s">
        <v>2044</v>
      </c>
      <c r="P366" s="1" t="s">
        <v>732</v>
      </c>
      <c r="Q366" s="2" t="s">
        <v>12</v>
      </c>
      <c r="R366" s="2" t="s">
        <v>1211</v>
      </c>
      <c r="T366" s="2" t="s">
        <v>14</v>
      </c>
      <c r="U366" s="3">
        <v>3</v>
      </c>
      <c r="V366" s="3">
        <v>3</v>
      </c>
      <c r="W366" s="4" t="s">
        <v>2006</v>
      </c>
      <c r="X366" s="4" t="s">
        <v>2006</v>
      </c>
      <c r="Y366" s="4" t="s">
        <v>4740</v>
      </c>
      <c r="Z366" s="4" t="s">
        <v>4740</v>
      </c>
      <c r="AA366" s="3">
        <v>235</v>
      </c>
      <c r="AB366" s="3">
        <v>189</v>
      </c>
      <c r="AC366" s="3">
        <v>1196</v>
      </c>
      <c r="AD366" s="3">
        <v>1</v>
      </c>
      <c r="AE366" s="3">
        <v>14</v>
      </c>
      <c r="AF366" s="3">
        <v>14</v>
      </c>
      <c r="AG366" s="3">
        <v>51</v>
      </c>
      <c r="AH366" s="3">
        <v>7</v>
      </c>
      <c r="AI366" s="3">
        <v>17</v>
      </c>
      <c r="AJ366" s="3">
        <v>4</v>
      </c>
      <c r="AK366" s="3">
        <v>9</v>
      </c>
      <c r="AL366" s="3">
        <v>8</v>
      </c>
      <c r="AM366" s="3">
        <v>19</v>
      </c>
      <c r="AN366" s="3">
        <v>0</v>
      </c>
      <c r="AO366" s="3">
        <v>12</v>
      </c>
      <c r="AP366" s="3">
        <v>0</v>
      </c>
      <c r="AQ366" s="3">
        <v>4</v>
      </c>
      <c r="AR366" s="2" t="s">
        <v>8</v>
      </c>
      <c r="AS366" s="2" t="s">
        <v>8</v>
      </c>
      <c r="AU366" s="5" t="str">
        <f>HYPERLINK("https://creighton-primo.hosted.exlibrisgroup.com/primo-explore/search?tab=default_tab&amp;search_scope=EVERYTHING&amp;vid=01CRU&amp;lang=en_US&amp;offset=0&amp;query=any,contains,991000377959702656","Catalog Record")</f>
        <v>Catalog Record</v>
      </c>
      <c r="AV366" s="5" t="str">
        <f>HYPERLINK("http://www.worldcat.org/oclc/48966789","WorldCat Record")</f>
        <v>WorldCat Record</v>
      </c>
      <c r="AW366" s="2" t="s">
        <v>4741</v>
      </c>
      <c r="AX366" s="2" t="s">
        <v>4742</v>
      </c>
      <c r="AY366" s="2" t="s">
        <v>4743</v>
      </c>
      <c r="AZ366" s="2" t="s">
        <v>4743</v>
      </c>
      <c r="BA366" s="2" t="s">
        <v>4744</v>
      </c>
      <c r="BB366" s="2" t="s">
        <v>21</v>
      </c>
      <c r="BD366" s="2" t="s">
        <v>4745</v>
      </c>
      <c r="BE366" s="2" t="s">
        <v>4746</v>
      </c>
      <c r="BF366" s="2" t="s">
        <v>4747</v>
      </c>
    </row>
    <row r="367" spans="1:58" ht="42.75" customHeight="1" x14ac:dyDescent="0.25">
      <c r="A367" s="8" t="s">
        <v>8</v>
      </c>
      <c r="B367" s="1" t="s">
        <v>0</v>
      </c>
      <c r="C367" s="1" t="s">
        <v>1</v>
      </c>
      <c r="D367" s="1" t="s">
        <v>4748</v>
      </c>
      <c r="E367" s="1" t="s">
        <v>4749</v>
      </c>
      <c r="F367" s="1" t="s">
        <v>4750</v>
      </c>
      <c r="H367" s="2" t="s">
        <v>8</v>
      </c>
      <c r="I367" s="2" t="s">
        <v>7</v>
      </c>
      <c r="J367" s="2" t="s">
        <v>8</v>
      </c>
      <c r="K367" s="2" t="s">
        <v>8</v>
      </c>
      <c r="L367" s="2" t="s">
        <v>9</v>
      </c>
      <c r="M367" s="1" t="s">
        <v>4726</v>
      </c>
      <c r="N367" s="1" t="s">
        <v>4751</v>
      </c>
      <c r="O367" s="2" t="s">
        <v>1327</v>
      </c>
      <c r="Q367" s="2" t="s">
        <v>12</v>
      </c>
      <c r="R367" s="2" t="s">
        <v>774</v>
      </c>
      <c r="T367" s="2" t="s">
        <v>14</v>
      </c>
      <c r="U367" s="3">
        <v>37</v>
      </c>
      <c r="V367" s="3">
        <v>37</v>
      </c>
      <c r="W367" s="4" t="s">
        <v>4752</v>
      </c>
      <c r="X367" s="4" t="s">
        <v>4752</v>
      </c>
      <c r="Y367" s="4" t="s">
        <v>4753</v>
      </c>
      <c r="Z367" s="4" t="s">
        <v>4753</v>
      </c>
      <c r="AA367" s="3">
        <v>164</v>
      </c>
      <c r="AB367" s="3">
        <v>141</v>
      </c>
      <c r="AC367" s="3">
        <v>143</v>
      </c>
      <c r="AD367" s="3">
        <v>1</v>
      </c>
      <c r="AE367" s="3">
        <v>1</v>
      </c>
      <c r="AF367" s="3">
        <v>14</v>
      </c>
      <c r="AG367" s="3">
        <v>14</v>
      </c>
      <c r="AH367" s="3">
        <v>3</v>
      </c>
      <c r="AI367" s="3">
        <v>3</v>
      </c>
      <c r="AJ367" s="3">
        <v>5</v>
      </c>
      <c r="AK367" s="3">
        <v>5</v>
      </c>
      <c r="AL367" s="3">
        <v>9</v>
      </c>
      <c r="AM367" s="3">
        <v>9</v>
      </c>
      <c r="AN367" s="3">
        <v>0</v>
      </c>
      <c r="AO367" s="3">
        <v>0</v>
      </c>
      <c r="AP367" s="3">
        <v>1</v>
      </c>
      <c r="AQ367" s="3">
        <v>1</v>
      </c>
      <c r="AR367" s="2" t="s">
        <v>8</v>
      </c>
      <c r="AS367" s="2" t="s">
        <v>6</v>
      </c>
      <c r="AT367" s="5" t="str">
        <f>HYPERLINK("http://catalog.hathitrust.org/Record/000824685","HathiTrust Record")</f>
        <v>HathiTrust Record</v>
      </c>
      <c r="AU367" s="5" t="str">
        <f>HYPERLINK("https://creighton-primo.hosted.exlibrisgroup.com/primo-explore/search?tab=default_tab&amp;search_scope=EVERYTHING&amp;vid=01CRU&amp;lang=en_US&amp;offset=0&amp;query=any,contains,991001182479702656","Catalog Record")</f>
        <v>Catalog Record</v>
      </c>
      <c r="AV367" s="5" t="str">
        <f>HYPERLINK("http://www.worldcat.org/oclc/12949659","WorldCat Record")</f>
        <v>WorldCat Record</v>
      </c>
      <c r="AW367" s="2" t="s">
        <v>4754</v>
      </c>
      <c r="AX367" s="2" t="s">
        <v>4755</v>
      </c>
      <c r="AY367" s="2" t="s">
        <v>4756</v>
      </c>
      <c r="AZ367" s="2" t="s">
        <v>4756</v>
      </c>
      <c r="BA367" s="2" t="s">
        <v>4757</v>
      </c>
      <c r="BB367" s="2" t="s">
        <v>21</v>
      </c>
      <c r="BD367" s="2" t="s">
        <v>4758</v>
      </c>
      <c r="BE367" s="2" t="s">
        <v>4759</v>
      </c>
      <c r="BF367" s="2" t="s">
        <v>4760</v>
      </c>
    </row>
    <row r="368" spans="1:58" ht="42.75" customHeight="1" x14ac:dyDescent="0.25">
      <c r="A368" s="8" t="s">
        <v>8</v>
      </c>
      <c r="B368" s="1" t="s">
        <v>0</v>
      </c>
      <c r="C368" s="1" t="s">
        <v>1</v>
      </c>
      <c r="D368" s="1" t="s">
        <v>4761</v>
      </c>
      <c r="E368" s="1" t="s">
        <v>4762</v>
      </c>
      <c r="F368" s="1" t="s">
        <v>4763</v>
      </c>
      <c r="H368" s="2" t="s">
        <v>8</v>
      </c>
      <c r="I368" s="2" t="s">
        <v>7</v>
      </c>
      <c r="J368" s="2" t="s">
        <v>8</v>
      </c>
      <c r="K368" s="2" t="s">
        <v>8</v>
      </c>
      <c r="L368" s="2" t="s">
        <v>9</v>
      </c>
      <c r="N368" s="1" t="s">
        <v>4764</v>
      </c>
      <c r="O368" s="2" t="s">
        <v>731</v>
      </c>
      <c r="Q368" s="2" t="s">
        <v>12</v>
      </c>
      <c r="R368" s="2" t="s">
        <v>145</v>
      </c>
      <c r="T368" s="2" t="s">
        <v>14</v>
      </c>
      <c r="U368" s="3">
        <v>13</v>
      </c>
      <c r="V368" s="3">
        <v>13</v>
      </c>
      <c r="W368" s="4" t="s">
        <v>4765</v>
      </c>
      <c r="X368" s="4" t="s">
        <v>4765</v>
      </c>
      <c r="Y368" s="4" t="s">
        <v>4766</v>
      </c>
      <c r="Z368" s="4" t="s">
        <v>4766</v>
      </c>
      <c r="AA368" s="3">
        <v>265</v>
      </c>
      <c r="AB368" s="3">
        <v>177</v>
      </c>
      <c r="AC368" s="3">
        <v>286</v>
      </c>
      <c r="AD368" s="3">
        <v>2</v>
      </c>
      <c r="AE368" s="3">
        <v>2</v>
      </c>
      <c r="AF368" s="3">
        <v>12</v>
      </c>
      <c r="AG368" s="3">
        <v>15</v>
      </c>
      <c r="AH368" s="3">
        <v>2</v>
      </c>
      <c r="AI368" s="3">
        <v>2</v>
      </c>
      <c r="AJ368" s="3">
        <v>3</v>
      </c>
      <c r="AK368" s="3">
        <v>4</v>
      </c>
      <c r="AL368" s="3">
        <v>5</v>
      </c>
      <c r="AM368" s="3">
        <v>8</v>
      </c>
      <c r="AN368" s="3">
        <v>1</v>
      </c>
      <c r="AO368" s="3">
        <v>1</v>
      </c>
      <c r="AP368" s="3">
        <v>4</v>
      </c>
      <c r="AQ368" s="3">
        <v>4</v>
      </c>
      <c r="AR368" s="2" t="s">
        <v>8</v>
      </c>
      <c r="AS368" s="2" t="s">
        <v>8</v>
      </c>
      <c r="AU368" s="5" t="str">
        <f>HYPERLINK("https://creighton-primo.hosted.exlibrisgroup.com/primo-explore/search?tab=default_tab&amp;search_scope=EVERYTHING&amp;vid=01CRU&amp;lang=en_US&amp;offset=0&amp;query=any,contains,991001565689702656","Catalog Record")</f>
        <v>Catalog Record</v>
      </c>
      <c r="AV368" s="5" t="str">
        <f>HYPERLINK("http://www.worldcat.org/oclc/39313504","WorldCat Record")</f>
        <v>WorldCat Record</v>
      </c>
      <c r="AW368" s="2" t="s">
        <v>4767</v>
      </c>
      <c r="AX368" s="2" t="s">
        <v>4768</v>
      </c>
      <c r="AY368" s="2" t="s">
        <v>4769</v>
      </c>
      <c r="AZ368" s="2" t="s">
        <v>4769</v>
      </c>
      <c r="BA368" s="2" t="s">
        <v>4770</v>
      </c>
      <c r="BB368" s="2" t="s">
        <v>21</v>
      </c>
      <c r="BD368" s="2" t="s">
        <v>4771</v>
      </c>
      <c r="BE368" s="2" t="s">
        <v>4772</v>
      </c>
      <c r="BF368" s="2" t="s">
        <v>4773</v>
      </c>
    </row>
    <row r="369" spans="1:58" ht="42.75" customHeight="1" x14ac:dyDescent="0.25">
      <c r="A369" s="8" t="s">
        <v>8</v>
      </c>
      <c r="B369" s="1" t="s">
        <v>0</v>
      </c>
      <c r="C369" s="1" t="s">
        <v>1</v>
      </c>
      <c r="D369" s="1" t="s">
        <v>4774</v>
      </c>
      <c r="E369" s="1" t="s">
        <v>4775</v>
      </c>
      <c r="F369" s="1" t="s">
        <v>4776</v>
      </c>
      <c r="H369" s="2" t="s">
        <v>8</v>
      </c>
      <c r="I369" s="2" t="s">
        <v>7</v>
      </c>
      <c r="J369" s="2" t="s">
        <v>8</v>
      </c>
      <c r="K369" s="2" t="s">
        <v>8</v>
      </c>
      <c r="L369" s="2" t="s">
        <v>9</v>
      </c>
      <c r="M369" s="1" t="s">
        <v>4777</v>
      </c>
      <c r="N369" s="1" t="s">
        <v>4778</v>
      </c>
      <c r="O369" s="2" t="s">
        <v>589</v>
      </c>
      <c r="Q369" s="2" t="s">
        <v>12</v>
      </c>
      <c r="R369" s="2" t="s">
        <v>13</v>
      </c>
      <c r="S369" s="1" t="s">
        <v>4779</v>
      </c>
      <c r="T369" s="2" t="s">
        <v>14</v>
      </c>
      <c r="U369" s="3">
        <v>15</v>
      </c>
      <c r="V369" s="3">
        <v>15</v>
      </c>
      <c r="W369" s="4" t="s">
        <v>4780</v>
      </c>
      <c r="X369" s="4" t="s">
        <v>4780</v>
      </c>
      <c r="Y369" s="4" t="s">
        <v>4781</v>
      </c>
      <c r="Z369" s="4" t="s">
        <v>4781</v>
      </c>
      <c r="AA369" s="3">
        <v>243</v>
      </c>
      <c r="AB369" s="3">
        <v>197</v>
      </c>
      <c r="AC369" s="3">
        <v>203</v>
      </c>
      <c r="AD369" s="3">
        <v>1</v>
      </c>
      <c r="AE369" s="3">
        <v>1</v>
      </c>
      <c r="AF369" s="3">
        <v>10</v>
      </c>
      <c r="AG369" s="3">
        <v>10</v>
      </c>
      <c r="AH369" s="3">
        <v>3</v>
      </c>
      <c r="AI369" s="3">
        <v>3</v>
      </c>
      <c r="AJ369" s="3">
        <v>2</v>
      </c>
      <c r="AK369" s="3">
        <v>2</v>
      </c>
      <c r="AL369" s="3">
        <v>6</v>
      </c>
      <c r="AM369" s="3">
        <v>6</v>
      </c>
      <c r="AN369" s="3">
        <v>0</v>
      </c>
      <c r="AO369" s="3">
        <v>0</v>
      </c>
      <c r="AP369" s="3">
        <v>2</v>
      </c>
      <c r="AQ369" s="3">
        <v>2</v>
      </c>
      <c r="AR369" s="2" t="s">
        <v>8</v>
      </c>
      <c r="AS369" s="2" t="s">
        <v>8</v>
      </c>
      <c r="AU369" s="5" t="str">
        <f>HYPERLINK("https://creighton-primo.hosted.exlibrisgroup.com/primo-explore/search?tab=default_tab&amp;search_scope=EVERYTHING&amp;vid=01CRU&amp;lang=en_US&amp;offset=0&amp;query=any,contains,991000768569702656","Catalog Record")</f>
        <v>Catalog Record</v>
      </c>
      <c r="AV369" s="5" t="str">
        <f>HYPERLINK("http://www.worldcat.org/oclc/20826311","WorldCat Record")</f>
        <v>WorldCat Record</v>
      </c>
      <c r="AW369" s="2" t="s">
        <v>4782</v>
      </c>
      <c r="AX369" s="2" t="s">
        <v>4783</v>
      </c>
      <c r="AY369" s="2" t="s">
        <v>4784</v>
      </c>
      <c r="AZ369" s="2" t="s">
        <v>4784</v>
      </c>
      <c r="BA369" s="2" t="s">
        <v>4785</v>
      </c>
      <c r="BB369" s="2" t="s">
        <v>21</v>
      </c>
      <c r="BD369" s="2" t="s">
        <v>4786</v>
      </c>
      <c r="BE369" s="2" t="s">
        <v>4787</v>
      </c>
      <c r="BF369" s="2" t="s">
        <v>4788</v>
      </c>
    </row>
    <row r="370" spans="1:58" ht="42.75" customHeight="1" x14ac:dyDescent="0.25">
      <c r="A370" s="8" t="s">
        <v>8</v>
      </c>
      <c r="B370" s="1" t="s">
        <v>0</v>
      </c>
      <c r="C370" s="1" t="s">
        <v>1</v>
      </c>
      <c r="D370" s="1" t="s">
        <v>4789</v>
      </c>
      <c r="E370" s="1" t="s">
        <v>4790</v>
      </c>
      <c r="F370" s="1" t="s">
        <v>4791</v>
      </c>
      <c r="H370" s="2" t="s">
        <v>8</v>
      </c>
      <c r="I370" s="2" t="s">
        <v>7</v>
      </c>
      <c r="J370" s="2" t="s">
        <v>8</v>
      </c>
      <c r="K370" s="2" t="s">
        <v>8</v>
      </c>
      <c r="L370" s="2" t="s">
        <v>9</v>
      </c>
      <c r="N370" s="1" t="s">
        <v>4792</v>
      </c>
      <c r="O370" s="2" t="s">
        <v>2919</v>
      </c>
      <c r="Q370" s="2" t="s">
        <v>12</v>
      </c>
      <c r="R370" s="2" t="s">
        <v>4793</v>
      </c>
      <c r="T370" s="2" t="s">
        <v>14</v>
      </c>
      <c r="U370" s="3">
        <v>3</v>
      </c>
      <c r="V370" s="3">
        <v>3</v>
      </c>
      <c r="W370" s="4" t="s">
        <v>4794</v>
      </c>
      <c r="X370" s="4" t="s">
        <v>4794</v>
      </c>
      <c r="Y370" s="4" t="s">
        <v>4443</v>
      </c>
      <c r="Z370" s="4" t="s">
        <v>4443</v>
      </c>
      <c r="AA370" s="3">
        <v>3</v>
      </c>
      <c r="AB370" s="3">
        <v>3</v>
      </c>
      <c r="AC370" s="3">
        <v>3</v>
      </c>
      <c r="AD370" s="3">
        <v>1</v>
      </c>
      <c r="AE370" s="3">
        <v>1</v>
      </c>
      <c r="AF370" s="3">
        <v>0</v>
      </c>
      <c r="AG370" s="3">
        <v>0</v>
      </c>
      <c r="AH370" s="3">
        <v>0</v>
      </c>
      <c r="AI370" s="3">
        <v>0</v>
      </c>
      <c r="AJ370" s="3">
        <v>0</v>
      </c>
      <c r="AK370" s="3">
        <v>0</v>
      </c>
      <c r="AL370" s="3">
        <v>0</v>
      </c>
      <c r="AM370" s="3">
        <v>0</v>
      </c>
      <c r="AN370" s="3">
        <v>0</v>
      </c>
      <c r="AO370" s="3">
        <v>0</v>
      </c>
      <c r="AP370" s="3">
        <v>0</v>
      </c>
      <c r="AQ370" s="3">
        <v>0</v>
      </c>
      <c r="AR370" s="2" t="s">
        <v>8</v>
      </c>
      <c r="AS370" s="2" t="s">
        <v>8</v>
      </c>
      <c r="AU370" s="5" t="str">
        <f>HYPERLINK("https://creighton-primo.hosted.exlibrisgroup.com/primo-explore/search?tab=default_tab&amp;search_scope=EVERYTHING&amp;vid=01CRU&amp;lang=en_US&amp;offset=0&amp;query=any,contains,991001182669702656","Catalog Record")</f>
        <v>Catalog Record</v>
      </c>
      <c r="AV370" s="5" t="str">
        <f>HYPERLINK("http://www.worldcat.org/oclc/5049843","WorldCat Record")</f>
        <v>WorldCat Record</v>
      </c>
      <c r="AW370" s="2" t="s">
        <v>4795</v>
      </c>
      <c r="AX370" s="2" t="s">
        <v>4796</v>
      </c>
      <c r="AY370" s="2" t="s">
        <v>4797</v>
      </c>
      <c r="AZ370" s="2" t="s">
        <v>4797</v>
      </c>
      <c r="BA370" s="2" t="s">
        <v>4798</v>
      </c>
      <c r="BB370" s="2" t="s">
        <v>21</v>
      </c>
      <c r="BE370" s="2" t="s">
        <v>4799</v>
      </c>
      <c r="BF370" s="2" t="s">
        <v>4800</v>
      </c>
    </row>
    <row r="371" spans="1:58" ht="42.75" customHeight="1" x14ac:dyDescent="0.25">
      <c r="A371" s="8" t="s">
        <v>8</v>
      </c>
      <c r="B371" s="1" t="s">
        <v>0</v>
      </c>
      <c r="C371" s="1" t="s">
        <v>1</v>
      </c>
      <c r="D371" s="1" t="s">
        <v>4801</v>
      </c>
      <c r="E371" s="1" t="s">
        <v>4802</v>
      </c>
      <c r="F371" s="1" t="s">
        <v>4803</v>
      </c>
      <c r="H371" s="2" t="s">
        <v>8</v>
      </c>
      <c r="I371" s="2" t="s">
        <v>7</v>
      </c>
      <c r="J371" s="2" t="s">
        <v>8</v>
      </c>
      <c r="K371" s="2" t="s">
        <v>8</v>
      </c>
      <c r="L371" s="2" t="s">
        <v>9</v>
      </c>
      <c r="M371" s="1" t="s">
        <v>4804</v>
      </c>
      <c r="N371" s="1" t="s">
        <v>4805</v>
      </c>
      <c r="O371" s="2" t="s">
        <v>1629</v>
      </c>
      <c r="Q371" s="2" t="s">
        <v>12</v>
      </c>
      <c r="R371" s="2" t="s">
        <v>577</v>
      </c>
      <c r="S371" s="1" t="s">
        <v>4806</v>
      </c>
      <c r="T371" s="2" t="s">
        <v>14</v>
      </c>
      <c r="U371" s="3">
        <v>20</v>
      </c>
      <c r="V371" s="3">
        <v>20</v>
      </c>
      <c r="W371" s="4" t="s">
        <v>4807</v>
      </c>
      <c r="X371" s="4" t="s">
        <v>4807</v>
      </c>
      <c r="Y371" s="4" t="s">
        <v>4443</v>
      </c>
      <c r="Z371" s="4" t="s">
        <v>4443</v>
      </c>
      <c r="AA371" s="3">
        <v>479</v>
      </c>
      <c r="AB371" s="3">
        <v>397</v>
      </c>
      <c r="AC371" s="3">
        <v>399</v>
      </c>
      <c r="AD371" s="3">
        <v>2</v>
      </c>
      <c r="AE371" s="3">
        <v>2</v>
      </c>
      <c r="AF371" s="3">
        <v>23</v>
      </c>
      <c r="AG371" s="3">
        <v>23</v>
      </c>
      <c r="AH371" s="3">
        <v>11</v>
      </c>
      <c r="AI371" s="3">
        <v>11</v>
      </c>
      <c r="AJ371" s="3">
        <v>4</v>
      </c>
      <c r="AK371" s="3">
        <v>4</v>
      </c>
      <c r="AL371" s="3">
        <v>13</v>
      </c>
      <c r="AM371" s="3">
        <v>13</v>
      </c>
      <c r="AN371" s="3">
        <v>1</v>
      </c>
      <c r="AO371" s="3">
        <v>1</v>
      </c>
      <c r="AP371" s="3">
        <v>1</v>
      </c>
      <c r="AQ371" s="3">
        <v>1</v>
      </c>
      <c r="AR371" s="2" t="s">
        <v>8</v>
      </c>
      <c r="AS371" s="2" t="s">
        <v>6</v>
      </c>
      <c r="AT371" s="5" t="str">
        <f>HYPERLINK("http://catalog.hathitrust.org/Record/000124126","HathiTrust Record")</f>
        <v>HathiTrust Record</v>
      </c>
      <c r="AU371" s="5" t="str">
        <f>HYPERLINK("https://creighton-primo.hosted.exlibrisgroup.com/primo-explore/search?tab=default_tab&amp;search_scope=EVERYTHING&amp;vid=01CRU&amp;lang=en_US&amp;offset=0&amp;query=any,contains,991001182719702656","Catalog Record")</f>
        <v>Catalog Record</v>
      </c>
      <c r="AV371" s="5" t="str">
        <f>HYPERLINK("http://www.worldcat.org/oclc/9896581","WorldCat Record")</f>
        <v>WorldCat Record</v>
      </c>
      <c r="AW371" s="2" t="s">
        <v>4808</v>
      </c>
      <c r="AX371" s="2" t="s">
        <v>4809</v>
      </c>
      <c r="AY371" s="2" t="s">
        <v>4810</v>
      </c>
      <c r="AZ371" s="2" t="s">
        <v>4810</v>
      </c>
      <c r="BA371" s="2" t="s">
        <v>4811</v>
      </c>
      <c r="BB371" s="2" t="s">
        <v>21</v>
      </c>
      <c r="BD371" s="2" t="s">
        <v>4812</v>
      </c>
      <c r="BE371" s="2" t="s">
        <v>4813</v>
      </c>
      <c r="BF371" s="2" t="s">
        <v>4814</v>
      </c>
    </row>
    <row r="372" spans="1:58" ht="42.75" customHeight="1" x14ac:dyDescent="0.25">
      <c r="A372" s="8" t="s">
        <v>8</v>
      </c>
      <c r="B372" s="1" t="s">
        <v>0</v>
      </c>
      <c r="C372" s="1" t="s">
        <v>1</v>
      </c>
      <c r="D372" s="1" t="s">
        <v>4815</v>
      </c>
      <c r="E372" s="1" t="s">
        <v>4816</v>
      </c>
      <c r="F372" s="1" t="s">
        <v>4817</v>
      </c>
      <c r="H372" s="2" t="s">
        <v>8</v>
      </c>
      <c r="I372" s="2" t="s">
        <v>7</v>
      </c>
      <c r="J372" s="2" t="s">
        <v>6</v>
      </c>
      <c r="K372" s="2" t="s">
        <v>8</v>
      </c>
      <c r="L372" s="2" t="s">
        <v>9</v>
      </c>
      <c r="M372" s="1" t="s">
        <v>4818</v>
      </c>
      <c r="N372" s="1" t="s">
        <v>4805</v>
      </c>
      <c r="O372" s="2" t="s">
        <v>1629</v>
      </c>
      <c r="Q372" s="2" t="s">
        <v>12</v>
      </c>
      <c r="R372" s="2" t="s">
        <v>34</v>
      </c>
      <c r="S372" s="1" t="s">
        <v>4819</v>
      </c>
      <c r="T372" s="2" t="s">
        <v>14</v>
      </c>
      <c r="U372" s="3">
        <v>11</v>
      </c>
      <c r="V372" s="3">
        <v>11</v>
      </c>
      <c r="W372" s="4" t="s">
        <v>4820</v>
      </c>
      <c r="X372" s="4" t="s">
        <v>4820</v>
      </c>
      <c r="Y372" s="4" t="s">
        <v>1766</v>
      </c>
      <c r="Z372" s="4" t="s">
        <v>1766</v>
      </c>
      <c r="AA372" s="3">
        <v>369</v>
      </c>
      <c r="AB372" s="3">
        <v>283</v>
      </c>
      <c r="AC372" s="3">
        <v>285</v>
      </c>
      <c r="AD372" s="3">
        <v>2</v>
      </c>
      <c r="AE372" s="3">
        <v>2</v>
      </c>
      <c r="AF372" s="3">
        <v>14</v>
      </c>
      <c r="AG372" s="3">
        <v>14</v>
      </c>
      <c r="AH372" s="3">
        <v>3</v>
      </c>
      <c r="AI372" s="3">
        <v>3</v>
      </c>
      <c r="AJ372" s="3">
        <v>4</v>
      </c>
      <c r="AK372" s="3">
        <v>4</v>
      </c>
      <c r="AL372" s="3">
        <v>11</v>
      </c>
      <c r="AM372" s="3">
        <v>11</v>
      </c>
      <c r="AN372" s="3">
        <v>0</v>
      </c>
      <c r="AO372" s="3">
        <v>0</v>
      </c>
      <c r="AP372" s="3">
        <v>1</v>
      </c>
      <c r="AQ372" s="3">
        <v>1</v>
      </c>
      <c r="AR372" s="2" t="s">
        <v>8</v>
      </c>
      <c r="AS372" s="2" t="s">
        <v>6</v>
      </c>
      <c r="AT372" s="5" t="str">
        <f>HYPERLINK("http://catalog.hathitrust.org/Record/000286765","HathiTrust Record")</f>
        <v>HathiTrust Record</v>
      </c>
      <c r="AU372" s="5" t="str">
        <f>HYPERLINK("https://creighton-primo.hosted.exlibrisgroup.com/primo-explore/search?tab=default_tab&amp;search_scope=EVERYTHING&amp;vid=01CRU&amp;lang=en_US&amp;offset=0&amp;query=any,contains,991000753659702656","Catalog Record")</f>
        <v>Catalog Record</v>
      </c>
      <c r="AV372" s="5" t="str">
        <f>HYPERLINK("http://www.worldcat.org/oclc/10072140","WorldCat Record")</f>
        <v>WorldCat Record</v>
      </c>
      <c r="AW372" s="2" t="s">
        <v>4821</v>
      </c>
      <c r="AX372" s="2" t="s">
        <v>4822</v>
      </c>
      <c r="AY372" s="2" t="s">
        <v>4823</v>
      </c>
      <c r="AZ372" s="2" t="s">
        <v>4823</v>
      </c>
      <c r="BA372" s="2" t="s">
        <v>4824</v>
      </c>
      <c r="BB372" s="2" t="s">
        <v>21</v>
      </c>
      <c r="BD372" s="2" t="s">
        <v>4825</v>
      </c>
      <c r="BE372" s="2" t="s">
        <v>4826</v>
      </c>
      <c r="BF372" s="2" t="s">
        <v>4827</v>
      </c>
    </row>
    <row r="373" spans="1:58" ht="42.75" customHeight="1" x14ac:dyDescent="0.25">
      <c r="A373" s="8" t="s">
        <v>8</v>
      </c>
      <c r="B373" s="1" t="s">
        <v>0</v>
      </c>
      <c r="C373" s="1" t="s">
        <v>1</v>
      </c>
      <c r="D373" s="1" t="s">
        <v>4828</v>
      </c>
      <c r="E373" s="1" t="s">
        <v>4829</v>
      </c>
      <c r="F373" s="1" t="s">
        <v>4830</v>
      </c>
      <c r="H373" s="2" t="s">
        <v>8</v>
      </c>
      <c r="I373" s="2" t="s">
        <v>7</v>
      </c>
      <c r="J373" s="2" t="s">
        <v>8</v>
      </c>
      <c r="K373" s="2" t="s">
        <v>8</v>
      </c>
      <c r="L373" s="2" t="s">
        <v>9</v>
      </c>
      <c r="M373" s="1" t="s">
        <v>4831</v>
      </c>
      <c r="N373" s="1" t="s">
        <v>4832</v>
      </c>
      <c r="O373" s="2" t="s">
        <v>144</v>
      </c>
      <c r="P373" s="1" t="s">
        <v>1225</v>
      </c>
      <c r="Q373" s="2" t="s">
        <v>12</v>
      </c>
      <c r="R373" s="2" t="s">
        <v>1340</v>
      </c>
      <c r="T373" s="2" t="s">
        <v>14</v>
      </c>
      <c r="U373" s="3">
        <v>8</v>
      </c>
      <c r="V373" s="3">
        <v>8</v>
      </c>
      <c r="W373" s="4" t="s">
        <v>2551</v>
      </c>
      <c r="X373" s="4" t="s">
        <v>2551</v>
      </c>
      <c r="Y373" s="4" t="s">
        <v>4443</v>
      </c>
      <c r="Z373" s="4" t="s">
        <v>4443</v>
      </c>
      <c r="AA373" s="3">
        <v>393</v>
      </c>
      <c r="AB373" s="3">
        <v>308</v>
      </c>
      <c r="AC373" s="3">
        <v>310</v>
      </c>
      <c r="AD373" s="3">
        <v>2</v>
      </c>
      <c r="AE373" s="3">
        <v>2</v>
      </c>
      <c r="AF373" s="3">
        <v>14</v>
      </c>
      <c r="AG373" s="3">
        <v>14</v>
      </c>
      <c r="AH373" s="3">
        <v>4</v>
      </c>
      <c r="AI373" s="3">
        <v>4</v>
      </c>
      <c r="AJ373" s="3">
        <v>2</v>
      </c>
      <c r="AK373" s="3">
        <v>2</v>
      </c>
      <c r="AL373" s="3">
        <v>7</v>
      </c>
      <c r="AM373" s="3">
        <v>7</v>
      </c>
      <c r="AN373" s="3">
        <v>1</v>
      </c>
      <c r="AO373" s="3">
        <v>1</v>
      </c>
      <c r="AP373" s="3">
        <v>2</v>
      </c>
      <c r="AQ373" s="3">
        <v>2</v>
      </c>
      <c r="AR373" s="2" t="s">
        <v>8</v>
      </c>
      <c r="AS373" s="2" t="s">
        <v>6</v>
      </c>
      <c r="AT373" s="5" t="str">
        <f>HYPERLINK("http://catalog.hathitrust.org/Record/001557848","HathiTrust Record")</f>
        <v>HathiTrust Record</v>
      </c>
      <c r="AU373" s="5" t="str">
        <f>HYPERLINK("https://creighton-primo.hosted.exlibrisgroup.com/primo-explore/search?tab=default_tab&amp;search_scope=EVERYTHING&amp;vid=01CRU&amp;lang=en_US&amp;offset=0&amp;query=any,contains,991001182759702656","Catalog Record")</f>
        <v>Catalog Record</v>
      </c>
      <c r="AV373" s="5" t="str">
        <f>HYPERLINK("http://www.worldcat.org/oclc/61789","WorldCat Record")</f>
        <v>WorldCat Record</v>
      </c>
      <c r="AW373" s="2" t="s">
        <v>4833</v>
      </c>
      <c r="AX373" s="2" t="s">
        <v>4834</v>
      </c>
      <c r="AY373" s="2" t="s">
        <v>4835</v>
      </c>
      <c r="AZ373" s="2" t="s">
        <v>4835</v>
      </c>
      <c r="BA373" s="2" t="s">
        <v>4836</v>
      </c>
      <c r="BB373" s="2" t="s">
        <v>21</v>
      </c>
      <c r="BE373" s="2" t="s">
        <v>4837</v>
      </c>
      <c r="BF373" s="2" t="s">
        <v>4838</v>
      </c>
    </row>
    <row r="374" spans="1:58" ht="42.75" customHeight="1" x14ac:dyDescent="0.25">
      <c r="A374" s="8" t="s">
        <v>8</v>
      </c>
      <c r="B374" s="1" t="s">
        <v>0</v>
      </c>
      <c r="C374" s="1" t="s">
        <v>1</v>
      </c>
      <c r="D374" s="1" t="s">
        <v>4839</v>
      </c>
      <c r="E374" s="1" t="s">
        <v>4840</v>
      </c>
      <c r="F374" s="1" t="s">
        <v>4841</v>
      </c>
      <c r="H374" s="2" t="s">
        <v>8</v>
      </c>
      <c r="I374" s="2" t="s">
        <v>7</v>
      </c>
      <c r="J374" s="2" t="s">
        <v>8</v>
      </c>
      <c r="K374" s="2" t="s">
        <v>8</v>
      </c>
      <c r="L374" s="2" t="s">
        <v>9</v>
      </c>
      <c r="M374" s="1" t="s">
        <v>4842</v>
      </c>
      <c r="N374" s="1" t="s">
        <v>4843</v>
      </c>
      <c r="O374" s="2" t="s">
        <v>410</v>
      </c>
      <c r="Q374" s="2" t="s">
        <v>12</v>
      </c>
      <c r="R374" s="2" t="s">
        <v>13</v>
      </c>
      <c r="T374" s="2" t="s">
        <v>14</v>
      </c>
      <c r="U374" s="3">
        <v>14</v>
      </c>
      <c r="V374" s="3">
        <v>14</v>
      </c>
      <c r="W374" s="4" t="s">
        <v>4844</v>
      </c>
      <c r="X374" s="4" t="s">
        <v>4844</v>
      </c>
      <c r="Y374" s="4" t="s">
        <v>4845</v>
      </c>
      <c r="Z374" s="4" t="s">
        <v>4845</v>
      </c>
      <c r="AA374" s="3">
        <v>756</v>
      </c>
      <c r="AB374" s="3">
        <v>715</v>
      </c>
      <c r="AC374" s="3">
        <v>840</v>
      </c>
      <c r="AD374" s="3">
        <v>2</v>
      </c>
      <c r="AE374" s="3">
        <v>3</v>
      </c>
      <c r="AF374" s="3">
        <v>16</v>
      </c>
      <c r="AG374" s="3">
        <v>19</v>
      </c>
      <c r="AH374" s="3">
        <v>4</v>
      </c>
      <c r="AI374" s="3">
        <v>5</v>
      </c>
      <c r="AJ374" s="3">
        <v>3</v>
      </c>
      <c r="AK374" s="3">
        <v>3</v>
      </c>
      <c r="AL374" s="3">
        <v>11</v>
      </c>
      <c r="AM374" s="3">
        <v>12</v>
      </c>
      <c r="AN374" s="3">
        <v>0</v>
      </c>
      <c r="AO374" s="3">
        <v>1</v>
      </c>
      <c r="AP374" s="3">
        <v>3</v>
      </c>
      <c r="AQ374" s="3">
        <v>3</v>
      </c>
      <c r="AR374" s="2" t="s">
        <v>8</v>
      </c>
      <c r="AS374" s="2" t="s">
        <v>6</v>
      </c>
      <c r="AT374" s="5" t="str">
        <f>HYPERLINK("http://catalog.hathitrust.org/Record/002809796","HathiTrust Record")</f>
        <v>HathiTrust Record</v>
      </c>
      <c r="AU374" s="5" t="str">
        <f>HYPERLINK("https://creighton-primo.hosted.exlibrisgroup.com/primo-explore/search?tab=default_tab&amp;search_scope=EVERYTHING&amp;vid=01CRU&amp;lang=en_US&amp;offset=0&amp;query=any,contains,991001428609702656","Catalog Record")</f>
        <v>Catalog Record</v>
      </c>
      <c r="AV374" s="5" t="str">
        <f>HYPERLINK("http://www.worldcat.org/oclc/26673411","WorldCat Record")</f>
        <v>WorldCat Record</v>
      </c>
      <c r="AW374" s="2" t="s">
        <v>4846</v>
      </c>
      <c r="AX374" s="2" t="s">
        <v>4847</v>
      </c>
      <c r="AY374" s="2" t="s">
        <v>4848</v>
      </c>
      <c r="AZ374" s="2" t="s">
        <v>4848</v>
      </c>
      <c r="BA374" s="2" t="s">
        <v>4849</v>
      </c>
      <c r="BB374" s="2" t="s">
        <v>21</v>
      </c>
      <c r="BD374" s="2" t="s">
        <v>4850</v>
      </c>
      <c r="BE374" s="2" t="s">
        <v>4851</v>
      </c>
      <c r="BF374" s="2" t="s">
        <v>4852</v>
      </c>
    </row>
    <row r="375" spans="1:58" ht="42.75" customHeight="1" x14ac:dyDescent="0.25">
      <c r="A375" s="8" t="s">
        <v>8</v>
      </c>
      <c r="B375" s="1" t="s">
        <v>0</v>
      </c>
      <c r="C375" s="1" t="s">
        <v>1</v>
      </c>
      <c r="D375" s="1" t="s">
        <v>4853</v>
      </c>
      <c r="E375" s="1" t="s">
        <v>4854</v>
      </c>
      <c r="F375" s="1" t="s">
        <v>4855</v>
      </c>
      <c r="H375" s="2" t="s">
        <v>8</v>
      </c>
      <c r="I375" s="2" t="s">
        <v>7</v>
      </c>
      <c r="J375" s="2" t="s">
        <v>8</v>
      </c>
      <c r="K375" s="2" t="s">
        <v>8</v>
      </c>
      <c r="L375" s="2" t="s">
        <v>9</v>
      </c>
      <c r="N375" s="1" t="s">
        <v>4856</v>
      </c>
      <c r="O375" s="2" t="s">
        <v>627</v>
      </c>
      <c r="Q375" s="2" t="s">
        <v>12</v>
      </c>
      <c r="R375" s="2" t="s">
        <v>577</v>
      </c>
      <c r="S375" s="1" t="s">
        <v>4857</v>
      </c>
      <c r="T375" s="2" t="s">
        <v>14</v>
      </c>
      <c r="U375" s="3">
        <v>9</v>
      </c>
      <c r="V375" s="3">
        <v>9</v>
      </c>
      <c r="W375" s="4" t="s">
        <v>4858</v>
      </c>
      <c r="X375" s="4" t="s">
        <v>4858</v>
      </c>
      <c r="Y375" s="4" t="s">
        <v>4859</v>
      </c>
      <c r="Z375" s="4" t="s">
        <v>4859</v>
      </c>
      <c r="AA375" s="3">
        <v>49</v>
      </c>
      <c r="AB375" s="3">
        <v>46</v>
      </c>
      <c r="AC375" s="3">
        <v>47</v>
      </c>
      <c r="AD375" s="3">
        <v>1</v>
      </c>
      <c r="AE375" s="3">
        <v>1</v>
      </c>
      <c r="AF375" s="3">
        <v>3</v>
      </c>
      <c r="AG375" s="3">
        <v>3</v>
      </c>
      <c r="AH375" s="3">
        <v>1</v>
      </c>
      <c r="AI375" s="3">
        <v>1</v>
      </c>
      <c r="AJ375" s="3">
        <v>1</v>
      </c>
      <c r="AK375" s="3">
        <v>1</v>
      </c>
      <c r="AL375" s="3">
        <v>1</v>
      </c>
      <c r="AM375" s="3">
        <v>1</v>
      </c>
      <c r="AN375" s="3">
        <v>0</v>
      </c>
      <c r="AO375" s="3">
        <v>0</v>
      </c>
      <c r="AP375" s="3">
        <v>0</v>
      </c>
      <c r="AQ375" s="3">
        <v>0</v>
      </c>
      <c r="AR375" s="2" t="s">
        <v>8</v>
      </c>
      <c r="AS375" s="2" t="s">
        <v>8</v>
      </c>
      <c r="AU375" s="5" t="str">
        <f>HYPERLINK("https://creighton-primo.hosted.exlibrisgroup.com/primo-explore/search?tab=default_tab&amp;search_scope=EVERYTHING&amp;vid=01CRU&amp;lang=en_US&amp;offset=0&amp;query=any,contains,991001122769702656","Catalog Record")</f>
        <v>Catalog Record</v>
      </c>
      <c r="AV375" s="5" t="str">
        <f>HYPERLINK("http://www.worldcat.org/oclc/19870285","WorldCat Record")</f>
        <v>WorldCat Record</v>
      </c>
      <c r="AW375" s="2" t="s">
        <v>4860</v>
      </c>
      <c r="AX375" s="2" t="s">
        <v>4861</v>
      </c>
      <c r="AY375" s="2" t="s">
        <v>4862</v>
      </c>
      <c r="AZ375" s="2" t="s">
        <v>4862</v>
      </c>
      <c r="BA375" s="2" t="s">
        <v>4863</v>
      </c>
      <c r="BB375" s="2" t="s">
        <v>21</v>
      </c>
      <c r="BD375" s="2" t="s">
        <v>4864</v>
      </c>
      <c r="BE375" s="2" t="s">
        <v>4865</v>
      </c>
      <c r="BF375" s="2" t="s">
        <v>4866</v>
      </c>
    </row>
    <row r="376" spans="1:58" ht="42.75" customHeight="1" x14ac:dyDescent="0.25">
      <c r="A376" s="8" t="s">
        <v>8</v>
      </c>
      <c r="B376" s="1" t="s">
        <v>0</v>
      </c>
      <c r="C376" s="1" t="s">
        <v>1</v>
      </c>
      <c r="D376" s="1" t="s">
        <v>4867</v>
      </c>
      <c r="E376" s="1" t="s">
        <v>4868</v>
      </c>
      <c r="F376" s="1" t="s">
        <v>4869</v>
      </c>
      <c r="H376" s="2" t="s">
        <v>8</v>
      </c>
      <c r="I376" s="2" t="s">
        <v>7</v>
      </c>
      <c r="J376" s="2" t="s">
        <v>8</v>
      </c>
      <c r="K376" s="2" t="s">
        <v>6</v>
      </c>
      <c r="L376" s="2" t="s">
        <v>9</v>
      </c>
      <c r="N376" s="1" t="s">
        <v>4870</v>
      </c>
      <c r="O376" s="2" t="s">
        <v>602</v>
      </c>
      <c r="P376" s="1" t="s">
        <v>732</v>
      </c>
      <c r="Q376" s="2" t="s">
        <v>12</v>
      </c>
      <c r="R376" s="2" t="s">
        <v>13</v>
      </c>
      <c r="T376" s="2" t="s">
        <v>14</v>
      </c>
      <c r="U376" s="3">
        <v>47</v>
      </c>
      <c r="V376" s="3">
        <v>47</v>
      </c>
      <c r="W376" s="4" t="s">
        <v>4871</v>
      </c>
      <c r="X376" s="4" t="s">
        <v>4871</v>
      </c>
      <c r="Y376" s="4" t="s">
        <v>4872</v>
      </c>
      <c r="Z376" s="4" t="s">
        <v>4872</v>
      </c>
      <c r="AA376" s="3">
        <v>343</v>
      </c>
      <c r="AB376" s="3">
        <v>270</v>
      </c>
      <c r="AC376" s="3">
        <v>1225</v>
      </c>
      <c r="AD376" s="3">
        <v>1</v>
      </c>
      <c r="AE376" s="3">
        <v>7</v>
      </c>
      <c r="AF376" s="3">
        <v>8</v>
      </c>
      <c r="AG376" s="3">
        <v>47</v>
      </c>
      <c r="AH376" s="3">
        <v>3</v>
      </c>
      <c r="AI376" s="3">
        <v>15</v>
      </c>
      <c r="AJ376" s="3">
        <v>4</v>
      </c>
      <c r="AK376" s="3">
        <v>11</v>
      </c>
      <c r="AL376" s="3">
        <v>3</v>
      </c>
      <c r="AM376" s="3">
        <v>20</v>
      </c>
      <c r="AN376" s="3">
        <v>0</v>
      </c>
      <c r="AO376" s="3">
        <v>4</v>
      </c>
      <c r="AP376" s="3">
        <v>1</v>
      </c>
      <c r="AQ376" s="3">
        <v>8</v>
      </c>
      <c r="AR376" s="2" t="s">
        <v>8</v>
      </c>
      <c r="AS376" s="2" t="s">
        <v>6</v>
      </c>
      <c r="AT376" s="5" t="str">
        <f>HYPERLINK("http://catalog.hathitrust.org/Record/002521415","HathiTrust Record")</f>
        <v>HathiTrust Record</v>
      </c>
      <c r="AU376" s="5" t="str">
        <f>HYPERLINK("https://creighton-primo.hosted.exlibrisgroup.com/primo-explore/search?tab=default_tab&amp;search_scope=EVERYTHING&amp;vid=01CRU&amp;lang=en_US&amp;offset=0&amp;query=any,contains,991001432829702656","Catalog Record")</f>
        <v>Catalog Record</v>
      </c>
      <c r="AV376" s="5" t="str">
        <f>HYPERLINK("http://www.worldcat.org/oclc/21483682","WorldCat Record")</f>
        <v>WorldCat Record</v>
      </c>
      <c r="AW376" s="2" t="s">
        <v>4873</v>
      </c>
      <c r="AX376" s="2" t="s">
        <v>4874</v>
      </c>
      <c r="AY376" s="2" t="s">
        <v>4875</v>
      </c>
      <c r="AZ376" s="2" t="s">
        <v>4875</v>
      </c>
      <c r="BA376" s="2" t="s">
        <v>4876</v>
      </c>
      <c r="BB376" s="2" t="s">
        <v>21</v>
      </c>
      <c r="BD376" s="2" t="s">
        <v>4877</v>
      </c>
      <c r="BE376" s="2" t="s">
        <v>4878</v>
      </c>
      <c r="BF376" s="2" t="s">
        <v>4879</v>
      </c>
    </row>
    <row r="377" spans="1:58" ht="42.75" customHeight="1" x14ac:dyDescent="0.25">
      <c r="A377" s="8" t="s">
        <v>8</v>
      </c>
      <c r="B377" s="1" t="s">
        <v>0</v>
      </c>
      <c r="C377" s="1" t="s">
        <v>1</v>
      </c>
      <c r="D377" s="1" t="s">
        <v>4880</v>
      </c>
      <c r="E377" s="1" t="s">
        <v>4881</v>
      </c>
      <c r="F377" s="1" t="s">
        <v>4882</v>
      </c>
      <c r="H377" s="2" t="s">
        <v>8</v>
      </c>
      <c r="I377" s="2" t="s">
        <v>7</v>
      </c>
      <c r="J377" s="2" t="s">
        <v>8</v>
      </c>
      <c r="K377" s="2" t="s">
        <v>6</v>
      </c>
      <c r="L377" s="2" t="s">
        <v>9</v>
      </c>
      <c r="N377" s="1" t="s">
        <v>4883</v>
      </c>
      <c r="O377" s="2" t="s">
        <v>1060</v>
      </c>
      <c r="P377" s="1" t="s">
        <v>4884</v>
      </c>
      <c r="Q377" s="2" t="s">
        <v>12</v>
      </c>
      <c r="R377" s="2" t="s">
        <v>13</v>
      </c>
      <c r="T377" s="2" t="s">
        <v>14</v>
      </c>
      <c r="U377" s="3">
        <v>3</v>
      </c>
      <c r="V377" s="3">
        <v>3</v>
      </c>
      <c r="W377" s="4" t="s">
        <v>4885</v>
      </c>
      <c r="X377" s="4" t="s">
        <v>4885</v>
      </c>
      <c r="Y377" s="4" t="s">
        <v>4886</v>
      </c>
      <c r="Z377" s="4" t="s">
        <v>4886</v>
      </c>
      <c r="AA377" s="3">
        <v>284</v>
      </c>
      <c r="AB377" s="3">
        <v>217</v>
      </c>
      <c r="AC377" s="3">
        <v>1225</v>
      </c>
      <c r="AD377" s="3">
        <v>2</v>
      </c>
      <c r="AE377" s="3">
        <v>7</v>
      </c>
      <c r="AF377" s="3">
        <v>11</v>
      </c>
      <c r="AG377" s="3">
        <v>47</v>
      </c>
      <c r="AH377" s="3">
        <v>2</v>
      </c>
      <c r="AI377" s="3">
        <v>15</v>
      </c>
      <c r="AJ377" s="3">
        <v>4</v>
      </c>
      <c r="AK377" s="3">
        <v>11</v>
      </c>
      <c r="AL377" s="3">
        <v>6</v>
      </c>
      <c r="AM377" s="3">
        <v>20</v>
      </c>
      <c r="AN377" s="3">
        <v>1</v>
      </c>
      <c r="AO377" s="3">
        <v>4</v>
      </c>
      <c r="AP377" s="3">
        <v>0</v>
      </c>
      <c r="AQ377" s="3">
        <v>8</v>
      </c>
      <c r="AR377" s="2" t="s">
        <v>8</v>
      </c>
      <c r="AS377" s="2" t="s">
        <v>6</v>
      </c>
      <c r="AT377" s="5" t="str">
        <f>HYPERLINK("http://catalog.hathitrust.org/Record/003094153","HathiTrust Record")</f>
        <v>HathiTrust Record</v>
      </c>
      <c r="AU377" s="5" t="str">
        <f>HYPERLINK("https://creighton-primo.hosted.exlibrisgroup.com/primo-explore/search?tab=default_tab&amp;search_scope=EVERYTHING&amp;vid=01CRU&amp;lang=en_US&amp;offset=0&amp;query=any,contains,991000782339702656","Catalog Record")</f>
        <v>Catalog Record</v>
      </c>
      <c r="AV377" s="5" t="str">
        <f>HYPERLINK("http://www.worldcat.org/oclc/32590843","WorldCat Record")</f>
        <v>WorldCat Record</v>
      </c>
      <c r="AW377" s="2" t="s">
        <v>4873</v>
      </c>
      <c r="AX377" s="2" t="s">
        <v>4887</v>
      </c>
      <c r="AY377" s="2" t="s">
        <v>4888</v>
      </c>
      <c r="AZ377" s="2" t="s">
        <v>4888</v>
      </c>
      <c r="BA377" s="2" t="s">
        <v>4889</v>
      </c>
      <c r="BB377" s="2" t="s">
        <v>21</v>
      </c>
      <c r="BD377" s="2" t="s">
        <v>4890</v>
      </c>
      <c r="BE377" s="2" t="s">
        <v>4891</v>
      </c>
      <c r="BF377" s="2" t="s">
        <v>4892</v>
      </c>
    </row>
    <row r="378" spans="1:58" ht="42.75" customHeight="1" x14ac:dyDescent="0.25">
      <c r="A378" s="8" t="s">
        <v>8</v>
      </c>
      <c r="B378" s="1" t="s">
        <v>0</v>
      </c>
      <c r="C378" s="1" t="s">
        <v>1</v>
      </c>
      <c r="D378" s="1" t="s">
        <v>4893</v>
      </c>
      <c r="E378" s="1" t="s">
        <v>4894</v>
      </c>
      <c r="F378" s="1" t="s">
        <v>4895</v>
      </c>
      <c r="H378" s="2" t="s">
        <v>8</v>
      </c>
      <c r="I378" s="2" t="s">
        <v>7</v>
      </c>
      <c r="J378" s="2" t="s">
        <v>8</v>
      </c>
      <c r="K378" s="2" t="s">
        <v>6</v>
      </c>
      <c r="L378" s="2" t="s">
        <v>9</v>
      </c>
      <c r="N378" s="1" t="s">
        <v>4896</v>
      </c>
      <c r="O378" s="2" t="s">
        <v>298</v>
      </c>
      <c r="Q378" s="2" t="s">
        <v>12</v>
      </c>
      <c r="R378" s="2" t="s">
        <v>34</v>
      </c>
      <c r="S378" s="1" t="s">
        <v>4897</v>
      </c>
      <c r="T378" s="2" t="s">
        <v>14</v>
      </c>
      <c r="U378" s="3">
        <v>19</v>
      </c>
      <c r="V378" s="3">
        <v>19</v>
      </c>
      <c r="W378" s="4" t="s">
        <v>4898</v>
      </c>
      <c r="X378" s="4" t="s">
        <v>4898</v>
      </c>
      <c r="Y378" s="4" t="s">
        <v>4443</v>
      </c>
      <c r="Z378" s="4" t="s">
        <v>4443</v>
      </c>
      <c r="AA378" s="3">
        <v>39</v>
      </c>
      <c r="AB378" s="3">
        <v>37</v>
      </c>
      <c r="AC378" s="3">
        <v>929</v>
      </c>
      <c r="AD378" s="3">
        <v>1</v>
      </c>
      <c r="AE378" s="3">
        <v>13</v>
      </c>
      <c r="AF378" s="3">
        <v>0</v>
      </c>
      <c r="AG378" s="3">
        <v>16</v>
      </c>
      <c r="AH378" s="3">
        <v>0</v>
      </c>
      <c r="AI378" s="3">
        <v>6</v>
      </c>
      <c r="AJ378" s="3">
        <v>0</v>
      </c>
      <c r="AK378" s="3">
        <v>2</v>
      </c>
      <c r="AL378" s="3">
        <v>0</v>
      </c>
      <c r="AM378" s="3">
        <v>8</v>
      </c>
      <c r="AN378" s="3">
        <v>0</v>
      </c>
      <c r="AO378" s="3">
        <v>4</v>
      </c>
      <c r="AP378" s="3">
        <v>0</v>
      </c>
      <c r="AQ378" s="3">
        <v>0</v>
      </c>
      <c r="AR378" s="2" t="s">
        <v>8</v>
      </c>
      <c r="AS378" s="2" t="s">
        <v>8</v>
      </c>
      <c r="AU378" s="5" t="str">
        <f>HYPERLINK("https://creighton-primo.hosted.exlibrisgroup.com/primo-explore/search?tab=default_tab&amp;search_scope=EVERYTHING&amp;vid=01CRU&amp;lang=en_US&amp;offset=0&amp;query=any,contains,991000761499702656","Catalog Record")</f>
        <v>Catalog Record</v>
      </c>
      <c r="AV378" s="5" t="str">
        <f>HYPERLINK("http://www.worldcat.org/oclc/14966400","WorldCat Record")</f>
        <v>WorldCat Record</v>
      </c>
      <c r="AW378" s="2" t="s">
        <v>4899</v>
      </c>
      <c r="AX378" s="2" t="s">
        <v>4900</v>
      </c>
      <c r="AY378" s="2" t="s">
        <v>4901</v>
      </c>
      <c r="AZ378" s="2" t="s">
        <v>4901</v>
      </c>
      <c r="BA378" s="2" t="s">
        <v>4902</v>
      </c>
      <c r="BB378" s="2" t="s">
        <v>21</v>
      </c>
      <c r="BD378" s="2" t="s">
        <v>4903</v>
      </c>
      <c r="BE378" s="2" t="s">
        <v>4904</v>
      </c>
      <c r="BF378" s="2" t="s">
        <v>4905</v>
      </c>
    </row>
    <row r="379" spans="1:58" ht="42.75" customHeight="1" x14ac:dyDescent="0.25">
      <c r="A379" s="8" t="s">
        <v>8</v>
      </c>
      <c r="B379" s="1" t="s">
        <v>0</v>
      </c>
      <c r="C379" s="1" t="s">
        <v>1</v>
      </c>
      <c r="D379" s="1" t="s">
        <v>4906</v>
      </c>
      <c r="E379" s="1" t="s">
        <v>4907</v>
      </c>
      <c r="F379" s="1" t="s">
        <v>4908</v>
      </c>
      <c r="H379" s="2" t="s">
        <v>8</v>
      </c>
      <c r="I379" s="2" t="s">
        <v>7</v>
      </c>
      <c r="J379" s="2" t="s">
        <v>8</v>
      </c>
      <c r="K379" s="2" t="s">
        <v>8</v>
      </c>
      <c r="L379" s="2" t="s">
        <v>9</v>
      </c>
      <c r="N379" s="1" t="s">
        <v>4909</v>
      </c>
      <c r="O379" s="2" t="s">
        <v>830</v>
      </c>
      <c r="Q379" s="2" t="s">
        <v>12</v>
      </c>
      <c r="R379" s="2" t="s">
        <v>1252</v>
      </c>
      <c r="S379" s="1" t="s">
        <v>4910</v>
      </c>
      <c r="T379" s="2" t="s">
        <v>14</v>
      </c>
      <c r="U379" s="3">
        <v>1</v>
      </c>
      <c r="V379" s="3">
        <v>1</v>
      </c>
      <c r="W379" s="4" t="s">
        <v>4911</v>
      </c>
      <c r="X379" s="4" t="s">
        <v>4911</v>
      </c>
      <c r="Y379" s="4" t="s">
        <v>4912</v>
      </c>
      <c r="Z379" s="4" t="s">
        <v>4912</v>
      </c>
      <c r="AA379" s="3">
        <v>432</v>
      </c>
      <c r="AB379" s="3">
        <v>415</v>
      </c>
      <c r="AC379" s="3">
        <v>833</v>
      </c>
      <c r="AD379" s="3">
        <v>3</v>
      </c>
      <c r="AE379" s="3">
        <v>9</v>
      </c>
      <c r="AF379" s="3">
        <v>2</v>
      </c>
      <c r="AG379" s="3">
        <v>9</v>
      </c>
      <c r="AH379" s="3">
        <v>1</v>
      </c>
      <c r="AI379" s="3">
        <v>1</v>
      </c>
      <c r="AJ379" s="3">
        <v>1</v>
      </c>
      <c r="AK379" s="3">
        <v>2</v>
      </c>
      <c r="AL379" s="3">
        <v>0</v>
      </c>
      <c r="AM379" s="3">
        <v>3</v>
      </c>
      <c r="AN379" s="3">
        <v>0</v>
      </c>
      <c r="AO379" s="3">
        <v>3</v>
      </c>
      <c r="AP379" s="3">
        <v>0</v>
      </c>
      <c r="AQ379" s="3">
        <v>0</v>
      </c>
      <c r="AR379" s="2" t="s">
        <v>8</v>
      </c>
      <c r="AS379" s="2" t="s">
        <v>6</v>
      </c>
      <c r="AT379" s="5" t="str">
        <f>HYPERLINK("http://catalog.hathitrust.org/Record/004767010","HathiTrust Record")</f>
        <v>HathiTrust Record</v>
      </c>
      <c r="AU379" s="5" t="str">
        <f>HYPERLINK("https://creighton-primo.hosted.exlibrisgroup.com/primo-explore/search?tab=default_tab&amp;search_scope=EVERYTHING&amp;vid=01CRU&amp;lang=en_US&amp;offset=0&amp;query=any,contains,991000383449702656","Catalog Record")</f>
        <v>Catalog Record</v>
      </c>
      <c r="AV379" s="5" t="str">
        <f>HYPERLINK("http://www.worldcat.org/oclc/49259861","WorldCat Record")</f>
        <v>WorldCat Record</v>
      </c>
      <c r="AW379" s="2" t="s">
        <v>4913</v>
      </c>
      <c r="AX379" s="2" t="s">
        <v>4914</v>
      </c>
      <c r="AY379" s="2" t="s">
        <v>4915</v>
      </c>
      <c r="AZ379" s="2" t="s">
        <v>4915</v>
      </c>
      <c r="BA379" s="2" t="s">
        <v>4916</v>
      </c>
      <c r="BB379" s="2" t="s">
        <v>21</v>
      </c>
      <c r="BD379" s="2" t="s">
        <v>4917</v>
      </c>
      <c r="BE379" s="2" t="s">
        <v>4918</v>
      </c>
      <c r="BF379" s="2" t="s">
        <v>4919</v>
      </c>
    </row>
    <row r="380" spans="1:58" ht="42.75" customHeight="1" x14ac:dyDescent="0.25">
      <c r="A380" s="8" t="s">
        <v>8</v>
      </c>
      <c r="B380" s="1" t="s">
        <v>0</v>
      </c>
      <c r="C380" s="1" t="s">
        <v>1</v>
      </c>
      <c r="D380" s="1" t="s">
        <v>4920</v>
      </c>
      <c r="E380" s="1" t="s">
        <v>4921</v>
      </c>
      <c r="F380" s="1" t="s">
        <v>4922</v>
      </c>
      <c r="H380" s="2" t="s">
        <v>8</v>
      </c>
      <c r="I380" s="2" t="s">
        <v>7</v>
      </c>
      <c r="J380" s="2" t="s">
        <v>8</v>
      </c>
      <c r="K380" s="2" t="s">
        <v>8</v>
      </c>
      <c r="L380" s="2" t="s">
        <v>9</v>
      </c>
      <c r="M380" s="1" t="s">
        <v>4923</v>
      </c>
      <c r="N380" s="1" t="s">
        <v>4924</v>
      </c>
      <c r="O380" s="2" t="s">
        <v>1629</v>
      </c>
      <c r="Q380" s="2" t="s">
        <v>12</v>
      </c>
      <c r="R380" s="2" t="s">
        <v>658</v>
      </c>
      <c r="S380" s="1" t="s">
        <v>4925</v>
      </c>
      <c r="T380" s="2" t="s">
        <v>14</v>
      </c>
      <c r="U380" s="3">
        <v>12</v>
      </c>
      <c r="V380" s="3">
        <v>12</v>
      </c>
      <c r="W380" s="4" t="s">
        <v>4926</v>
      </c>
      <c r="X380" s="4" t="s">
        <v>4926</v>
      </c>
      <c r="Y380" s="4" t="s">
        <v>4443</v>
      </c>
      <c r="Z380" s="4" t="s">
        <v>4443</v>
      </c>
      <c r="AA380" s="3">
        <v>288</v>
      </c>
      <c r="AB380" s="3">
        <v>230</v>
      </c>
      <c r="AC380" s="3">
        <v>256</v>
      </c>
      <c r="AD380" s="3">
        <v>4</v>
      </c>
      <c r="AE380" s="3">
        <v>4</v>
      </c>
      <c r="AF380" s="3">
        <v>17</v>
      </c>
      <c r="AG380" s="3">
        <v>17</v>
      </c>
      <c r="AH380" s="3">
        <v>6</v>
      </c>
      <c r="AI380" s="3">
        <v>6</v>
      </c>
      <c r="AJ380" s="3">
        <v>3</v>
      </c>
      <c r="AK380" s="3">
        <v>3</v>
      </c>
      <c r="AL380" s="3">
        <v>9</v>
      </c>
      <c r="AM380" s="3">
        <v>9</v>
      </c>
      <c r="AN380" s="3">
        <v>2</v>
      </c>
      <c r="AO380" s="3">
        <v>2</v>
      </c>
      <c r="AP380" s="3">
        <v>2</v>
      </c>
      <c r="AQ380" s="3">
        <v>2</v>
      </c>
      <c r="AR380" s="2" t="s">
        <v>8</v>
      </c>
      <c r="AS380" s="2" t="s">
        <v>6</v>
      </c>
      <c r="AT380" s="5" t="str">
        <f>HYPERLINK("http://catalog.hathitrust.org/Record/002634849","HathiTrust Record")</f>
        <v>HathiTrust Record</v>
      </c>
      <c r="AU380" s="5" t="str">
        <f>HYPERLINK("https://creighton-primo.hosted.exlibrisgroup.com/primo-explore/search?tab=default_tab&amp;search_scope=EVERYTHING&amp;vid=01CRU&amp;lang=en_US&amp;offset=0&amp;query=any,contains,991001183059702656","Catalog Record")</f>
        <v>Catalog Record</v>
      </c>
      <c r="AV380" s="5" t="str">
        <f>HYPERLINK("http://www.worldcat.org/oclc/10451468","WorldCat Record")</f>
        <v>WorldCat Record</v>
      </c>
      <c r="AW380" s="2" t="s">
        <v>4927</v>
      </c>
      <c r="AX380" s="2" t="s">
        <v>4928</v>
      </c>
      <c r="AY380" s="2" t="s">
        <v>4929</v>
      </c>
      <c r="AZ380" s="2" t="s">
        <v>4929</v>
      </c>
      <c r="BA380" s="2" t="s">
        <v>4930</v>
      </c>
      <c r="BB380" s="2" t="s">
        <v>21</v>
      </c>
      <c r="BD380" s="2" t="s">
        <v>4931</v>
      </c>
      <c r="BE380" s="2" t="s">
        <v>4932</v>
      </c>
      <c r="BF380" s="2" t="s">
        <v>4933</v>
      </c>
    </row>
    <row r="381" spans="1:58" ht="42.75" customHeight="1" x14ac:dyDescent="0.25">
      <c r="A381" s="8" t="s">
        <v>8</v>
      </c>
      <c r="B381" s="1" t="s">
        <v>0</v>
      </c>
      <c r="C381" s="1" t="s">
        <v>1</v>
      </c>
      <c r="D381" s="1" t="s">
        <v>4934</v>
      </c>
      <c r="E381" s="1" t="s">
        <v>4935</v>
      </c>
      <c r="F381" s="1" t="s">
        <v>4936</v>
      </c>
      <c r="H381" s="2" t="s">
        <v>8</v>
      </c>
      <c r="I381" s="2" t="s">
        <v>7</v>
      </c>
      <c r="J381" s="2" t="s">
        <v>8</v>
      </c>
      <c r="K381" s="2" t="s">
        <v>8</v>
      </c>
      <c r="L381" s="2" t="s">
        <v>9</v>
      </c>
      <c r="M381" s="1" t="s">
        <v>4937</v>
      </c>
      <c r="N381" s="1" t="s">
        <v>4938</v>
      </c>
      <c r="O381" s="2" t="s">
        <v>657</v>
      </c>
      <c r="Q381" s="2" t="s">
        <v>12</v>
      </c>
      <c r="R381" s="2" t="s">
        <v>1170</v>
      </c>
      <c r="T381" s="2" t="s">
        <v>14</v>
      </c>
      <c r="U381" s="3">
        <v>8</v>
      </c>
      <c r="V381" s="3">
        <v>8</v>
      </c>
      <c r="W381" s="4" t="s">
        <v>4939</v>
      </c>
      <c r="X381" s="4" t="s">
        <v>4939</v>
      </c>
      <c r="Y381" s="4" t="s">
        <v>4940</v>
      </c>
      <c r="Z381" s="4" t="s">
        <v>4940</v>
      </c>
      <c r="AA381" s="3">
        <v>144</v>
      </c>
      <c r="AB381" s="3">
        <v>123</v>
      </c>
      <c r="AC381" s="3">
        <v>124</v>
      </c>
      <c r="AD381" s="3">
        <v>2</v>
      </c>
      <c r="AE381" s="3">
        <v>2</v>
      </c>
      <c r="AF381" s="3">
        <v>5</v>
      </c>
      <c r="AG381" s="3">
        <v>5</v>
      </c>
      <c r="AH381" s="3">
        <v>1</v>
      </c>
      <c r="AI381" s="3">
        <v>1</v>
      </c>
      <c r="AJ381" s="3">
        <v>3</v>
      </c>
      <c r="AK381" s="3">
        <v>3</v>
      </c>
      <c r="AL381" s="3">
        <v>3</v>
      </c>
      <c r="AM381" s="3">
        <v>3</v>
      </c>
      <c r="AN381" s="3">
        <v>1</v>
      </c>
      <c r="AO381" s="3">
        <v>1</v>
      </c>
      <c r="AP381" s="3">
        <v>0</v>
      </c>
      <c r="AQ381" s="3">
        <v>0</v>
      </c>
      <c r="AR381" s="2" t="s">
        <v>8</v>
      </c>
      <c r="AS381" s="2" t="s">
        <v>6</v>
      </c>
      <c r="AT381" s="5" t="str">
        <f>HYPERLINK("http://catalog.hathitrust.org/Record/007991948","HathiTrust Record")</f>
        <v>HathiTrust Record</v>
      </c>
      <c r="AU381" s="5" t="str">
        <f>HYPERLINK("https://creighton-primo.hosted.exlibrisgroup.com/primo-explore/search?tab=default_tab&amp;search_scope=EVERYTHING&amp;vid=01CRU&amp;lang=en_US&amp;offset=0&amp;query=any,contains,991000373759702656","Catalog Record")</f>
        <v>Catalog Record</v>
      </c>
      <c r="AV381" s="5" t="str">
        <f>HYPERLINK("http://www.worldcat.org/oclc/44420470","WorldCat Record")</f>
        <v>WorldCat Record</v>
      </c>
      <c r="AW381" s="2" t="s">
        <v>4941</v>
      </c>
      <c r="AX381" s="2" t="s">
        <v>4942</v>
      </c>
      <c r="AY381" s="2" t="s">
        <v>4943</v>
      </c>
      <c r="AZ381" s="2" t="s">
        <v>4943</v>
      </c>
      <c r="BA381" s="2" t="s">
        <v>4944</v>
      </c>
      <c r="BB381" s="2" t="s">
        <v>21</v>
      </c>
      <c r="BD381" s="2" t="s">
        <v>4945</v>
      </c>
      <c r="BE381" s="2" t="s">
        <v>4946</v>
      </c>
      <c r="BF381" s="2" t="s">
        <v>4947</v>
      </c>
    </row>
    <row r="382" spans="1:58" ht="42.75" customHeight="1" x14ac:dyDescent="0.25">
      <c r="A382" s="8" t="s">
        <v>8</v>
      </c>
      <c r="B382" s="1" t="s">
        <v>0</v>
      </c>
      <c r="C382" s="1" t="s">
        <v>1</v>
      </c>
      <c r="D382" s="1" t="s">
        <v>4948</v>
      </c>
      <c r="E382" s="1" t="s">
        <v>4949</v>
      </c>
      <c r="F382" s="1" t="s">
        <v>4950</v>
      </c>
      <c r="H382" s="2" t="s">
        <v>8</v>
      </c>
      <c r="I382" s="2" t="s">
        <v>7</v>
      </c>
      <c r="J382" s="2" t="s">
        <v>8</v>
      </c>
      <c r="K382" s="2" t="s">
        <v>8</v>
      </c>
      <c r="L382" s="2" t="s">
        <v>9</v>
      </c>
      <c r="M382" s="1" t="s">
        <v>4951</v>
      </c>
      <c r="N382" s="1" t="s">
        <v>4952</v>
      </c>
      <c r="O382" s="2" t="s">
        <v>252</v>
      </c>
      <c r="Q382" s="2" t="s">
        <v>12</v>
      </c>
      <c r="R382" s="2" t="s">
        <v>643</v>
      </c>
      <c r="T382" s="2" t="s">
        <v>14</v>
      </c>
      <c r="U382" s="3">
        <v>20</v>
      </c>
      <c r="V382" s="3">
        <v>20</v>
      </c>
      <c r="W382" s="4" t="s">
        <v>4953</v>
      </c>
      <c r="X382" s="4" t="s">
        <v>4953</v>
      </c>
      <c r="Y382" s="4" t="s">
        <v>4443</v>
      </c>
      <c r="Z382" s="4" t="s">
        <v>4443</v>
      </c>
      <c r="AA382" s="3">
        <v>89</v>
      </c>
      <c r="AB382" s="3">
        <v>24</v>
      </c>
      <c r="AC382" s="3">
        <v>86</v>
      </c>
      <c r="AD382" s="3">
        <v>1</v>
      </c>
      <c r="AE382" s="3">
        <v>2</v>
      </c>
      <c r="AF382" s="3">
        <v>0</v>
      </c>
      <c r="AG382" s="3">
        <v>5</v>
      </c>
      <c r="AH382" s="3">
        <v>0</v>
      </c>
      <c r="AI382" s="3">
        <v>2</v>
      </c>
      <c r="AJ382" s="3">
        <v>0</v>
      </c>
      <c r="AK382" s="3">
        <v>0</v>
      </c>
      <c r="AL382" s="3">
        <v>0</v>
      </c>
      <c r="AM382" s="3">
        <v>4</v>
      </c>
      <c r="AN382" s="3">
        <v>0</v>
      </c>
      <c r="AO382" s="3">
        <v>1</v>
      </c>
      <c r="AP382" s="3">
        <v>0</v>
      </c>
      <c r="AQ382" s="3">
        <v>0</v>
      </c>
      <c r="AR382" s="2" t="s">
        <v>8</v>
      </c>
      <c r="AS382" s="2" t="s">
        <v>6</v>
      </c>
      <c r="AT382" s="5" t="str">
        <f>HYPERLINK("http://catalog.hathitrust.org/Record/000148564","HathiTrust Record")</f>
        <v>HathiTrust Record</v>
      </c>
      <c r="AU382" s="5" t="str">
        <f>HYPERLINK("https://creighton-primo.hosted.exlibrisgroup.com/primo-explore/search?tab=default_tab&amp;search_scope=EVERYTHING&amp;vid=01CRU&amp;lang=en_US&amp;offset=0&amp;query=any,contains,991001183099702656","Catalog Record")</f>
        <v>Catalog Record</v>
      </c>
      <c r="AV382" s="5" t="str">
        <f>HYPERLINK("http://www.worldcat.org/oclc/10324844","WorldCat Record")</f>
        <v>WorldCat Record</v>
      </c>
      <c r="AW382" s="2" t="s">
        <v>4954</v>
      </c>
      <c r="AX382" s="2" t="s">
        <v>4955</v>
      </c>
      <c r="AY382" s="2" t="s">
        <v>4956</v>
      </c>
      <c r="AZ382" s="2" t="s">
        <v>4956</v>
      </c>
      <c r="BA382" s="2" t="s">
        <v>4957</v>
      </c>
      <c r="BB382" s="2" t="s">
        <v>21</v>
      </c>
      <c r="BD382" s="2" t="s">
        <v>4958</v>
      </c>
      <c r="BE382" s="2" t="s">
        <v>4959</v>
      </c>
      <c r="BF382" s="2" t="s">
        <v>4960</v>
      </c>
    </row>
    <row r="383" spans="1:58" ht="42.75" customHeight="1" x14ac:dyDescent="0.25">
      <c r="A383" s="8" t="s">
        <v>8</v>
      </c>
      <c r="B383" s="1" t="s">
        <v>0</v>
      </c>
      <c r="C383" s="1" t="s">
        <v>1</v>
      </c>
      <c r="D383" s="1" t="s">
        <v>4961</v>
      </c>
      <c r="E383" s="1" t="s">
        <v>4962</v>
      </c>
      <c r="F383" s="1" t="s">
        <v>4963</v>
      </c>
      <c r="H383" s="2" t="s">
        <v>8</v>
      </c>
      <c r="I383" s="2" t="s">
        <v>7</v>
      </c>
      <c r="J383" s="2" t="s">
        <v>6</v>
      </c>
      <c r="K383" s="2" t="s">
        <v>8</v>
      </c>
      <c r="L383" s="2" t="s">
        <v>9</v>
      </c>
      <c r="M383" s="1" t="s">
        <v>4964</v>
      </c>
      <c r="N383" s="1" t="s">
        <v>4965</v>
      </c>
      <c r="O383" s="2" t="s">
        <v>589</v>
      </c>
      <c r="Q383" s="2" t="s">
        <v>12</v>
      </c>
      <c r="R383" s="2" t="s">
        <v>643</v>
      </c>
      <c r="S383" s="1" t="s">
        <v>4966</v>
      </c>
      <c r="T383" s="2" t="s">
        <v>14</v>
      </c>
      <c r="U383" s="3">
        <v>11</v>
      </c>
      <c r="V383" s="3">
        <v>12</v>
      </c>
      <c r="W383" s="4" t="s">
        <v>4967</v>
      </c>
      <c r="X383" s="4" t="s">
        <v>4967</v>
      </c>
      <c r="Y383" s="4" t="s">
        <v>4968</v>
      </c>
      <c r="Z383" s="4" t="s">
        <v>4968</v>
      </c>
      <c r="AA383" s="3">
        <v>872</v>
      </c>
      <c r="AB383" s="3">
        <v>715</v>
      </c>
      <c r="AC383" s="3">
        <v>753</v>
      </c>
      <c r="AD383" s="3">
        <v>6</v>
      </c>
      <c r="AE383" s="3">
        <v>6</v>
      </c>
      <c r="AF383" s="3">
        <v>39</v>
      </c>
      <c r="AG383" s="3">
        <v>40</v>
      </c>
      <c r="AH383" s="3">
        <v>12</v>
      </c>
      <c r="AI383" s="3">
        <v>13</v>
      </c>
      <c r="AJ383" s="3">
        <v>5</v>
      </c>
      <c r="AK383" s="3">
        <v>5</v>
      </c>
      <c r="AL383" s="3">
        <v>17</v>
      </c>
      <c r="AM383" s="3">
        <v>17</v>
      </c>
      <c r="AN383" s="3">
        <v>3</v>
      </c>
      <c r="AO383" s="3">
        <v>3</v>
      </c>
      <c r="AP383" s="3">
        <v>10</v>
      </c>
      <c r="AQ383" s="3">
        <v>10</v>
      </c>
      <c r="AR383" s="2" t="s">
        <v>8</v>
      </c>
      <c r="AS383" s="2" t="s">
        <v>6</v>
      </c>
      <c r="AT383" s="5" t="str">
        <f>HYPERLINK("http://catalog.hathitrust.org/Record/001838351","HathiTrust Record")</f>
        <v>HathiTrust Record</v>
      </c>
      <c r="AU383" s="5" t="str">
        <f>HYPERLINK("https://creighton-primo.hosted.exlibrisgroup.com/primo-explore/search?tab=default_tab&amp;search_scope=EVERYTHING&amp;vid=01CRU&amp;lang=en_US&amp;offset=0&amp;query=any,contains,991001641599702656","Catalog Record")</f>
        <v>Catalog Record</v>
      </c>
      <c r="AV383" s="5" t="str">
        <f>HYPERLINK("http://www.worldcat.org/oclc/19670049","WorldCat Record")</f>
        <v>WorldCat Record</v>
      </c>
      <c r="AW383" s="2" t="s">
        <v>4969</v>
      </c>
      <c r="AX383" s="2" t="s">
        <v>4970</v>
      </c>
      <c r="AY383" s="2" t="s">
        <v>4971</v>
      </c>
      <c r="AZ383" s="2" t="s">
        <v>4971</v>
      </c>
      <c r="BA383" s="2" t="s">
        <v>4972</v>
      </c>
      <c r="BB383" s="2" t="s">
        <v>21</v>
      </c>
      <c r="BD383" s="2" t="s">
        <v>4973</v>
      </c>
      <c r="BE383" s="2" t="s">
        <v>4974</v>
      </c>
      <c r="BF383" s="2" t="s">
        <v>4975</v>
      </c>
    </row>
    <row r="384" spans="1:58" ht="42.75" customHeight="1" x14ac:dyDescent="0.25">
      <c r="A384" s="8" t="s">
        <v>8</v>
      </c>
      <c r="B384" s="1" t="s">
        <v>0</v>
      </c>
      <c r="C384" s="1" t="s">
        <v>1</v>
      </c>
      <c r="D384" s="1" t="s">
        <v>4976</v>
      </c>
      <c r="E384" s="1" t="s">
        <v>4977</v>
      </c>
      <c r="F384" s="1" t="s">
        <v>4978</v>
      </c>
      <c r="H384" s="2" t="s">
        <v>8</v>
      </c>
      <c r="I384" s="2" t="s">
        <v>7</v>
      </c>
      <c r="J384" s="2" t="s">
        <v>8</v>
      </c>
      <c r="K384" s="2" t="s">
        <v>8</v>
      </c>
      <c r="L384" s="2" t="s">
        <v>7</v>
      </c>
      <c r="N384" s="1" t="s">
        <v>4979</v>
      </c>
      <c r="O384" s="2" t="s">
        <v>1327</v>
      </c>
      <c r="Q384" s="2" t="s">
        <v>12</v>
      </c>
      <c r="R384" s="2" t="s">
        <v>34</v>
      </c>
      <c r="S384" s="1" t="s">
        <v>4980</v>
      </c>
      <c r="T384" s="2" t="s">
        <v>14</v>
      </c>
      <c r="U384" s="3">
        <v>20</v>
      </c>
      <c r="V384" s="3">
        <v>20</v>
      </c>
      <c r="W384" s="4" t="s">
        <v>4807</v>
      </c>
      <c r="X384" s="4" t="s">
        <v>4807</v>
      </c>
      <c r="Y384" s="4" t="s">
        <v>4981</v>
      </c>
      <c r="Z384" s="4" t="s">
        <v>4981</v>
      </c>
      <c r="AA384" s="3">
        <v>904</v>
      </c>
      <c r="AB384" s="3">
        <v>834</v>
      </c>
      <c r="AC384" s="3">
        <v>1686</v>
      </c>
      <c r="AD384" s="3">
        <v>5</v>
      </c>
      <c r="AE384" s="3">
        <v>17</v>
      </c>
      <c r="AF384" s="3">
        <v>43</v>
      </c>
      <c r="AG384" s="3">
        <v>69</v>
      </c>
      <c r="AH384" s="3">
        <v>10</v>
      </c>
      <c r="AI384" s="3">
        <v>21</v>
      </c>
      <c r="AJ384" s="3">
        <v>8</v>
      </c>
      <c r="AK384" s="3">
        <v>11</v>
      </c>
      <c r="AL384" s="3">
        <v>22</v>
      </c>
      <c r="AM384" s="3">
        <v>25</v>
      </c>
      <c r="AN384" s="3">
        <v>4</v>
      </c>
      <c r="AO384" s="3">
        <v>15</v>
      </c>
      <c r="AP384" s="3">
        <v>10</v>
      </c>
      <c r="AQ384" s="3">
        <v>11</v>
      </c>
      <c r="AR384" s="2" t="s">
        <v>8</v>
      </c>
      <c r="AS384" s="2" t="s">
        <v>6</v>
      </c>
      <c r="AT384" s="5" t="str">
        <f>HYPERLINK("http://catalog.hathitrust.org/Record/000634205","HathiTrust Record")</f>
        <v>HathiTrust Record</v>
      </c>
      <c r="AU384" s="5" t="str">
        <f>HYPERLINK("https://creighton-primo.hosted.exlibrisgroup.com/primo-explore/search?tab=default_tab&amp;search_scope=EVERYTHING&amp;vid=01CRU&amp;lang=en_US&amp;offset=0&amp;query=any,contains,991001105469702656","Catalog Record")</f>
        <v>Catalog Record</v>
      </c>
      <c r="AV384" s="5" t="str">
        <f>HYPERLINK("http://www.worldcat.org/oclc/13217895","WorldCat Record")</f>
        <v>WorldCat Record</v>
      </c>
      <c r="AW384" s="2" t="s">
        <v>4982</v>
      </c>
      <c r="AX384" s="2" t="s">
        <v>4983</v>
      </c>
      <c r="AY384" s="2" t="s">
        <v>4984</v>
      </c>
      <c r="AZ384" s="2" t="s">
        <v>4984</v>
      </c>
      <c r="BA384" s="2" t="s">
        <v>4985</v>
      </c>
      <c r="BB384" s="2" t="s">
        <v>21</v>
      </c>
      <c r="BD384" s="2" t="s">
        <v>4986</v>
      </c>
      <c r="BE384" s="2" t="s">
        <v>4987</v>
      </c>
      <c r="BF384" s="2" t="s">
        <v>4988</v>
      </c>
    </row>
    <row r="385" spans="1:58" ht="42.75" customHeight="1" x14ac:dyDescent="0.25">
      <c r="A385" s="8" t="s">
        <v>8</v>
      </c>
      <c r="B385" s="1" t="s">
        <v>0</v>
      </c>
      <c r="C385" s="1" t="s">
        <v>1</v>
      </c>
      <c r="D385" s="1" t="s">
        <v>4989</v>
      </c>
      <c r="E385" s="1" t="s">
        <v>4990</v>
      </c>
      <c r="F385" s="1" t="s">
        <v>4991</v>
      </c>
      <c r="G385" s="2" t="s">
        <v>5</v>
      </c>
      <c r="H385" s="2" t="s">
        <v>6</v>
      </c>
      <c r="I385" s="2" t="s">
        <v>7</v>
      </c>
      <c r="J385" s="2" t="s">
        <v>8</v>
      </c>
      <c r="K385" s="2" t="s">
        <v>6</v>
      </c>
      <c r="L385" s="2" t="s">
        <v>9</v>
      </c>
      <c r="M385" s="1" t="s">
        <v>4992</v>
      </c>
      <c r="N385" s="1" t="s">
        <v>4993</v>
      </c>
      <c r="O385" s="2" t="s">
        <v>4994</v>
      </c>
      <c r="Q385" s="2" t="s">
        <v>12</v>
      </c>
      <c r="R385" s="2" t="s">
        <v>4995</v>
      </c>
      <c r="T385" s="2" t="s">
        <v>14</v>
      </c>
      <c r="U385" s="3">
        <v>3</v>
      </c>
      <c r="V385" s="3">
        <v>7</v>
      </c>
      <c r="X385" s="4" t="s">
        <v>4996</v>
      </c>
      <c r="Y385" s="4" t="s">
        <v>1254</v>
      </c>
      <c r="Z385" s="4" t="s">
        <v>1254</v>
      </c>
      <c r="AA385" s="3">
        <v>32</v>
      </c>
      <c r="AB385" s="3">
        <v>14</v>
      </c>
      <c r="AC385" s="3">
        <v>180</v>
      </c>
      <c r="AD385" s="3">
        <v>1</v>
      </c>
      <c r="AE385" s="3">
        <v>3</v>
      </c>
      <c r="AF385" s="3">
        <v>2</v>
      </c>
      <c r="AG385" s="3">
        <v>25</v>
      </c>
      <c r="AH385" s="3">
        <v>1</v>
      </c>
      <c r="AI385" s="3">
        <v>9</v>
      </c>
      <c r="AJ385" s="3">
        <v>0</v>
      </c>
      <c r="AK385" s="3">
        <v>5</v>
      </c>
      <c r="AL385" s="3">
        <v>2</v>
      </c>
      <c r="AM385" s="3">
        <v>19</v>
      </c>
      <c r="AN385" s="3">
        <v>0</v>
      </c>
      <c r="AO385" s="3">
        <v>1</v>
      </c>
      <c r="AP385" s="3">
        <v>0</v>
      </c>
      <c r="AQ385" s="3">
        <v>0</v>
      </c>
      <c r="AR385" s="2" t="s">
        <v>8</v>
      </c>
      <c r="AS385" s="2" t="s">
        <v>8</v>
      </c>
      <c r="AU385" s="5" t="str">
        <f>HYPERLINK("https://creighton-primo.hosted.exlibrisgroup.com/primo-explore/search?tab=default_tab&amp;search_scope=EVERYTHING&amp;vid=01CRU&amp;lang=en_US&amp;offset=0&amp;query=any,contains,991001183239702656","Catalog Record")</f>
        <v>Catalog Record</v>
      </c>
      <c r="AV385" s="5" t="str">
        <f>HYPERLINK("http://www.worldcat.org/oclc/4757659","WorldCat Record")</f>
        <v>WorldCat Record</v>
      </c>
      <c r="AW385" s="2" t="s">
        <v>4997</v>
      </c>
      <c r="AX385" s="2" t="s">
        <v>4998</v>
      </c>
      <c r="AY385" s="2" t="s">
        <v>4999</v>
      </c>
      <c r="AZ385" s="2" t="s">
        <v>4999</v>
      </c>
      <c r="BA385" s="2" t="s">
        <v>5000</v>
      </c>
      <c r="BB385" s="2" t="s">
        <v>21</v>
      </c>
      <c r="BE385" s="2" t="s">
        <v>5001</v>
      </c>
      <c r="BF385" s="2" t="s">
        <v>5002</v>
      </c>
    </row>
    <row r="386" spans="1:58" ht="42.75" customHeight="1" x14ac:dyDescent="0.25">
      <c r="A386" s="8" t="s">
        <v>8</v>
      </c>
      <c r="B386" s="1" t="s">
        <v>0</v>
      </c>
      <c r="C386" s="1" t="s">
        <v>1</v>
      </c>
      <c r="D386" s="1" t="s">
        <v>4989</v>
      </c>
      <c r="E386" s="1" t="s">
        <v>4990</v>
      </c>
      <c r="F386" s="1" t="s">
        <v>4991</v>
      </c>
      <c r="G386" s="2" t="s">
        <v>25</v>
      </c>
      <c r="H386" s="2" t="s">
        <v>6</v>
      </c>
      <c r="I386" s="2" t="s">
        <v>7</v>
      </c>
      <c r="J386" s="2" t="s">
        <v>8</v>
      </c>
      <c r="K386" s="2" t="s">
        <v>6</v>
      </c>
      <c r="L386" s="2" t="s">
        <v>9</v>
      </c>
      <c r="M386" s="1" t="s">
        <v>4992</v>
      </c>
      <c r="N386" s="1" t="s">
        <v>4993</v>
      </c>
      <c r="O386" s="2" t="s">
        <v>4994</v>
      </c>
      <c r="Q386" s="2" t="s">
        <v>12</v>
      </c>
      <c r="R386" s="2" t="s">
        <v>4995</v>
      </c>
      <c r="T386" s="2" t="s">
        <v>14</v>
      </c>
      <c r="U386" s="3">
        <v>4</v>
      </c>
      <c r="V386" s="3">
        <v>7</v>
      </c>
      <c r="W386" s="4" t="s">
        <v>4996</v>
      </c>
      <c r="X386" s="4" t="s">
        <v>4996</v>
      </c>
      <c r="Y386" s="4" t="s">
        <v>1254</v>
      </c>
      <c r="Z386" s="4" t="s">
        <v>1254</v>
      </c>
      <c r="AA386" s="3">
        <v>32</v>
      </c>
      <c r="AB386" s="3">
        <v>14</v>
      </c>
      <c r="AC386" s="3">
        <v>180</v>
      </c>
      <c r="AD386" s="3">
        <v>1</v>
      </c>
      <c r="AE386" s="3">
        <v>3</v>
      </c>
      <c r="AF386" s="3">
        <v>2</v>
      </c>
      <c r="AG386" s="3">
        <v>25</v>
      </c>
      <c r="AH386" s="3">
        <v>1</v>
      </c>
      <c r="AI386" s="3">
        <v>9</v>
      </c>
      <c r="AJ386" s="3">
        <v>0</v>
      </c>
      <c r="AK386" s="3">
        <v>5</v>
      </c>
      <c r="AL386" s="3">
        <v>2</v>
      </c>
      <c r="AM386" s="3">
        <v>19</v>
      </c>
      <c r="AN386" s="3">
        <v>0</v>
      </c>
      <c r="AO386" s="3">
        <v>1</v>
      </c>
      <c r="AP386" s="3">
        <v>0</v>
      </c>
      <c r="AQ386" s="3">
        <v>0</v>
      </c>
      <c r="AR386" s="2" t="s">
        <v>8</v>
      </c>
      <c r="AS386" s="2" t="s">
        <v>8</v>
      </c>
      <c r="AU386" s="5" t="str">
        <f>HYPERLINK("https://creighton-primo.hosted.exlibrisgroup.com/primo-explore/search?tab=default_tab&amp;search_scope=EVERYTHING&amp;vid=01CRU&amp;lang=en_US&amp;offset=0&amp;query=any,contains,991001183239702656","Catalog Record")</f>
        <v>Catalog Record</v>
      </c>
      <c r="AV386" s="5" t="str">
        <f>HYPERLINK("http://www.worldcat.org/oclc/4757659","WorldCat Record")</f>
        <v>WorldCat Record</v>
      </c>
      <c r="AW386" s="2" t="s">
        <v>4997</v>
      </c>
      <c r="AX386" s="2" t="s">
        <v>4998</v>
      </c>
      <c r="AY386" s="2" t="s">
        <v>4999</v>
      </c>
      <c r="AZ386" s="2" t="s">
        <v>4999</v>
      </c>
      <c r="BA386" s="2" t="s">
        <v>5000</v>
      </c>
      <c r="BB386" s="2" t="s">
        <v>21</v>
      </c>
      <c r="BE386" s="2" t="s">
        <v>5003</v>
      </c>
      <c r="BF386" s="2" t="s">
        <v>5004</v>
      </c>
    </row>
    <row r="387" spans="1:58" ht="42.75" customHeight="1" x14ac:dyDescent="0.25">
      <c r="A387" s="8" t="s">
        <v>8</v>
      </c>
      <c r="B387" s="1" t="s">
        <v>0</v>
      </c>
      <c r="C387" s="1" t="s">
        <v>1</v>
      </c>
      <c r="D387" s="1" t="s">
        <v>5005</v>
      </c>
      <c r="E387" s="1" t="s">
        <v>5006</v>
      </c>
      <c r="F387" s="1" t="s">
        <v>5007</v>
      </c>
      <c r="H387" s="2" t="s">
        <v>8</v>
      </c>
      <c r="I387" s="2" t="s">
        <v>7</v>
      </c>
      <c r="J387" s="2" t="s">
        <v>8</v>
      </c>
      <c r="K387" s="2" t="s">
        <v>8</v>
      </c>
      <c r="L387" s="2" t="s">
        <v>9</v>
      </c>
      <c r="M387" s="1" t="s">
        <v>5008</v>
      </c>
      <c r="N387" s="1" t="s">
        <v>5009</v>
      </c>
      <c r="O387" s="2" t="s">
        <v>614</v>
      </c>
      <c r="Q387" s="2" t="s">
        <v>12</v>
      </c>
      <c r="R387" s="2" t="s">
        <v>5010</v>
      </c>
      <c r="T387" s="2" t="s">
        <v>14</v>
      </c>
      <c r="U387" s="3">
        <v>26</v>
      </c>
      <c r="V387" s="3">
        <v>26</v>
      </c>
      <c r="W387" s="4" t="s">
        <v>5011</v>
      </c>
      <c r="X387" s="4" t="s">
        <v>5011</v>
      </c>
      <c r="Y387" s="4" t="s">
        <v>4715</v>
      </c>
      <c r="Z387" s="4" t="s">
        <v>4715</v>
      </c>
      <c r="AA387" s="3">
        <v>278</v>
      </c>
      <c r="AB387" s="3">
        <v>170</v>
      </c>
      <c r="AC387" s="3">
        <v>177</v>
      </c>
      <c r="AD387" s="3">
        <v>1</v>
      </c>
      <c r="AE387" s="3">
        <v>1</v>
      </c>
      <c r="AF387" s="3">
        <v>12</v>
      </c>
      <c r="AG387" s="3">
        <v>12</v>
      </c>
      <c r="AH387" s="3">
        <v>5</v>
      </c>
      <c r="AI387" s="3">
        <v>5</v>
      </c>
      <c r="AJ387" s="3">
        <v>2</v>
      </c>
      <c r="AK387" s="3">
        <v>2</v>
      </c>
      <c r="AL387" s="3">
        <v>6</v>
      </c>
      <c r="AM387" s="3">
        <v>6</v>
      </c>
      <c r="AN387" s="3">
        <v>0</v>
      </c>
      <c r="AO387" s="3">
        <v>0</v>
      </c>
      <c r="AP387" s="3">
        <v>3</v>
      </c>
      <c r="AQ387" s="3">
        <v>3</v>
      </c>
      <c r="AR387" s="2" t="s">
        <v>8</v>
      </c>
      <c r="AS387" s="2" t="s">
        <v>6</v>
      </c>
      <c r="AT387" s="5" t="str">
        <f>HYPERLINK("http://catalog.hathitrust.org/Record/002612509","HathiTrust Record")</f>
        <v>HathiTrust Record</v>
      </c>
      <c r="AU387" s="5" t="str">
        <f>HYPERLINK("https://creighton-primo.hosted.exlibrisgroup.com/primo-explore/search?tab=default_tab&amp;search_scope=EVERYTHING&amp;vid=01CRU&amp;lang=en_US&amp;offset=0&amp;query=any,contains,991001480699702656","Catalog Record")</f>
        <v>Catalog Record</v>
      </c>
      <c r="AV387" s="5" t="str">
        <f>HYPERLINK("http://www.worldcat.org/oclc/27265295","WorldCat Record")</f>
        <v>WorldCat Record</v>
      </c>
      <c r="AW387" s="2" t="s">
        <v>5012</v>
      </c>
      <c r="AX387" s="2" t="s">
        <v>5013</v>
      </c>
      <c r="AY387" s="2" t="s">
        <v>5014</v>
      </c>
      <c r="AZ387" s="2" t="s">
        <v>5014</v>
      </c>
      <c r="BA387" s="2" t="s">
        <v>5015</v>
      </c>
      <c r="BB387" s="2" t="s">
        <v>21</v>
      </c>
      <c r="BD387" s="2" t="s">
        <v>5016</v>
      </c>
      <c r="BE387" s="2" t="s">
        <v>5017</v>
      </c>
      <c r="BF387" s="2" t="s">
        <v>5018</v>
      </c>
    </row>
    <row r="388" spans="1:58" ht="42.75" customHeight="1" x14ac:dyDescent="0.25">
      <c r="A388" s="8" t="s">
        <v>8</v>
      </c>
      <c r="B388" s="1" t="s">
        <v>0</v>
      </c>
      <c r="C388" s="1" t="s">
        <v>1</v>
      </c>
      <c r="D388" s="1" t="s">
        <v>5019</v>
      </c>
      <c r="E388" s="1" t="s">
        <v>5020</v>
      </c>
      <c r="F388" s="1" t="s">
        <v>5021</v>
      </c>
      <c r="H388" s="2" t="s">
        <v>8</v>
      </c>
      <c r="I388" s="2" t="s">
        <v>7</v>
      </c>
      <c r="J388" s="2" t="s">
        <v>8</v>
      </c>
      <c r="K388" s="2" t="s">
        <v>8</v>
      </c>
      <c r="L388" s="2" t="s">
        <v>9</v>
      </c>
      <c r="M388" s="1" t="s">
        <v>5008</v>
      </c>
      <c r="N388" s="1" t="s">
        <v>5022</v>
      </c>
      <c r="O388" s="2" t="s">
        <v>959</v>
      </c>
      <c r="P388" s="1" t="s">
        <v>761</v>
      </c>
      <c r="Q388" s="2" t="s">
        <v>12</v>
      </c>
      <c r="R388" s="2" t="s">
        <v>1002</v>
      </c>
      <c r="T388" s="2" t="s">
        <v>14</v>
      </c>
      <c r="U388" s="3">
        <v>3</v>
      </c>
      <c r="V388" s="3">
        <v>3</v>
      </c>
      <c r="W388" s="4" t="s">
        <v>5023</v>
      </c>
      <c r="X388" s="4" t="s">
        <v>5023</v>
      </c>
      <c r="Y388" s="4" t="s">
        <v>5024</v>
      </c>
      <c r="Z388" s="4" t="s">
        <v>5024</v>
      </c>
      <c r="AA388" s="3">
        <v>205</v>
      </c>
      <c r="AB388" s="3">
        <v>94</v>
      </c>
      <c r="AC388" s="3">
        <v>231</v>
      </c>
      <c r="AD388" s="3">
        <v>1</v>
      </c>
      <c r="AE388" s="3">
        <v>1</v>
      </c>
      <c r="AF388" s="3">
        <v>8</v>
      </c>
      <c r="AG388" s="3">
        <v>15</v>
      </c>
      <c r="AH388" s="3">
        <v>2</v>
      </c>
      <c r="AI388" s="3">
        <v>4</v>
      </c>
      <c r="AJ388" s="3">
        <v>2</v>
      </c>
      <c r="AK388" s="3">
        <v>3</v>
      </c>
      <c r="AL388" s="3">
        <v>6</v>
      </c>
      <c r="AM388" s="3">
        <v>8</v>
      </c>
      <c r="AN388" s="3">
        <v>0</v>
      </c>
      <c r="AO388" s="3">
        <v>0</v>
      </c>
      <c r="AP388" s="3">
        <v>0</v>
      </c>
      <c r="AQ388" s="3">
        <v>3</v>
      </c>
      <c r="AR388" s="2" t="s">
        <v>8</v>
      </c>
      <c r="AS388" s="2" t="s">
        <v>6</v>
      </c>
      <c r="AT388" s="5" t="str">
        <f>HYPERLINK("http://catalog.hathitrust.org/Record/005070443","HathiTrust Record")</f>
        <v>HathiTrust Record</v>
      </c>
      <c r="AU388" s="5" t="str">
        <f>HYPERLINK("https://creighton-primo.hosted.exlibrisgroup.com/primo-explore/search?tab=default_tab&amp;search_scope=EVERYTHING&amp;vid=01CRU&amp;lang=en_US&amp;offset=0&amp;query=any,contains,991000473679702656","Catalog Record")</f>
        <v>Catalog Record</v>
      </c>
      <c r="AV388" s="5" t="str">
        <f>HYPERLINK("http://www.worldcat.org/oclc/61301736","WorldCat Record")</f>
        <v>WorldCat Record</v>
      </c>
      <c r="AW388" s="2" t="s">
        <v>5025</v>
      </c>
      <c r="AX388" s="2" t="s">
        <v>5026</v>
      </c>
      <c r="AY388" s="2" t="s">
        <v>5027</v>
      </c>
      <c r="AZ388" s="2" t="s">
        <v>5027</v>
      </c>
      <c r="BA388" s="2" t="s">
        <v>5028</v>
      </c>
      <c r="BB388" s="2" t="s">
        <v>21</v>
      </c>
      <c r="BD388" s="2" t="s">
        <v>5029</v>
      </c>
      <c r="BE388" s="2" t="s">
        <v>5030</v>
      </c>
      <c r="BF388" s="2" t="s">
        <v>5031</v>
      </c>
    </row>
    <row r="389" spans="1:58" ht="42.75" customHeight="1" x14ac:dyDescent="0.25">
      <c r="A389" s="8" t="s">
        <v>8</v>
      </c>
      <c r="B389" s="1" t="s">
        <v>0</v>
      </c>
      <c r="C389" s="1" t="s">
        <v>1</v>
      </c>
      <c r="D389" s="1" t="s">
        <v>5032</v>
      </c>
      <c r="E389" s="1" t="s">
        <v>5033</v>
      </c>
      <c r="F389" s="1" t="s">
        <v>5034</v>
      </c>
      <c r="H389" s="2" t="s">
        <v>8</v>
      </c>
      <c r="I389" s="2" t="s">
        <v>7</v>
      </c>
      <c r="J389" s="2" t="s">
        <v>8</v>
      </c>
      <c r="K389" s="2" t="s">
        <v>8</v>
      </c>
      <c r="L389" s="2" t="s">
        <v>9</v>
      </c>
      <c r="N389" s="1" t="s">
        <v>5035</v>
      </c>
      <c r="O389" s="2" t="s">
        <v>627</v>
      </c>
      <c r="Q389" s="2" t="s">
        <v>12</v>
      </c>
      <c r="R389" s="2" t="s">
        <v>13</v>
      </c>
      <c r="T389" s="2" t="s">
        <v>14</v>
      </c>
      <c r="U389" s="3">
        <v>50</v>
      </c>
      <c r="V389" s="3">
        <v>50</v>
      </c>
      <c r="W389" s="4" t="s">
        <v>5036</v>
      </c>
      <c r="X389" s="4" t="s">
        <v>5036</v>
      </c>
      <c r="Y389" s="4" t="s">
        <v>5037</v>
      </c>
      <c r="Z389" s="4" t="s">
        <v>5037</v>
      </c>
      <c r="AA389" s="3">
        <v>187</v>
      </c>
      <c r="AB389" s="3">
        <v>155</v>
      </c>
      <c r="AC389" s="3">
        <v>474</v>
      </c>
      <c r="AD389" s="3">
        <v>1</v>
      </c>
      <c r="AE389" s="3">
        <v>4</v>
      </c>
      <c r="AF389" s="3">
        <v>10</v>
      </c>
      <c r="AG389" s="3">
        <v>30</v>
      </c>
      <c r="AH389" s="3">
        <v>3</v>
      </c>
      <c r="AI389" s="3">
        <v>8</v>
      </c>
      <c r="AJ389" s="3">
        <v>3</v>
      </c>
      <c r="AK389" s="3">
        <v>6</v>
      </c>
      <c r="AL389" s="3">
        <v>6</v>
      </c>
      <c r="AM389" s="3">
        <v>14</v>
      </c>
      <c r="AN389" s="3">
        <v>0</v>
      </c>
      <c r="AO389" s="3">
        <v>2</v>
      </c>
      <c r="AP389" s="3">
        <v>2</v>
      </c>
      <c r="AQ389" s="3">
        <v>7</v>
      </c>
      <c r="AR389" s="2" t="s">
        <v>8</v>
      </c>
      <c r="AS389" s="2" t="s">
        <v>8</v>
      </c>
      <c r="AU389" s="5" t="str">
        <f>HYPERLINK("https://creighton-primo.hosted.exlibrisgroup.com/primo-explore/search?tab=default_tab&amp;search_scope=EVERYTHING&amp;vid=01CRU&amp;lang=en_US&amp;offset=0&amp;query=any,contains,991000496779702656","Catalog Record")</f>
        <v>Catalog Record</v>
      </c>
      <c r="AV389" s="5" t="str">
        <f>HYPERLINK("http://www.worldcat.org/oclc/21231876","WorldCat Record")</f>
        <v>WorldCat Record</v>
      </c>
      <c r="AW389" s="2" t="s">
        <v>5038</v>
      </c>
      <c r="AX389" s="2" t="s">
        <v>5039</v>
      </c>
      <c r="AY389" s="2" t="s">
        <v>5040</v>
      </c>
      <c r="AZ389" s="2" t="s">
        <v>5040</v>
      </c>
      <c r="BA389" s="2" t="s">
        <v>5041</v>
      </c>
      <c r="BB389" s="2" t="s">
        <v>21</v>
      </c>
      <c r="BD389" s="2" t="s">
        <v>5042</v>
      </c>
      <c r="BE389" s="2" t="s">
        <v>5043</v>
      </c>
      <c r="BF389" s="2" t="s">
        <v>5044</v>
      </c>
    </row>
    <row r="390" spans="1:58" ht="42.75" customHeight="1" x14ac:dyDescent="0.25">
      <c r="A390" s="8" t="s">
        <v>8</v>
      </c>
      <c r="B390" s="1" t="s">
        <v>0</v>
      </c>
      <c r="C390" s="1" t="s">
        <v>1</v>
      </c>
      <c r="D390" s="1" t="s">
        <v>5045</v>
      </c>
      <c r="E390" s="1" t="s">
        <v>5046</v>
      </c>
      <c r="F390" s="1" t="s">
        <v>5047</v>
      </c>
      <c r="H390" s="2" t="s">
        <v>8</v>
      </c>
      <c r="I390" s="2" t="s">
        <v>7</v>
      </c>
      <c r="J390" s="2" t="s">
        <v>8</v>
      </c>
      <c r="K390" s="2" t="s">
        <v>8</v>
      </c>
      <c r="L390" s="2" t="s">
        <v>9</v>
      </c>
      <c r="M390" s="1" t="s">
        <v>5048</v>
      </c>
      <c r="N390" s="1" t="s">
        <v>5049</v>
      </c>
      <c r="O390" s="2" t="s">
        <v>224</v>
      </c>
      <c r="Q390" s="2" t="s">
        <v>12</v>
      </c>
      <c r="R390" s="2" t="s">
        <v>1211</v>
      </c>
      <c r="T390" s="2" t="s">
        <v>14</v>
      </c>
      <c r="U390" s="3">
        <v>5</v>
      </c>
      <c r="V390" s="3">
        <v>5</v>
      </c>
      <c r="W390" s="4" t="s">
        <v>5050</v>
      </c>
      <c r="X390" s="4" t="s">
        <v>5050</v>
      </c>
      <c r="Y390" s="4" t="s">
        <v>4443</v>
      </c>
      <c r="Z390" s="4" t="s">
        <v>4443</v>
      </c>
      <c r="AA390" s="3">
        <v>69</v>
      </c>
      <c r="AB390" s="3">
        <v>64</v>
      </c>
      <c r="AC390" s="3">
        <v>89</v>
      </c>
      <c r="AD390" s="3">
        <v>2</v>
      </c>
      <c r="AE390" s="3">
        <v>2</v>
      </c>
      <c r="AF390" s="3">
        <v>8</v>
      </c>
      <c r="AG390" s="3">
        <v>10</v>
      </c>
      <c r="AH390" s="3">
        <v>1</v>
      </c>
      <c r="AI390" s="3">
        <v>2</v>
      </c>
      <c r="AJ390" s="3">
        <v>4</v>
      </c>
      <c r="AK390" s="3">
        <v>4</v>
      </c>
      <c r="AL390" s="3">
        <v>6</v>
      </c>
      <c r="AM390" s="3">
        <v>8</v>
      </c>
      <c r="AN390" s="3">
        <v>0</v>
      </c>
      <c r="AO390" s="3">
        <v>0</v>
      </c>
      <c r="AP390" s="3">
        <v>0</v>
      </c>
      <c r="AQ390" s="3">
        <v>0</v>
      </c>
      <c r="AR390" s="2" t="s">
        <v>8</v>
      </c>
      <c r="AS390" s="2" t="s">
        <v>8</v>
      </c>
      <c r="AU390" s="5" t="str">
        <f>HYPERLINK("https://creighton-primo.hosted.exlibrisgroup.com/primo-explore/search?tab=default_tab&amp;search_scope=EVERYTHING&amp;vid=01CRU&amp;lang=en_US&amp;offset=0&amp;query=any,contains,991001183609702656","Catalog Record")</f>
        <v>Catalog Record</v>
      </c>
      <c r="AV390" s="5" t="str">
        <f>HYPERLINK("http://www.worldcat.org/oclc/6808603","WorldCat Record")</f>
        <v>WorldCat Record</v>
      </c>
      <c r="AW390" s="2" t="s">
        <v>5051</v>
      </c>
      <c r="AX390" s="2" t="s">
        <v>5052</v>
      </c>
      <c r="AY390" s="2" t="s">
        <v>5053</v>
      </c>
      <c r="AZ390" s="2" t="s">
        <v>5053</v>
      </c>
      <c r="BA390" s="2" t="s">
        <v>5054</v>
      </c>
      <c r="BB390" s="2" t="s">
        <v>21</v>
      </c>
      <c r="BE390" s="2" t="s">
        <v>5055</v>
      </c>
      <c r="BF390" s="2" t="s">
        <v>5056</v>
      </c>
    </row>
    <row r="391" spans="1:58" ht="42.75" customHeight="1" x14ac:dyDescent="0.25">
      <c r="A391" s="8" t="s">
        <v>8</v>
      </c>
      <c r="B391" s="1" t="s">
        <v>0</v>
      </c>
      <c r="C391" s="1" t="s">
        <v>1</v>
      </c>
      <c r="D391" s="1" t="s">
        <v>5057</v>
      </c>
      <c r="E391" s="1" t="s">
        <v>5058</v>
      </c>
      <c r="F391" s="1" t="s">
        <v>5059</v>
      </c>
      <c r="H391" s="2" t="s">
        <v>8</v>
      </c>
      <c r="I391" s="2" t="s">
        <v>7</v>
      </c>
      <c r="J391" s="2" t="s">
        <v>8</v>
      </c>
      <c r="K391" s="2" t="s">
        <v>8</v>
      </c>
      <c r="L391" s="2" t="s">
        <v>9</v>
      </c>
      <c r="N391" s="1" t="s">
        <v>5060</v>
      </c>
      <c r="O391" s="2" t="s">
        <v>657</v>
      </c>
      <c r="Q391" s="2" t="s">
        <v>12</v>
      </c>
      <c r="R391" s="2" t="s">
        <v>1340</v>
      </c>
      <c r="T391" s="2" t="s">
        <v>14</v>
      </c>
      <c r="U391" s="3">
        <v>8</v>
      </c>
      <c r="V391" s="3">
        <v>8</v>
      </c>
      <c r="W391" s="4" t="s">
        <v>5061</v>
      </c>
      <c r="X391" s="4" t="s">
        <v>5061</v>
      </c>
      <c r="Y391" s="4" t="s">
        <v>5062</v>
      </c>
      <c r="Z391" s="4" t="s">
        <v>5062</v>
      </c>
      <c r="AA391" s="3">
        <v>77</v>
      </c>
      <c r="AB391" s="3">
        <v>62</v>
      </c>
      <c r="AC391" s="3">
        <v>62</v>
      </c>
      <c r="AD391" s="3">
        <v>2</v>
      </c>
      <c r="AE391" s="3">
        <v>2</v>
      </c>
      <c r="AF391" s="3">
        <v>7</v>
      </c>
      <c r="AG391" s="3">
        <v>7</v>
      </c>
      <c r="AH391" s="3">
        <v>1</v>
      </c>
      <c r="AI391" s="3">
        <v>1</v>
      </c>
      <c r="AJ391" s="3">
        <v>3</v>
      </c>
      <c r="AK391" s="3">
        <v>3</v>
      </c>
      <c r="AL391" s="3">
        <v>5</v>
      </c>
      <c r="AM391" s="3">
        <v>5</v>
      </c>
      <c r="AN391" s="3">
        <v>0</v>
      </c>
      <c r="AO391" s="3">
        <v>0</v>
      </c>
      <c r="AP391" s="3">
        <v>0</v>
      </c>
      <c r="AQ391" s="3">
        <v>0</v>
      </c>
      <c r="AR391" s="2" t="s">
        <v>8</v>
      </c>
      <c r="AS391" s="2" t="s">
        <v>8</v>
      </c>
      <c r="AU391" s="5" t="str">
        <f>HYPERLINK("https://creighton-primo.hosted.exlibrisgroup.com/primo-explore/search?tab=default_tab&amp;search_scope=EVERYTHING&amp;vid=01CRU&amp;lang=en_US&amp;offset=0&amp;query=any,contains,991000305839702656","Catalog Record")</f>
        <v>Catalog Record</v>
      </c>
      <c r="AV391" s="5" t="str">
        <f>HYPERLINK("http://www.worldcat.org/oclc/47521378","WorldCat Record")</f>
        <v>WorldCat Record</v>
      </c>
      <c r="AW391" s="2" t="s">
        <v>5063</v>
      </c>
      <c r="AX391" s="2" t="s">
        <v>5064</v>
      </c>
      <c r="AY391" s="2" t="s">
        <v>5065</v>
      </c>
      <c r="AZ391" s="2" t="s">
        <v>5065</v>
      </c>
      <c r="BA391" s="2" t="s">
        <v>5066</v>
      </c>
      <c r="BB391" s="2" t="s">
        <v>21</v>
      </c>
      <c r="BD391" s="2" t="s">
        <v>5067</v>
      </c>
      <c r="BE391" s="2" t="s">
        <v>5068</v>
      </c>
      <c r="BF391" s="2" t="s">
        <v>5069</v>
      </c>
    </row>
    <row r="392" spans="1:58" ht="42.75" customHeight="1" x14ac:dyDescent="0.25">
      <c r="A392" s="8" t="s">
        <v>8</v>
      </c>
      <c r="B392" s="1" t="s">
        <v>0</v>
      </c>
      <c r="C392" s="1" t="s">
        <v>1</v>
      </c>
      <c r="D392" s="1" t="s">
        <v>5070</v>
      </c>
      <c r="E392" s="1" t="s">
        <v>5071</v>
      </c>
      <c r="F392" s="1" t="s">
        <v>5072</v>
      </c>
      <c r="H392" s="2" t="s">
        <v>8</v>
      </c>
      <c r="I392" s="2" t="s">
        <v>7</v>
      </c>
      <c r="J392" s="2" t="s">
        <v>8</v>
      </c>
      <c r="K392" s="2" t="s">
        <v>8</v>
      </c>
      <c r="L392" s="2" t="s">
        <v>9</v>
      </c>
      <c r="N392" s="1" t="s">
        <v>5073</v>
      </c>
      <c r="O392" s="2" t="s">
        <v>1060</v>
      </c>
      <c r="Q392" s="2" t="s">
        <v>12</v>
      </c>
      <c r="R392" s="2" t="s">
        <v>643</v>
      </c>
      <c r="S392" s="1" t="s">
        <v>5074</v>
      </c>
      <c r="T392" s="2" t="s">
        <v>14</v>
      </c>
      <c r="U392" s="3">
        <v>21</v>
      </c>
      <c r="V392" s="3">
        <v>21</v>
      </c>
      <c r="W392" s="4" t="s">
        <v>4967</v>
      </c>
      <c r="X392" s="4" t="s">
        <v>4967</v>
      </c>
      <c r="Y392" s="4" t="s">
        <v>5075</v>
      </c>
      <c r="Z392" s="4" t="s">
        <v>5075</v>
      </c>
      <c r="AA392" s="3">
        <v>445</v>
      </c>
      <c r="AB392" s="3">
        <v>394</v>
      </c>
      <c r="AC392" s="3">
        <v>400</v>
      </c>
      <c r="AD392" s="3">
        <v>3</v>
      </c>
      <c r="AE392" s="3">
        <v>3</v>
      </c>
      <c r="AF392" s="3">
        <v>33</v>
      </c>
      <c r="AG392" s="3">
        <v>33</v>
      </c>
      <c r="AH392" s="3">
        <v>13</v>
      </c>
      <c r="AI392" s="3">
        <v>13</v>
      </c>
      <c r="AJ392" s="3">
        <v>6</v>
      </c>
      <c r="AK392" s="3">
        <v>6</v>
      </c>
      <c r="AL392" s="3">
        <v>18</v>
      </c>
      <c r="AM392" s="3">
        <v>18</v>
      </c>
      <c r="AN392" s="3">
        <v>2</v>
      </c>
      <c r="AO392" s="3">
        <v>2</v>
      </c>
      <c r="AP392" s="3">
        <v>1</v>
      </c>
      <c r="AQ392" s="3">
        <v>1</v>
      </c>
      <c r="AR392" s="2" t="s">
        <v>8</v>
      </c>
      <c r="AS392" s="2" t="s">
        <v>6</v>
      </c>
      <c r="AT392" s="5" t="str">
        <f>HYPERLINK("http://catalog.hathitrust.org/Record/003104167","HathiTrust Record")</f>
        <v>HathiTrust Record</v>
      </c>
      <c r="AU392" s="5" t="str">
        <f>HYPERLINK("https://creighton-primo.hosted.exlibrisgroup.com/primo-explore/search?tab=default_tab&amp;search_scope=EVERYTHING&amp;vid=01CRU&amp;lang=en_US&amp;offset=0&amp;query=any,contains,991000848549702656","Catalog Record")</f>
        <v>Catalog Record</v>
      </c>
      <c r="AV392" s="5" t="str">
        <f>HYPERLINK("http://www.worldcat.org/oclc/34710749","WorldCat Record")</f>
        <v>WorldCat Record</v>
      </c>
      <c r="AW392" s="2" t="s">
        <v>5076</v>
      </c>
      <c r="AX392" s="2" t="s">
        <v>5077</v>
      </c>
      <c r="AY392" s="2" t="s">
        <v>5078</v>
      </c>
      <c r="AZ392" s="2" t="s">
        <v>5078</v>
      </c>
      <c r="BA392" s="2" t="s">
        <v>5079</v>
      </c>
      <c r="BB392" s="2" t="s">
        <v>21</v>
      </c>
      <c r="BE392" s="2" t="s">
        <v>5080</v>
      </c>
      <c r="BF392" s="2" t="s">
        <v>5081</v>
      </c>
    </row>
    <row r="393" spans="1:58" ht="42.75" customHeight="1" x14ac:dyDescent="0.25">
      <c r="A393" s="8" t="s">
        <v>8</v>
      </c>
      <c r="B393" s="1" t="s">
        <v>0</v>
      </c>
      <c r="C393" s="1" t="s">
        <v>1</v>
      </c>
      <c r="D393" s="1" t="s">
        <v>5082</v>
      </c>
      <c r="E393" s="1" t="s">
        <v>5083</v>
      </c>
      <c r="F393" s="1" t="s">
        <v>5084</v>
      </c>
      <c r="H393" s="2" t="s">
        <v>8</v>
      </c>
      <c r="I393" s="2" t="s">
        <v>7</v>
      </c>
      <c r="J393" s="2" t="s">
        <v>8</v>
      </c>
      <c r="K393" s="2" t="s">
        <v>8</v>
      </c>
      <c r="L393" s="2" t="s">
        <v>9</v>
      </c>
      <c r="M393" s="1" t="s">
        <v>5085</v>
      </c>
      <c r="N393" s="1" t="s">
        <v>5086</v>
      </c>
      <c r="O393" s="2" t="s">
        <v>1629</v>
      </c>
      <c r="Q393" s="2" t="s">
        <v>12</v>
      </c>
      <c r="R393" s="2" t="s">
        <v>34</v>
      </c>
      <c r="T393" s="2" t="s">
        <v>14</v>
      </c>
      <c r="U393" s="3">
        <v>2</v>
      </c>
      <c r="V393" s="3">
        <v>2</v>
      </c>
      <c r="W393" s="4" t="s">
        <v>4794</v>
      </c>
      <c r="X393" s="4" t="s">
        <v>4794</v>
      </c>
      <c r="Y393" s="4" t="s">
        <v>4443</v>
      </c>
      <c r="Z393" s="4" t="s">
        <v>4443</v>
      </c>
      <c r="AA393" s="3">
        <v>607</v>
      </c>
      <c r="AB393" s="3">
        <v>524</v>
      </c>
      <c r="AC393" s="3">
        <v>531</v>
      </c>
      <c r="AD393" s="3">
        <v>5</v>
      </c>
      <c r="AE393" s="3">
        <v>5</v>
      </c>
      <c r="AF393" s="3">
        <v>43</v>
      </c>
      <c r="AG393" s="3">
        <v>43</v>
      </c>
      <c r="AH393" s="3">
        <v>10</v>
      </c>
      <c r="AI393" s="3">
        <v>10</v>
      </c>
      <c r="AJ393" s="3">
        <v>4</v>
      </c>
      <c r="AK393" s="3">
        <v>4</v>
      </c>
      <c r="AL393" s="3">
        <v>16</v>
      </c>
      <c r="AM393" s="3">
        <v>16</v>
      </c>
      <c r="AN393" s="3">
        <v>2</v>
      </c>
      <c r="AO393" s="3">
        <v>2</v>
      </c>
      <c r="AP393" s="3">
        <v>20</v>
      </c>
      <c r="AQ393" s="3">
        <v>20</v>
      </c>
      <c r="AR393" s="2" t="s">
        <v>8</v>
      </c>
      <c r="AS393" s="2" t="s">
        <v>6</v>
      </c>
      <c r="AT393" s="5" t="str">
        <f>HYPERLINK("http://catalog.hathitrust.org/Record/000249598","HathiTrust Record")</f>
        <v>HathiTrust Record</v>
      </c>
      <c r="AU393" s="5" t="str">
        <f>HYPERLINK("https://creighton-primo.hosted.exlibrisgroup.com/primo-explore/search?tab=default_tab&amp;search_scope=EVERYTHING&amp;vid=01CRU&amp;lang=en_US&amp;offset=0&amp;query=any,contains,991001183529702656","Catalog Record")</f>
        <v>Catalog Record</v>
      </c>
      <c r="AV393" s="5" t="str">
        <f>HYPERLINK("http://www.worldcat.org/oclc/10430283","WorldCat Record")</f>
        <v>WorldCat Record</v>
      </c>
      <c r="AW393" s="2" t="s">
        <v>5087</v>
      </c>
      <c r="AX393" s="2" t="s">
        <v>5088</v>
      </c>
      <c r="AY393" s="2" t="s">
        <v>5089</v>
      </c>
      <c r="AZ393" s="2" t="s">
        <v>5089</v>
      </c>
      <c r="BA393" s="2" t="s">
        <v>5090</v>
      </c>
      <c r="BB393" s="2" t="s">
        <v>21</v>
      </c>
      <c r="BD393" s="2" t="s">
        <v>5091</v>
      </c>
      <c r="BE393" s="2" t="s">
        <v>5092</v>
      </c>
      <c r="BF393" s="2" t="s">
        <v>5093</v>
      </c>
    </row>
    <row r="394" spans="1:58" ht="42.75" customHeight="1" x14ac:dyDescent="0.25">
      <c r="A394" s="8" t="s">
        <v>8</v>
      </c>
      <c r="B394" s="1" t="s">
        <v>0</v>
      </c>
      <c r="C394" s="1" t="s">
        <v>1</v>
      </c>
      <c r="D394" s="1" t="s">
        <v>5094</v>
      </c>
      <c r="E394" s="1" t="s">
        <v>5095</v>
      </c>
      <c r="F394" s="1" t="s">
        <v>5096</v>
      </c>
      <c r="H394" s="2" t="s">
        <v>8</v>
      </c>
      <c r="I394" s="2" t="s">
        <v>7</v>
      </c>
      <c r="J394" s="2" t="s">
        <v>6</v>
      </c>
      <c r="K394" s="2" t="s">
        <v>8</v>
      </c>
      <c r="L394" s="2" t="s">
        <v>9</v>
      </c>
      <c r="M394" s="1" t="s">
        <v>5097</v>
      </c>
      <c r="N394" s="1" t="s">
        <v>5098</v>
      </c>
      <c r="O394" s="2" t="s">
        <v>33</v>
      </c>
      <c r="Q394" s="2" t="s">
        <v>12</v>
      </c>
      <c r="R394" s="2" t="s">
        <v>34</v>
      </c>
      <c r="T394" s="2" t="s">
        <v>14</v>
      </c>
      <c r="U394" s="3">
        <v>28</v>
      </c>
      <c r="V394" s="3">
        <v>28</v>
      </c>
      <c r="W394" s="4" t="s">
        <v>5099</v>
      </c>
      <c r="X394" s="4" t="s">
        <v>5099</v>
      </c>
      <c r="Y394" s="4" t="s">
        <v>4443</v>
      </c>
      <c r="Z394" s="4" t="s">
        <v>4443</v>
      </c>
      <c r="AA394" s="3">
        <v>767</v>
      </c>
      <c r="AB394" s="3">
        <v>649</v>
      </c>
      <c r="AC394" s="3">
        <v>682</v>
      </c>
      <c r="AD394" s="3">
        <v>5</v>
      </c>
      <c r="AE394" s="3">
        <v>5</v>
      </c>
      <c r="AF394" s="3">
        <v>32</v>
      </c>
      <c r="AG394" s="3">
        <v>33</v>
      </c>
      <c r="AH394" s="3">
        <v>12</v>
      </c>
      <c r="AI394" s="3">
        <v>13</v>
      </c>
      <c r="AJ394" s="3">
        <v>6</v>
      </c>
      <c r="AK394" s="3">
        <v>6</v>
      </c>
      <c r="AL394" s="3">
        <v>14</v>
      </c>
      <c r="AM394" s="3">
        <v>15</v>
      </c>
      <c r="AN394" s="3">
        <v>2</v>
      </c>
      <c r="AO394" s="3">
        <v>2</v>
      </c>
      <c r="AP394" s="3">
        <v>4</v>
      </c>
      <c r="AQ394" s="3">
        <v>4</v>
      </c>
      <c r="AR394" s="2" t="s">
        <v>8</v>
      </c>
      <c r="AS394" s="2" t="s">
        <v>6</v>
      </c>
      <c r="AT394" s="5" t="str">
        <f>HYPERLINK("http://catalog.hathitrust.org/Record/000192659","HathiTrust Record")</f>
        <v>HathiTrust Record</v>
      </c>
      <c r="AU394" s="5" t="str">
        <f>HYPERLINK("https://creighton-primo.hosted.exlibrisgroup.com/primo-explore/search?tab=default_tab&amp;search_scope=EVERYTHING&amp;vid=01CRU&amp;lang=en_US&amp;offset=0&amp;query=any,contains,991001183289702656","Catalog Record")</f>
        <v>Catalog Record</v>
      </c>
      <c r="AV394" s="5" t="str">
        <f>HYPERLINK("http://www.worldcat.org/oclc/8452099","WorldCat Record")</f>
        <v>WorldCat Record</v>
      </c>
      <c r="AW394" s="2" t="s">
        <v>5100</v>
      </c>
      <c r="AX394" s="2" t="s">
        <v>5101</v>
      </c>
      <c r="AY394" s="2" t="s">
        <v>5102</v>
      </c>
      <c r="AZ394" s="2" t="s">
        <v>5102</v>
      </c>
      <c r="BA394" s="2" t="s">
        <v>5103</v>
      </c>
      <c r="BB394" s="2" t="s">
        <v>21</v>
      </c>
      <c r="BE394" s="2" t="s">
        <v>5104</v>
      </c>
      <c r="BF394" s="2" t="s">
        <v>5105</v>
      </c>
    </row>
    <row r="395" spans="1:58" ht="42.75" customHeight="1" x14ac:dyDescent="0.25">
      <c r="A395" s="8" t="s">
        <v>8</v>
      </c>
      <c r="B395" s="1" t="s">
        <v>0</v>
      </c>
      <c r="C395" s="1" t="s">
        <v>1</v>
      </c>
      <c r="D395" s="1" t="s">
        <v>5106</v>
      </c>
      <c r="E395" s="1" t="s">
        <v>5107</v>
      </c>
      <c r="F395" s="1" t="s">
        <v>5108</v>
      </c>
      <c r="H395" s="2" t="s">
        <v>8</v>
      </c>
      <c r="I395" s="2" t="s">
        <v>7</v>
      </c>
      <c r="J395" s="2" t="s">
        <v>8</v>
      </c>
      <c r="K395" s="2" t="s">
        <v>8</v>
      </c>
      <c r="L395" s="2" t="s">
        <v>9</v>
      </c>
      <c r="N395" s="1" t="s">
        <v>5109</v>
      </c>
      <c r="O395" s="2" t="s">
        <v>614</v>
      </c>
      <c r="Q395" s="2" t="s">
        <v>12</v>
      </c>
      <c r="R395" s="2" t="s">
        <v>520</v>
      </c>
      <c r="T395" s="2" t="s">
        <v>14</v>
      </c>
      <c r="U395" s="3">
        <v>29</v>
      </c>
      <c r="V395" s="3">
        <v>29</v>
      </c>
      <c r="W395" s="4" t="s">
        <v>4820</v>
      </c>
      <c r="X395" s="4" t="s">
        <v>4820</v>
      </c>
      <c r="Y395" s="4" t="s">
        <v>5110</v>
      </c>
      <c r="Z395" s="4" t="s">
        <v>5110</v>
      </c>
      <c r="AA395" s="3">
        <v>332</v>
      </c>
      <c r="AB395" s="3">
        <v>307</v>
      </c>
      <c r="AC395" s="3">
        <v>309</v>
      </c>
      <c r="AD395" s="3">
        <v>1</v>
      </c>
      <c r="AE395" s="3">
        <v>1</v>
      </c>
      <c r="AF395" s="3">
        <v>16</v>
      </c>
      <c r="AG395" s="3">
        <v>16</v>
      </c>
      <c r="AH395" s="3">
        <v>7</v>
      </c>
      <c r="AI395" s="3">
        <v>7</v>
      </c>
      <c r="AJ395" s="3">
        <v>2</v>
      </c>
      <c r="AK395" s="3">
        <v>2</v>
      </c>
      <c r="AL395" s="3">
        <v>11</v>
      </c>
      <c r="AM395" s="3">
        <v>11</v>
      </c>
      <c r="AN395" s="3">
        <v>0</v>
      </c>
      <c r="AO395" s="3">
        <v>0</v>
      </c>
      <c r="AP395" s="3">
        <v>3</v>
      </c>
      <c r="AQ395" s="3">
        <v>3</v>
      </c>
      <c r="AR395" s="2" t="s">
        <v>8</v>
      </c>
      <c r="AS395" s="2" t="s">
        <v>6</v>
      </c>
      <c r="AT395" s="5" t="str">
        <f>HYPERLINK("http://catalog.hathitrust.org/Record/002568733","HathiTrust Record")</f>
        <v>HathiTrust Record</v>
      </c>
      <c r="AU395" s="5" t="str">
        <f>HYPERLINK("https://creighton-primo.hosted.exlibrisgroup.com/primo-explore/search?tab=default_tab&amp;search_scope=EVERYTHING&amp;vid=01CRU&amp;lang=en_US&amp;offset=0&amp;query=any,contains,991001346989702656","Catalog Record")</f>
        <v>Catalog Record</v>
      </c>
      <c r="AV395" s="5" t="str">
        <f>HYPERLINK("http://www.worldcat.org/oclc/25547801","WorldCat Record")</f>
        <v>WorldCat Record</v>
      </c>
      <c r="AW395" s="2" t="s">
        <v>5111</v>
      </c>
      <c r="AX395" s="2" t="s">
        <v>5112</v>
      </c>
      <c r="AY395" s="2" t="s">
        <v>5113</v>
      </c>
      <c r="AZ395" s="2" t="s">
        <v>5113</v>
      </c>
      <c r="BA395" s="2" t="s">
        <v>5114</v>
      </c>
      <c r="BB395" s="2" t="s">
        <v>21</v>
      </c>
      <c r="BD395" s="2" t="s">
        <v>5115</v>
      </c>
      <c r="BE395" s="2" t="s">
        <v>5116</v>
      </c>
      <c r="BF395" s="2" t="s">
        <v>5117</v>
      </c>
    </row>
    <row r="396" spans="1:58" ht="42.75" customHeight="1" x14ac:dyDescent="0.25">
      <c r="A396" s="8" t="s">
        <v>8</v>
      </c>
      <c r="B396" s="1" t="s">
        <v>0</v>
      </c>
      <c r="C396" s="1" t="s">
        <v>1</v>
      </c>
      <c r="D396" s="1" t="s">
        <v>5118</v>
      </c>
      <c r="E396" s="1" t="s">
        <v>5119</v>
      </c>
      <c r="F396" s="1" t="s">
        <v>5120</v>
      </c>
      <c r="H396" s="2" t="s">
        <v>8</v>
      </c>
      <c r="I396" s="2" t="s">
        <v>7</v>
      </c>
      <c r="J396" s="2" t="s">
        <v>8</v>
      </c>
      <c r="K396" s="2" t="s">
        <v>8</v>
      </c>
      <c r="L396" s="2" t="s">
        <v>9</v>
      </c>
      <c r="M396" s="1" t="s">
        <v>5121</v>
      </c>
      <c r="N396" s="1" t="s">
        <v>5122</v>
      </c>
      <c r="O396" s="2" t="s">
        <v>5123</v>
      </c>
      <c r="Q396" s="2" t="s">
        <v>12</v>
      </c>
      <c r="R396" s="2" t="s">
        <v>1340</v>
      </c>
      <c r="T396" s="2" t="s">
        <v>14</v>
      </c>
      <c r="U396" s="3">
        <v>4</v>
      </c>
      <c r="V396" s="3">
        <v>4</v>
      </c>
      <c r="W396" s="4" t="s">
        <v>5124</v>
      </c>
      <c r="X396" s="4" t="s">
        <v>5124</v>
      </c>
      <c r="Y396" s="4" t="s">
        <v>130</v>
      </c>
      <c r="Z396" s="4" t="s">
        <v>130</v>
      </c>
      <c r="AA396" s="3">
        <v>186</v>
      </c>
      <c r="AB396" s="3">
        <v>180</v>
      </c>
      <c r="AC396" s="3">
        <v>267</v>
      </c>
      <c r="AD396" s="3">
        <v>2</v>
      </c>
      <c r="AE396" s="3">
        <v>2</v>
      </c>
      <c r="AF396" s="3">
        <v>15</v>
      </c>
      <c r="AG396" s="3">
        <v>16</v>
      </c>
      <c r="AH396" s="3">
        <v>4</v>
      </c>
      <c r="AI396" s="3">
        <v>4</v>
      </c>
      <c r="AJ396" s="3">
        <v>5</v>
      </c>
      <c r="AK396" s="3">
        <v>5</v>
      </c>
      <c r="AL396" s="3">
        <v>7</v>
      </c>
      <c r="AM396" s="3">
        <v>7</v>
      </c>
      <c r="AN396" s="3">
        <v>1</v>
      </c>
      <c r="AO396" s="3">
        <v>1</v>
      </c>
      <c r="AP396" s="3">
        <v>1</v>
      </c>
      <c r="AQ396" s="3">
        <v>2</v>
      </c>
      <c r="AR396" s="2" t="s">
        <v>8</v>
      </c>
      <c r="AS396" s="2" t="s">
        <v>6</v>
      </c>
      <c r="AT396" s="5" t="str">
        <f>HYPERLINK("http://catalog.hathitrust.org/Record/002068390","HathiTrust Record")</f>
        <v>HathiTrust Record</v>
      </c>
      <c r="AU396" s="5" t="str">
        <f>HYPERLINK("https://creighton-primo.hosted.exlibrisgroup.com/primo-explore/search?tab=default_tab&amp;search_scope=EVERYTHING&amp;vid=01CRU&amp;lang=en_US&amp;offset=0&amp;query=any,contains,991001183729702656","Catalog Record")</f>
        <v>Catalog Record</v>
      </c>
      <c r="AV396" s="5" t="str">
        <f>HYPERLINK("http://www.worldcat.org/oclc/528771","WorldCat Record")</f>
        <v>WorldCat Record</v>
      </c>
      <c r="AW396" s="2" t="s">
        <v>5125</v>
      </c>
      <c r="AX396" s="2" t="s">
        <v>5126</v>
      </c>
      <c r="AY396" s="2" t="s">
        <v>5127</v>
      </c>
      <c r="AZ396" s="2" t="s">
        <v>5127</v>
      </c>
      <c r="BA396" s="2" t="s">
        <v>5128</v>
      </c>
      <c r="BB396" s="2" t="s">
        <v>21</v>
      </c>
      <c r="BE396" s="2" t="s">
        <v>5129</v>
      </c>
      <c r="BF396" s="2" t="s">
        <v>5130</v>
      </c>
    </row>
    <row r="397" spans="1:58" ht="42.75" customHeight="1" x14ac:dyDescent="0.25">
      <c r="A397" s="8" t="s">
        <v>8</v>
      </c>
      <c r="B397" s="1" t="s">
        <v>0</v>
      </c>
      <c r="C397" s="1" t="s">
        <v>1</v>
      </c>
      <c r="D397" s="1" t="s">
        <v>5131</v>
      </c>
      <c r="E397" s="1" t="s">
        <v>5132</v>
      </c>
      <c r="F397" s="1" t="s">
        <v>5133</v>
      </c>
      <c r="H397" s="2" t="s">
        <v>8</v>
      </c>
      <c r="I397" s="2" t="s">
        <v>7</v>
      </c>
      <c r="J397" s="2" t="s">
        <v>8</v>
      </c>
      <c r="K397" s="2" t="s">
        <v>8</v>
      </c>
      <c r="L397" s="2" t="s">
        <v>9</v>
      </c>
      <c r="N397" s="1" t="s">
        <v>5134</v>
      </c>
      <c r="O397" s="2" t="s">
        <v>731</v>
      </c>
      <c r="Q397" s="2" t="s">
        <v>12</v>
      </c>
      <c r="R397" s="2" t="s">
        <v>13</v>
      </c>
      <c r="T397" s="2" t="s">
        <v>14</v>
      </c>
      <c r="U397" s="3">
        <v>0</v>
      </c>
      <c r="V397" s="3">
        <v>0</v>
      </c>
      <c r="W397" s="4" t="s">
        <v>5135</v>
      </c>
      <c r="X397" s="4" t="s">
        <v>5135</v>
      </c>
      <c r="Y397" s="4" t="s">
        <v>1213</v>
      </c>
      <c r="Z397" s="4" t="s">
        <v>1213</v>
      </c>
      <c r="AA397" s="3">
        <v>243</v>
      </c>
      <c r="AB397" s="3">
        <v>192</v>
      </c>
      <c r="AC397" s="3">
        <v>199</v>
      </c>
      <c r="AD397" s="3">
        <v>2</v>
      </c>
      <c r="AE397" s="3">
        <v>2</v>
      </c>
      <c r="AF397" s="3">
        <v>14</v>
      </c>
      <c r="AG397" s="3">
        <v>14</v>
      </c>
      <c r="AH397" s="3">
        <v>8</v>
      </c>
      <c r="AI397" s="3">
        <v>8</v>
      </c>
      <c r="AJ397" s="3">
        <v>3</v>
      </c>
      <c r="AK397" s="3">
        <v>3</v>
      </c>
      <c r="AL397" s="3">
        <v>5</v>
      </c>
      <c r="AM397" s="3">
        <v>5</v>
      </c>
      <c r="AN397" s="3">
        <v>1</v>
      </c>
      <c r="AO397" s="3">
        <v>1</v>
      </c>
      <c r="AP397" s="3">
        <v>1</v>
      </c>
      <c r="AQ397" s="3">
        <v>1</v>
      </c>
      <c r="AR397" s="2" t="s">
        <v>8</v>
      </c>
      <c r="AS397" s="2" t="s">
        <v>6</v>
      </c>
      <c r="AT397" s="5" t="str">
        <f>HYPERLINK("http://catalog.hathitrust.org/Record/004205723","HathiTrust Record")</f>
        <v>HathiTrust Record</v>
      </c>
      <c r="AU397" s="5" t="str">
        <f>HYPERLINK("https://creighton-primo.hosted.exlibrisgroup.com/primo-explore/search?tab=default_tab&amp;search_scope=EVERYTHING&amp;vid=01CRU&amp;lang=en_US&amp;offset=0&amp;query=any,contains,991000580949702656","Catalog Record")</f>
        <v>Catalog Record</v>
      </c>
      <c r="AV397" s="5" t="str">
        <f>HYPERLINK("http://www.worldcat.org/oclc/36501211","WorldCat Record")</f>
        <v>WorldCat Record</v>
      </c>
      <c r="AW397" s="2" t="s">
        <v>5136</v>
      </c>
      <c r="AX397" s="2" t="s">
        <v>5137</v>
      </c>
      <c r="AY397" s="2" t="s">
        <v>5138</v>
      </c>
      <c r="AZ397" s="2" t="s">
        <v>5138</v>
      </c>
      <c r="BA397" s="2" t="s">
        <v>5139</v>
      </c>
      <c r="BB397" s="2" t="s">
        <v>21</v>
      </c>
      <c r="BD397" s="2" t="s">
        <v>5140</v>
      </c>
      <c r="BE397" s="2" t="s">
        <v>5141</v>
      </c>
      <c r="BF397" s="2" t="s">
        <v>5142</v>
      </c>
    </row>
    <row r="398" spans="1:58" ht="42.75" customHeight="1" x14ac:dyDescent="0.25">
      <c r="A398" s="8" t="s">
        <v>8</v>
      </c>
      <c r="B398" s="1" t="s">
        <v>0</v>
      </c>
      <c r="C398" s="1" t="s">
        <v>1</v>
      </c>
      <c r="D398" s="1" t="s">
        <v>5143</v>
      </c>
      <c r="E398" s="1" t="s">
        <v>5144</v>
      </c>
      <c r="F398" s="1" t="s">
        <v>5145</v>
      </c>
      <c r="H398" s="2" t="s">
        <v>8</v>
      </c>
      <c r="I398" s="2" t="s">
        <v>7</v>
      </c>
      <c r="J398" s="2" t="s">
        <v>8</v>
      </c>
      <c r="K398" s="2" t="s">
        <v>8</v>
      </c>
      <c r="L398" s="2" t="s">
        <v>9</v>
      </c>
      <c r="M398" s="1" t="s">
        <v>5146</v>
      </c>
      <c r="N398" s="1" t="s">
        <v>5147</v>
      </c>
      <c r="O398" s="2" t="s">
        <v>33</v>
      </c>
      <c r="Q398" s="2" t="s">
        <v>12</v>
      </c>
      <c r="R398" s="2" t="s">
        <v>34</v>
      </c>
      <c r="S398" s="1" t="s">
        <v>5148</v>
      </c>
      <c r="T398" s="2" t="s">
        <v>14</v>
      </c>
      <c r="U398" s="3">
        <v>6</v>
      </c>
      <c r="V398" s="3">
        <v>6</v>
      </c>
      <c r="W398" s="4" t="s">
        <v>5149</v>
      </c>
      <c r="X398" s="4" t="s">
        <v>5149</v>
      </c>
      <c r="Y398" s="4" t="s">
        <v>1368</v>
      </c>
      <c r="Z398" s="4" t="s">
        <v>1368</v>
      </c>
      <c r="AA398" s="3">
        <v>118</v>
      </c>
      <c r="AB398" s="3">
        <v>85</v>
      </c>
      <c r="AC398" s="3">
        <v>112</v>
      </c>
      <c r="AD398" s="3">
        <v>1</v>
      </c>
      <c r="AE398" s="3">
        <v>1</v>
      </c>
      <c r="AF398" s="3">
        <v>7</v>
      </c>
      <c r="AG398" s="3">
        <v>8</v>
      </c>
      <c r="AH398" s="3">
        <v>4</v>
      </c>
      <c r="AI398" s="3">
        <v>5</v>
      </c>
      <c r="AJ398" s="3">
        <v>0</v>
      </c>
      <c r="AK398" s="3">
        <v>0</v>
      </c>
      <c r="AL398" s="3">
        <v>6</v>
      </c>
      <c r="AM398" s="3">
        <v>7</v>
      </c>
      <c r="AN398" s="3">
        <v>0</v>
      </c>
      <c r="AO398" s="3">
        <v>0</v>
      </c>
      <c r="AP398" s="3">
        <v>0</v>
      </c>
      <c r="AQ398" s="3">
        <v>0</v>
      </c>
      <c r="AR398" s="2" t="s">
        <v>8</v>
      </c>
      <c r="AS398" s="2" t="s">
        <v>6</v>
      </c>
      <c r="AT398" s="5" t="str">
        <f>HYPERLINK("http://catalog.hathitrust.org/Record/000772664","HathiTrust Record")</f>
        <v>HathiTrust Record</v>
      </c>
      <c r="AU398" s="5" t="str">
        <f>HYPERLINK("https://creighton-primo.hosted.exlibrisgroup.com/primo-explore/search?tab=default_tab&amp;search_scope=EVERYTHING&amp;vid=01CRU&amp;lang=en_US&amp;offset=0&amp;query=any,contains,991001183769702656","Catalog Record")</f>
        <v>Catalog Record</v>
      </c>
      <c r="AV398" s="5" t="str">
        <f>HYPERLINK("http://www.worldcat.org/oclc/8493204","WorldCat Record")</f>
        <v>WorldCat Record</v>
      </c>
      <c r="AW398" s="2" t="s">
        <v>5150</v>
      </c>
      <c r="AX398" s="2" t="s">
        <v>5151</v>
      </c>
      <c r="AY398" s="2" t="s">
        <v>5152</v>
      </c>
      <c r="AZ398" s="2" t="s">
        <v>5152</v>
      </c>
      <c r="BA398" s="2" t="s">
        <v>5153</v>
      </c>
      <c r="BB398" s="2" t="s">
        <v>21</v>
      </c>
      <c r="BD398" s="2" t="s">
        <v>5154</v>
      </c>
      <c r="BE398" s="2" t="s">
        <v>5155</v>
      </c>
      <c r="BF398" s="2" t="s">
        <v>5156</v>
      </c>
    </row>
    <row r="399" spans="1:58" ht="42.75" customHeight="1" x14ac:dyDescent="0.25">
      <c r="A399" s="8" t="s">
        <v>8</v>
      </c>
      <c r="B399" s="1" t="s">
        <v>0</v>
      </c>
      <c r="C399" s="1" t="s">
        <v>1</v>
      </c>
      <c r="D399" s="1" t="s">
        <v>5157</v>
      </c>
      <c r="E399" s="1" t="s">
        <v>5158</v>
      </c>
      <c r="F399" s="1" t="s">
        <v>5159</v>
      </c>
      <c r="H399" s="2" t="s">
        <v>8</v>
      </c>
      <c r="I399" s="2" t="s">
        <v>7</v>
      </c>
      <c r="J399" s="2" t="s">
        <v>8</v>
      </c>
      <c r="K399" s="2" t="s">
        <v>8</v>
      </c>
      <c r="L399" s="2" t="s">
        <v>9</v>
      </c>
      <c r="N399" s="1" t="s">
        <v>4856</v>
      </c>
      <c r="O399" s="2" t="s">
        <v>627</v>
      </c>
      <c r="Q399" s="2" t="s">
        <v>12</v>
      </c>
      <c r="R399" s="2" t="s">
        <v>34</v>
      </c>
      <c r="S399" s="1" t="s">
        <v>5148</v>
      </c>
      <c r="T399" s="2" t="s">
        <v>14</v>
      </c>
      <c r="U399" s="3">
        <v>13</v>
      </c>
      <c r="V399" s="3">
        <v>13</v>
      </c>
      <c r="W399" s="4" t="s">
        <v>5160</v>
      </c>
      <c r="X399" s="4" t="s">
        <v>5160</v>
      </c>
      <c r="Y399" s="4" t="s">
        <v>2755</v>
      </c>
      <c r="Z399" s="4" t="s">
        <v>2755</v>
      </c>
      <c r="AA399" s="3">
        <v>192</v>
      </c>
      <c r="AB399" s="3">
        <v>134</v>
      </c>
      <c r="AC399" s="3">
        <v>165</v>
      </c>
      <c r="AD399" s="3">
        <v>1</v>
      </c>
      <c r="AE399" s="3">
        <v>1</v>
      </c>
      <c r="AF399" s="3">
        <v>11</v>
      </c>
      <c r="AG399" s="3">
        <v>13</v>
      </c>
      <c r="AH399" s="3">
        <v>3</v>
      </c>
      <c r="AI399" s="3">
        <v>4</v>
      </c>
      <c r="AJ399" s="3">
        <v>0</v>
      </c>
      <c r="AK399" s="3">
        <v>0</v>
      </c>
      <c r="AL399" s="3">
        <v>6</v>
      </c>
      <c r="AM399" s="3">
        <v>7</v>
      </c>
      <c r="AN399" s="3">
        <v>0</v>
      </c>
      <c r="AO399" s="3">
        <v>0</v>
      </c>
      <c r="AP399" s="3">
        <v>4</v>
      </c>
      <c r="AQ399" s="3">
        <v>5</v>
      </c>
      <c r="AR399" s="2" t="s">
        <v>8</v>
      </c>
      <c r="AS399" s="2" t="s">
        <v>6</v>
      </c>
      <c r="AT399" s="5" t="str">
        <f>HYPERLINK("http://catalog.hathitrust.org/Record/002055713","HathiTrust Record")</f>
        <v>HathiTrust Record</v>
      </c>
      <c r="AU399" s="5" t="str">
        <f>HYPERLINK("https://creighton-primo.hosted.exlibrisgroup.com/primo-explore/search?tab=default_tab&amp;search_scope=EVERYTHING&amp;vid=01CRU&amp;lang=en_US&amp;offset=0&amp;query=any,contains,991001355939702656","Catalog Record")</f>
        <v>Catalog Record</v>
      </c>
      <c r="AV399" s="5" t="str">
        <f>HYPERLINK("http://www.worldcat.org/oclc/18417366","WorldCat Record")</f>
        <v>WorldCat Record</v>
      </c>
      <c r="AW399" s="2" t="s">
        <v>5161</v>
      </c>
      <c r="AX399" s="2" t="s">
        <v>5162</v>
      </c>
      <c r="AY399" s="2" t="s">
        <v>5163</v>
      </c>
      <c r="AZ399" s="2" t="s">
        <v>5163</v>
      </c>
      <c r="BA399" s="2" t="s">
        <v>5164</v>
      </c>
      <c r="BB399" s="2" t="s">
        <v>21</v>
      </c>
      <c r="BD399" s="2" t="s">
        <v>5165</v>
      </c>
      <c r="BE399" s="2" t="s">
        <v>5166</v>
      </c>
      <c r="BF399" s="2" t="s">
        <v>5167</v>
      </c>
    </row>
    <row r="400" spans="1:58" ht="42.75" customHeight="1" x14ac:dyDescent="0.25">
      <c r="A400" s="8" t="s">
        <v>8</v>
      </c>
      <c r="B400" s="1" t="s">
        <v>0</v>
      </c>
      <c r="C400" s="1" t="s">
        <v>1</v>
      </c>
      <c r="D400" s="1" t="s">
        <v>5168</v>
      </c>
      <c r="E400" s="1" t="s">
        <v>5169</v>
      </c>
      <c r="F400" s="1" t="s">
        <v>5170</v>
      </c>
      <c r="H400" s="2" t="s">
        <v>8</v>
      </c>
      <c r="I400" s="2" t="s">
        <v>7</v>
      </c>
      <c r="J400" s="2" t="s">
        <v>8</v>
      </c>
      <c r="K400" s="2" t="s">
        <v>6</v>
      </c>
      <c r="L400" s="2" t="s">
        <v>7</v>
      </c>
      <c r="N400" s="1" t="s">
        <v>5171</v>
      </c>
      <c r="O400" s="2" t="s">
        <v>657</v>
      </c>
      <c r="Q400" s="2" t="s">
        <v>12</v>
      </c>
      <c r="R400" s="2" t="s">
        <v>1211</v>
      </c>
      <c r="S400" s="1" t="s">
        <v>5172</v>
      </c>
      <c r="T400" s="2" t="s">
        <v>14</v>
      </c>
      <c r="U400" s="3">
        <v>3</v>
      </c>
      <c r="V400" s="3">
        <v>3</v>
      </c>
      <c r="W400" s="4" t="s">
        <v>5173</v>
      </c>
      <c r="X400" s="4" t="s">
        <v>5173</v>
      </c>
      <c r="Y400" s="4" t="s">
        <v>5174</v>
      </c>
      <c r="Z400" s="4" t="s">
        <v>5174</v>
      </c>
      <c r="AA400" s="3">
        <v>447</v>
      </c>
      <c r="AB400" s="3">
        <v>430</v>
      </c>
      <c r="AC400" s="3">
        <v>784</v>
      </c>
      <c r="AD400" s="3">
        <v>6</v>
      </c>
      <c r="AE400" s="3">
        <v>10</v>
      </c>
      <c r="AF400" s="3">
        <v>15</v>
      </c>
      <c r="AG400" s="3">
        <v>29</v>
      </c>
      <c r="AH400" s="3">
        <v>5</v>
      </c>
      <c r="AI400" s="3">
        <v>13</v>
      </c>
      <c r="AJ400" s="3">
        <v>3</v>
      </c>
      <c r="AK400" s="3">
        <v>4</v>
      </c>
      <c r="AL400" s="3">
        <v>8</v>
      </c>
      <c r="AM400" s="3">
        <v>13</v>
      </c>
      <c r="AN400" s="3">
        <v>3</v>
      </c>
      <c r="AO400" s="3">
        <v>6</v>
      </c>
      <c r="AP400" s="3">
        <v>0</v>
      </c>
      <c r="AQ400" s="3">
        <v>0</v>
      </c>
      <c r="AR400" s="2" t="s">
        <v>8</v>
      </c>
      <c r="AS400" s="2" t="s">
        <v>6</v>
      </c>
      <c r="AT400" s="5" t="str">
        <f>HYPERLINK("http://catalog.hathitrust.org/Record/003572810","HathiTrust Record")</f>
        <v>HathiTrust Record</v>
      </c>
      <c r="AU400" s="5" t="str">
        <f>HYPERLINK("https://creighton-primo.hosted.exlibrisgroup.com/primo-explore/search?tab=default_tab&amp;search_scope=EVERYTHING&amp;vid=01CRU&amp;lang=en_US&amp;offset=0&amp;query=any,contains,991001711419702656","Catalog Record")</f>
        <v>Catalog Record</v>
      </c>
      <c r="AV400" s="5" t="str">
        <f>HYPERLINK("http://www.worldcat.org/oclc/47659433","WorldCat Record")</f>
        <v>WorldCat Record</v>
      </c>
      <c r="AW400" s="2" t="s">
        <v>5175</v>
      </c>
      <c r="AX400" s="2" t="s">
        <v>5176</v>
      </c>
      <c r="AY400" s="2" t="s">
        <v>5177</v>
      </c>
      <c r="AZ400" s="2" t="s">
        <v>5177</v>
      </c>
      <c r="BA400" s="2" t="s">
        <v>5178</v>
      </c>
      <c r="BB400" s="2" t="s">
        <v>21</v>
      </c>
      <c r="BD400" s="2" t="s">
        <v>5179</v>
      </c>
      <c r="BE400" s="2" t="s">
        <v>5180</v>
      </c>
      <c r="BF400" s="2" t="s">
        <v>5181</v>
      </c>
    </row>
    <row r="401" spans="1:58" ht="42.75" customHeight="1" x14ac:dyDescent="0.25">
      <c r="A401" s="8" t="s">
        <v>8</v>
      </c>
      <c r="B401" s="1" t="s">
        <v>0</v>
      </c>
      <c r="C401" s="1" t="s">
        <v>1</v>
      </c>
      <c r="D401" s="1" t="s">
        <v>5182</v>
      </c>
      <c r="E401" s="1" t="s">
        <v>5183</v>
      </c>
      <c r="F401" s="1" t="s">
        <v>5184</v>
      </c>
      <c r="H401" s="2" t="s">
        <v>8</v>
      </c>
      <c r="I401" s="2" t="s">
        <v>7</v>
      </c>
      <c r="J401" s="2" t="s">
        <v>8</v>
      </c>
      <c r="K401" s="2" t="s">
        <v>8</v>
      </c>
      <c r="L401" s="2" t="s">
        <v>9</v>
      </c>
      <c r="M401" s="1" t="s">
        <v>5185</v>
      </c>
      <c r="N401" s="1" t="s">
        <v>5186</v>
      </c>
      <c r="O401" s="2" t="s">
        <v>128</v>
      </c>
      <c r="Q401" s="2" t="s">
        <v>12</v>
      </c>
      <c r="R401" s="2" t="s">
        <v>577</v>
      </c>
      <c r="T401" s="2" t="s">
        <v>14</v>
      </c>
      <c r="U401" s="3">
        <v>6</v>
      </c>
      <c r="V401" s="3">
        <v>6</v>
      </c>
      <c r="W401" s="4" t="s">
        <v>5187</v>
      </c>
      <c r="X401" s="4" t="s">
        <v>5187</v>
      </c>
      <c r="Y401" s="4" t="s">
        <v>4443</v>
      </c>
      <c r="Z401" s="4" t="s">
        <v>4443</v>
      </c>
      <c r="AA401" s="3">
        <v>246</v>
      </c>
      <c r="AB401" s="3">
        <v>194</v>
      </c>
      <c r="AC401" s="3">
        <v>213</v>
      </c>
      <c r="AD401" s="3">
        <v>1</v>
      </c>
      <c r="AE401" s="3">
        <v>1</v>
      </c>
      <c r="AF401" s="3">
        <v>10</v>
      </c>
      <c r="AG401" s="3">
        <v>11</v>
      </c>
      <c r="AH401" s="3">
        <v>1</v>
      </c>
      <c r="AI401" s="3">
        <v>2</v>
      </c>
      <c r="AJ401" s="3">
        <v>2</v>
      </c>
      <c r="AK401" s="3">
        <v>2</v>
      </c>
      <c r="AL401" s="3">
        <v>7</v>
      </c>
      <c r="AM401" s="3">
        <v>8</v>
      </c>
      <c r="AN401" s="3">
        <v>0</v>
      </c>
      <c r="AO401" s="3">
        <v>0</v>
      </c>
      <c r="AP401" s="3">
        <v>2</v>
      </c>
      <c r="AQ401" s="3">
        <v>2</v>
      </c>
      <c r="AR401" s="2" t="s">
        <v>8</v>
      </c>
      <c r="AS401" s="2" t="s">
        <v>8</v>
      </c>
      <c r="AU401" s="5" t="str">
        <f>HYPERLINK("https://creighton-primo.hosted.exlibrisgroup.com/primo-explore/search?tab=default_tab&amp;search_scope=EVERYTHING&amp;vid=01CRU&amp;lang=en_US&amp;offset=0&amp;query=any,contains,991001183909702656","Catalog Record")</f>
        <v>Catalog Record</v>
      </c>
      <c r="AV401" s="5" t="str">
        <f>HYPERLINK("http://www.worldcat.org/oclc/5630291","WorldCat Record")</f>
        <v>WorldCat Record</v>
      </c>
      <c r="AW401" s="2" t="s">
        <v>5188</v>
      </c>
      <c r="AX401" s="2" t="s">
        <v>5189</v>
      </c>
      <c r="AY401" s="2" t="s">
        <v>5190</v>
      </c>
      <c r="AZ401" s="2" t="s">
        <v>5190</v>
      </c>
      <c r="BA401" s="2" t="s">
        <v>5191</v>
      </c>
      <c r="BB401" s="2" t="s">
        <v>21</v>
      </c>
      <c r="BD401" s="2" t="s">
        <v>5192</v>
      </c>
      <c r="BE401" s="2" t="s">
        <v>5193</v>
      </c>
      <c r="BF401" s="2" t="s">
        <v>5194</v>
      </c>
    </row>
    <row r="402" spans="1:58" ht="42.75" customHeight="1" x14ac:dyDescent="0.25">
      <c r="A402" s="8" t="s">
        <v>8</v>
      </c>
      <c r="B402" s="1" t="s">
        <v>0</v>
      </c>
      <c r="C402" s="1" t="s">
        <v>1</v>
      </c>
      <c r="D402" s="1" t="s">
        <v>5195</v>
      </c>
      <c r="E402" s="1" t="s">
        <v>5196</v>
      </c>
      <c r="F402" s="1" t="s">
        <v>5197</v>
      </c>
      <c r="H402" s="2" t="s">
        <v>8</v>
      </c>
      <c r="I402" s="2" t="s">
        <v>7</v>
      </c>
      <c r="J402" s="2" t="s">
        <v>8</v>
      </c>
      <c r="K402" s="2" t="s">
        <v>8</v>
      </c>
      <c r="L402" s="2" t="s">
        <v>9</v>
      </c>
      <c r="M402" s="1" t="s">
        <v>5198</v>
      </c>
      <c r="N402" s="1" t="s">
        <v>5199</v>
      </c>
      <c r="O402" s="2" t="s">
        <v>208</v>
      </c>
      <c r="Q402" s="2" t="s">
        <v>12</v>
      </c>
      <c r="R402" s="2" t="s">
        <v>267</v>
      </c>
      <c r="T402" s="2" t="s">
        <v>14</v>
      </c>
      <c r="U402" s="3">
        <v>4</v>
      </c>
      <c r="V402" s="3">
        <v>4</v>
      </c>
      <c r="W402" s="4" t="s">
        <v>5200</v>
      </c>
      <c r="X402" s="4" t="s">
        <v>5200</v>
      </c>
      <c r="Y402" s="4" t="s">
        <v>4443</v>
      </c>
      <c r="Z402" s="4" t="s">
        <v>4443</v>
      </c>
      <c r="AA402" s="3">
        <v>5</v>
      </c>
      <c r="AB402" s="3">
        <v>4</v>
      </c>
      <c r="AC402" s="3">
        <v>6</v>
      </c>
      <c r="AD402" s="3">
        <v>1</v>
      </c>
      <c r="AE402" s="3">
        <v>1</v>
      </c>
      <c r="AF402" s="3">
        <v>1</v>
      </c>
      <c r="AG402" s="3">
        <v>1</v>
      </c>
      <c r="AH402" s="3">
        <v>0</v>
      </c>
      <c r="AI402" s="3">
        <v>0</v>
      </c>
      <c r="AJ402" s="3">
        <v>1</v>
      </c>
      <c r="AK402" s="3">
        <v>1</v>
      </c>
      <c r="AL402" s="3">
        <v>1</v>
      </c>
      <c r="AM402" s="3">
        <v>1</v>
      </c>
      <c r="AN402" s="3">
        <v>0</v>
      </c>
      <c r="AO402" s="3">
        <v>0</v>
      </c>
      <c r="AP402" s="3">
        <v>0</v>
      </c>
      <c r="AQ402" s="3">
        <v>0</v>
      </c>
      <c r="AR402" s="2" t="s">
        <v>8</v>
      </c>
      <c r="AS402" s="2" t="s">
        <v>8</v>
      </c>
      <c r="AU402" s="5" t="str">
        <f>HYPERLINK("https://creighton-primo.hosted.exlibrisgroup.com/primo-explore/search?tab=default_tab&amp;search_scope=EVERYTHING&amp;vid=01CRU&amp;lang=en_US&amp;offset=0&amp;query=any,contains,991001184819702656","Catalog Record")</f>
        <v>Catalog Record</v>
      </c>
      <c r="AV402" s="5" t="str">
        <f>HYPERLINK("http://www.worldcat.org/oclc/4384069","WorldCat Record")</f>
        <v>WorldCat Record</v>
      </c>
      <c r="AW402" s="2" t="s">
        <v>5201</v>
      </c>
      <c r="AX402" s="2" t="s">
        <v>5202</v>
      </c>
      <c r="AY402" s="2" t="s">
        <v>5203</v>
      </c>
      <c r="AZ402" s="2" t="s">
        <v>5203</v>
      </c>
      <c r="BA402" s="2" t="s">
        <v>5204</v>
      </c>
      <c r="BB402" s="2" t="s">
        <v>21</v>
      </c>
      <c r="BE402" s="2" t="s">
        <v>5205</v>
      </c>
      <c r="BF402" s="2" t="s">
        <v>5206</v>
      </c>
    </row>
    <row r="403" spans="1:58" ht="42.75" customHeight="1" x14ac:dyDescent="0.25">
      <c r="A403" s="8" t="s">
        <v>8</v>
      </c>
      <c r="B403" s="1" t="s">
        <v>0</v>
      </c>
      <c r="C403" s="1" t="s">
        <v>1</v>
      </c>
      <c r="D403" s="1" t="s">
        <v>5207</v>
      </c>
      <c r="E403" s="1" t="s">
        <v>5208</v>
      </c>
      <c r="F403" s="1" t="s">
        <v>5209</v>
      </c>
      <c r="H403" s="2" t="s">
        <v>8</v>
      </c>
      <c r="I403" s="2" t="s">
        <v>7</v>
      </c>
      <c r="J403" s="2" t="s">
        <v>8</v>
      </c>
      <c r="K403" s="2" t="s">
        <v>6</v>
      </c>
      <c r="L403" s="2" t="s">
        <v>9</v>
      </c>
      <c r="N403" s="1" t="s">
        <v>5210</v>
      </c>
      <c r="O403" s="2" t="s">
        <v>814</v>
      </c>
      <c r="P403" s="1" t="s">
        <v>2031</v>
      </c>
      <c r="Q403" s="2" t="s">
        <v>12</v>
      </c>
      <c r="R403" s="2" t="s">
        <v>1170</v>
      </c>
      <c r="T403" s="2" t="s">
        <v>14</v>
      </c>
      <c r="U403" s="3">
        <v>15</v>
      </c>
      <c r="V403" s="3">
        <v>15</v>
      </c>
      <c r="W403" s="4" t="s">
        <v>5211</v>
      </c>
      <c r="X403" s="4" t="s">
        <v>5211</v>
      </c>
      <c r="Y403" s="4" t="s">
        <v>5212</v>
      </c>
      <c r="Z403" s="4" t="s">
        <v>5212</v>
      </c>
      <c r="AA403" s="3">
        <v>299</v>
      </c>
      <c r="AB403" s="3">
        <v>200</v>
      </c>
      <c r="AC403" s="3">
        <v>1133</v>
      </c>
      <c r="AD403" s="3">
        <v>2</v>
      </c>
      <c r="AE403" s="3">
        <v>12</v>
      </c>
      <c r="AF403" s="3">
        <v>13</v>
      </c>
      <c r="AG403" s="3">
        <v>56</v>
      </c>
      <c r="AH403" s="3">
        <v>5</v>
      </c>
      <c r="AI403" s="3">
        <v>19</v>
      </c>
      <c r="AJ403" s="3">
        <v>5</v>
      </c>
      <c r="AK403" s="3">
        <v>10</v>
      </c>
      <c r="AL403" s="3">
        <v>8</v>
      </c>
      <c r="AM403" s="3">
        <v>26</v>
      </c>
      <c r="AN403" s="3">
        <v>1</v>
      </c>
      <c r="AO403" s="3">
        <v>7</v>
      </c>
      <c r="AP403" s="3">
        <v>0</v>
      </c>
      <c r="AQ403" s="3">
        <v>6</v>
      </c>
      <c r="AR403" s="2" t="s">
        <v>8</v>
      </c>
      <c r="AS403" s="2" t="s">
        <v>6</v>
      </c>
      <c r="AT403" s="5" t="str">
        <f>HYPERLINK("http://catalog.hathitrust.org/Record/004017425","HathiTrust Record")</f>
        <v>HathiTrust Record</v>
      </c>
      <c r="AU403" s="5" t="str">
        <f>HYPERLINK("https://creighton-primo.hosted.exlibrisgroup.com/primo-explore/search?tab=default_tab&amp;search_scope=EVERYTHING&amp;vid=01CRU&amp;lang=en_US&amp;offset=0&amp;query=any,contains,991000874769702656","Catalog Record")</f>
        <v>Catalog Record</v>
      </c>
      <c r="AV403" s="5" t="str">
        <f>HYPERLINK("http://www.worldcat.org/oclc/40251617","WorldCat Record")</f>
        <v>WorldCat Record</v>
      </c>
      <c r="AW403" s="2" t="s">
        <v>5213</v>
      </c>
      <c r="AX403" s="2" t="s">
        <v>5214</v>
      </c>
      <c r="AY403" s="2" t="s">
        <v>5215</v>
      </c>
      <c r="AZ403" s="2" t="s">
        <v>5215</v>
      </c>
      <c r="BA403" s="2" t="s">
        <v>5216</v>
      </c>
      <c r="BB403" s="2" t="s">
        <v>21</v>
      </c>
      <c r="BD403" s="2" t="s">
        <v>5217</v>
      </c>
      <c r="BE403" s="2" t="s">
        <v>5218</v>
      </c>
      <c r="BF403" s="2" t="s">
        <v>5219</v>
      </c>
    </row>
    <row r="404" spans="1:58" ht="42.75" customHeight="1" x14ac:dyDescent="0.25">
      <c r="A404" s="8" t="s">
        <v>8</v>
      </c>
      <c r="B404" s="1" t="s">
        <v>0</v>
      </c>
      <c r="C404" s="1" t="s">
        <v>1</v>
      </c>
      <c r="D404" s="1" t="s">
        <v>5220</v>
      </c>
      <c r="E404" s="1" t="s">
        <v>5221</v>
      </c>
      <c r="F404" s="1" t="s">
        <v>5209</v>
      </c>
      <c r="H404" s="2" t="s">
        <v>8</v>
      </c>
      <c r="I404" s="2" t="s">
        <v>7</v>
      </c>
      <c r="J404" s="2" t="s">
        <v>8</v>
      </c>
      <c r="K404" s="2" t="s">
        <v>6</v>
      </c>
      <c r="L404" s="2" t="s">
        <v>9</v>
      </c>
      <c r="N404" s="1" t="s">
        <v>5222</v>
      </c>
      <c r="O404" s="2" t="s">
        <v>830</v>
      </c>
      <c r="P404" s="1" t="s">
        <v>1537</v>
      </c>
      <c r="Q404" s="2" t="s">
        <v>12</v>
      </c>
      <c r="R404" s="2" t="s">
        <v>1170</v>
      </c>
      <c r="T404" s="2" t="s">
        <v>14</v>
      </c>
      <c r="U404" s="3">
        <v>10</v>
      </c>
      <c r="V404" s="3">
        <v>10</v>
      </c>
      <c r="W404" s="4" t="s">
        <v>4885</v>
      </c>
      <c r="X404" s="4" t="s">
        <v>4885</v>
      </c>
      <c r="Y404" s="4" t="s">
        <v>3363</v>
      </c>
      <c r="Z404" s="4" t="s">
        <v>3363</v>
      </c>
      <c r="AA404" s="3">
        <v>120</v>
      </c>
      <c r="AB404" s="3">
        <v>98</v>
      </c>
      <c r="AC404" s="3">
        <v>1133</v>
      </c>
      <c r="AD404" s="3">
        <v>1</v>
      </c>
      <c r="AE404" s="3">
        <v>12</v>
      </c>
      <c r="AF404" s="3">
        <v>11</v>
      </c>
      <c r="AG404" s="3">
        <v>56</v>
      </c>
      <c r="AH404" s="3">
        <v>1</v>
      </c>
      <c r="AI404" s="3">
        <v>19</v>
      </c>
      <c r="AJ404" s="3">
        <v>3</v>
      </c>
      <c r="AK404" s="3">
        <v>10</v>
      </c>
      <c r="AL404" s="3">
        <v>7</v>
      </c>
      <c r="AM404" s="3">
        <v>26</v>
      </c>
      <c r="AN404" s="3">
        <v>0</v>
      </c>
      <c r="AO404" s="3">
        <v>7</v>
      </c>
      <c r="AP404" s="3">
        <v>2</v>
      </c>
      <c r="AQ404" s="3">
        <v>6</v>
      </c>
      <c r="AR404" s="2" t="s">
        <v>8</v>
      </c>
      <c r="AS404" s="2" t="s">
        <v>6</v>
      </c>
      <c r="AT404" s="5" t="str">
        <f>HYPERLINK("http://catalog.hathitrust.org/Record/004286804","HathiTrust Record")</f>
        <v>HathiTrust Record</v>
      </c>
      <c r="AU404" s="5" t="str">
        <f>HYPERLINK("https://creighton-primo.hosted.exlibrisgroup.com/primo-explore/search?tab=default_tab&amp;search_scope=EVERYTHING&amp;vid=01CRU&amp;lang=en_US&amp;offset=0&amp;query=any,contains,991001719799702656","Catalog Record")</f>
        <v>Catalog Record</v>
      </c>
      <c r="AV404" s="5" t="str">
        <f>HYPERLINK("http://www.worldcat.org/oclc/50685785","WorldCat Record")</f>
        <v>WorldCat Record</v>
      </c>
      <c r="AW404" s="2" t="s">
        <v>5213</v>
      </c>
      <c r="AX404" s="2" t="s">
        <v>5223</v>
      </c>
      <c r="AY404" s="2" t="s">
        <v>5224</v>
      </c>
      <c r="AZ404" s="2" t="s">
        <v>5224</v>
      </c>
      <c r="BA404" s="2" t="s">
        <v>5225</v>
      </c>
      <c r="BB404" s="2" t="s">
        <v>21</v>
      </c>
      <c r="BD404" s="2" t="s">
        <v>5226</v>
      </c>
      <c r="BE404" s="2" t="s">
        <v>5227</v>
      </c>
      <c r="BF404" s="2" t="s">
        <v>5228</v>
      </c>
    </row>
    <row r="405" spans="1:58" ht="42.75" customHeight="1" x14ac:dyDescent="0.25">
      <c r="A405" s="8" t="s">
        <v>8</v>
      </c>
      <c r="B405" s="1" t="s">
        <v>0</v>
      </c>
      <c r="C405" s="1" t="s">
        <v>1</v>
      </c>
      <c r="D405" s="1" t="s">
        <v>5229</v>
      </c>
      <c r="E405" s="1" t="s">
        <v>5230</v>
      </c>
      <c r="F405" s="1" t="s">
        <v>5231</v>
      </c>
      <c r="H405" s="2" t="s">
        <v>8</v>
      </c>
      <c r="I405" s="2" t="s">
        <v>7</v>
      </c>
      <c r="J405" s="2" t="s">
        <v>8</v>
      </c>
      <c r="K405" s="2" t="s">
        <v>8</v>
      </c>
      <c r="L405" s="2" t="s">
        <v>9</v>
      </c>
      <c r="M405" s="1" t="s">
        <v>5232</v>
      </c>
      <c r="N405" s="1" t="s">
        <v>5233</v>
      </c>
      <c r="O405" s="2" t="s">
        <v>67</v>
      </c>
      <c r="Q405" s="2" t="s">
        <v>12</v>
      </c>
      <c r="R405" s="2" t="s">
        <v>577</v>
      </c>
      <c r="T405" s="2" t="s">
        <v>14</v>
      </c>
      <c r="U405" s="3">
        <v>21</v>
      </c>
      <c r="V405" s="3">
        <v>21</v>
      </c>
      <c r="W405" s="4" t="s">
        <v>5234</v>
      </c>
      <c r="X405" s="4" t="s">
        <v>5234</v>
      </c>
      <c r="Y405" s="4" t="s">
        <v>5235</v>
      </c>
      <c r="Z405" s="4" t="s">
        <v>5235</v>
      </c>
      <c r="AA405" s="3">
        <v>238</v>
      </c>
      <c r="AB405" s="3">
        <v>196</v>
      </c>
      <c r="AC405" s="3">
        <v>202</v>
      </c>
      <c r="AD405" s="3">
        <v>3</v>
      </c>
      <c r="AE405" s="3">
        <v>3</v>
      </c>
      <c r="AF405" s="3">
        <v>9</v>
      </c>
      <c r="AG405" s="3">
        <v>9</v>
      </c>
      <c r="AH405" s="3">
        <v>3</v>
      </c>
      <c r="AI405" s="3">
        <v>3</v>
      </c>
      <c r="AJ405" s="3">
        <v>0</v>
      </c>
      <c r="AK405" s="3">
        <v>0</v>
      </c>
      <c r="AL405" s="3">
        <v>4</v>
      </c>
      <c r="AM405" s="3">
        <v>4</v>
      </c>
      <c r="AN405" s="3">
        <v>2</v>
      </c>
      <c r="AO405" s="3">
        <v>2</v>
      </c>
      <c r="AP405" s="3">
        <v>1</v>
      </c>
      <c r="AQ405" s="3">
        <v>1</v>
      </c>
      <c r="AR405" s="2" t="s">
        <v>8</v>
      </c>
      <c r="AS405" s="2" t="s">
        <v>6</v>
      </c>
      <c r="AT405" s="5" t="str">
        <f>HYPERLINK("http://catalog.hathitrust.org/Record/008306601","HathiTrust Record")</f>
        <v>HathiTrust Record</v>
      </c>
      <c r="AU405" s="5" t="str">
        <f>HYPERLINK("https://creighton-primo.hosted.exlibrisgroup.com/primo-explore/search?tab=default_tab&amp;search_scope=EVERYTHING&amp;vid=01CRU&amp;lang=en_US&amp;offset=0&amp;query=any,contains,991001184179702656","Catalog Record")</f>
        <v>Catalog Record</v>
      </c>
      <c r="AV405" s="5" t="str">
        <f>HYPERLINK("http://www.worldcat.org/oclc/11067433","WorldCat Record")</f>
        <v>WorldCat Record</v>
      </c>
      <c r="AW405" s="2" t="s">
        <v>5236</v>
      </c>
      <c r="AX405" s="2" t="s">
        <v>5237</v>
      </c>
      <c r="AY405" s="2" t="s">
        <v>5238</v>
      </c>
      <c r="AZ405" s="2" t="s">
        <v>5238</v>
      </c>
      <c r="BA405" s="2" t="s">
        <v>5239</v>
      </c>
      <c r="BB405" s="2" t="s">
        <v>21</v>
      </c>
      <c r="BD405" s="2" t="s">
        <v>5240</v>
      </c>
      <c r="BE405" s="2" t="s">
        <v>5241</v>
      </c>
      <c r="BF405" s="2" t="s">
        <v>5242</v>
      </c>
    </row>
    <row r="406" spans="1:58" ht="42.75" customHeight="1" x14ac:dyDescent="0.25">
      <c r="A406" s="8" t="s">
        <v>8</v>
      </c>
      <c r="B406" s="1" t="s">
        <v>0</v>
      </c>
      <c r="C406" s="1" t="s">
        <v>1</v>
      </c>
      <c r="D406" s="1" t="s">
        <v>5243</v>
      </c>
      <c r="E406" s="1" t="s">
        <v>5244</v>
      </c>
      <c r="F406" s="1" t="s">
        <v>5245</v>
      </c>
      <c r="H406" s="2" t="s">
        <v>8</v>
      </c>
      <c r="I406" s="2" t="s">
        <v>7</v>
      </c>
      <c r="J406" s="2" t="s">
        <v>8</v>
      </c>
      <c r="K406" s="2" t="s">
        <v>8</v>
      </c>
      <c r="L406" s="2" t="s">
        <v>9</v>
      </c>
      <c r="M406" s="1" t="s">
        <v>5246</v>
      </c>
      <c r="N406" s="1" t="s">
        <v>4751</v>
      </c>
      <c r="O406" s="2" t="s">
        <v>1327</v>
      </c>
      <c r="Q406" s="2" t="s">
        <v>12</v>
      </c>
      <c r="R406" s="2" t="s">
        <v>34</v>
      </c>
      <c r="T406" s="2" t="s">
        <v>14</v>
      </c>
      <c r="U406" s="3">
        <v>6</v>
      </c>
      <c r="V406" s="3">
        <v>6</v>
      </c>
      <c r="W406" s="4" t="s">
        <v>5247</v>
      </c>
      <c r="X406" s="4" t="s">
        <v>5247</v>
      </c>
      <c r="Y406" s="4" t="s">
        <v>4443</v>
      </c>
      <c r="Z406" s="4" t="s">
        <v>4443</v>
      </c>
      <c r="AA406" s="3">
        <v>152</v>
      </c>
      <c r="AB406" s="3">
        <v>133</v>
      </c>
      <c r="AC406" s="3">
        <v>135</v>
      </c>
      <c r="AD406" s="3">
        <v>1</v>
      </c>
      <c r="AE406" s="3">
        <v>1</v>
      </c>
      <c r="AF406" s="3">
        <v>9</v>
      </c>
      <c r="AG406" s="3">
        <v>9</v>
      </c>
      <c r="AH406" s="3">
        <v>5</v>
      </c>
      <c r="AI406" s="3">
        <v>5</v>
      </c>
      <c r="AJ406" s="3">
        <v>0</v>
      </c>
      <c r="AK406" s="3">
        <v>0</v>
      </c>
      <c r="AL406" s="3">
        <v>5</v>
      </c>
      <c r="AM406" s="3">
        <v>5</v>
      </c>
      <c r="AN406" s="3">
        <v>0</v>
      </c>
      <c r="AO406" s="3">
        <v>0</v>
      </c>
      <c r="AP406" s="3">
        <v>1</v>
      </c>
      <c r="AQ406" s="3">
        <v>1</v>
      </c>
      <c r="AR406" s="2" t="s">
        <v>8</v>
      </c>
      <c r="AS406" s="2" t="s">
        <v>6</v>
      </c>
      <c r="AT406" s="5" t="str">
        <f>HYPERLINK("http://catalog.hathitrust.org/Record/000825462","HathiTrust Record")</f>
        <v>HathiTrust Record</v>
      </c>
      <c r="AU406" s="5" t="str">
        <f>HYPERLINK("https://creighton-primo.hosted.exlibrisgroup.com/primo-explore/search?tab=default_tab&amp;search_scope=EVERYTHING&amp;vid=01CRU&amp;lang=en_US&amp;offset=0&amp;query=any,contains,991001184329702656","Catalog Record")</f>
        <v>Catalog Record</v>
      </c>
      <c r="AV406" s="5" t="str">
        <f>HYPERLINK("http://www.worldcat.org/oclc/12836124","WorldCat Record")</f>
        <v>WorldCat Record</v>
      </c>
      <c r="AW406" s="2" t="s">
        <v>5248</v>
      </c>
      <c r="AX406" s="2" t="s">
        <v>5249</v>
      </c>
      <c r="AY406" s="2" t="s">
        <v>5250</v>
      </c>
      <c r="AZ406" s="2" t="s">
        <v>5250</v>
      </c>
      <c r="BA406" s="2" t="s">
        <v>5251</v>
      </c>
      <c r="BB406" s="2" t="s">
        <v>21</v>
      </c>
      <c r="BD406" s="2" t="s">
        <v>5252</v>
      </c>
      <c r="BE406" s="2" t="s">
        <v>5253</v>
      </c>
      <c r="BF406" s="2" t="s">
        <v>5254</v>
      </c>
    </row>
    <row r="407" spans="1:58" ht="42.75" customHeight="1" x14ac:dyDescent="0.25">
      <c r="A407" s="8" t="s">
        <v>8</v>
      </c>
      <c r="B407" s="1" t="s">
        <v>0</v>
      </c>
      <c r="C407" s="1" t="s">
        <v>1</v>
      </c>
      <c r="D407" s="1" t="s">
        <v>5255</v>
      </c>
      <c r="E407" s="1" t="s">
        <v>5256</v>
      </c>
      <c r="F407" s="1" t="s">
        <v>5257</v>
      </c>
      <c r="H407" s="2" t="s">
        <v>8</v>
      </c>
      <c r="I407" s="2" t="s">
        <v>7</v>
      </c>
      <c r="J407" s="2" t="s">
        <v>8</v>
      </c>
      <c r="K407" s="2" t="s">
        <v>8</v>
      </c>
      <c r="L407" s="2" t="s">
        <v>9</v>
      </c>
      <c r="M407" s="1" t="s">
        <v>5258</v>
      </c>
      <c r="N407" s="1" t="s">
        <v>5259</v>
      </c>
      <c r="O407" s="2" t="s">
        <v>208</v>
      </c>
      <c r="P407" s="1" t="s">
        <v>5260</v>
      </c>
      <c r="Q407" s="2" t="s">
        <v>12</v>
      </c>
      <c r="R407" s="2" t="s">
        <v>577</v>
      </c>
      <c r="T407" s="2" t="s">
        <v>14</v>
      </c>
      <c r="U407" s="3">
        <v>2</v>
      </c>
      <c r="V407" s="3">
        <v>2</v>
      </c>
      <c r="W407" s="4" t="s">
        <v>5261</v>
      </c>
      <c r="X407" s="4" t="s">
        <v>5261</v>
      </c>
      <c r="Y407" s="4" t="s">
        <v>4443</v>
      </c>
      <c r="Z407" s="4" t="s">
        <v>4443</v>
      </c>
      <c r="AA407" s="3">
        <v>85</v>
      </c>
      <c r="AB407" s="3">
        <v>72</v>
      </c>
      <c r="AC407" s="3">
        <v>473</v>
      </c>
      <c r="AD407" s="3">
        <v>2</v>
      </c>
      <c r="AE407" s="3">
        <v>2</v>
      </c>
      <c r="AF407" s="3">
        <v>4</v>
      </c>
      <c r="AG407" s="3">
        <v>25</v>
      </c>
      <c r="AH407" s="3">
        <v>2</v>
      </c>
      <c r="AI407" s="3">
        <v>8</v>
      </c>
      <c r="AJ407" s="3">
        <v>1</v>
      </c>
      <c r="AK407" s="3">
        <v>4</v>
      </c>
      <c r="AL407" s="3">
        <v>1</v>
      </c>
      <c r="AM407" s="3">
        <v>10</v>
      </c>
      <c r="AN407" s="3">
        <v>1</v>
      </c>
      <c r="AO407" s="3">
        <v>1</v>
      </c>
      <c r="AP407" s="3">
        <v>0</v>
      </c>
      <c r="AQ407" s="3">
        <v>7</v>
      </c>
      <c r="AR407" s="2" t="s">
        <v>8</v>
      </c>
      <c r="AS407" s="2" t="s">
        <v>8</v>
      </c>
      <c r="AU407" s="5" t="str">
        <f>HYPERLINK("https://creighton-primo.hosted.exlibrisgroup.com/primo-explore/search?tab=default_tab&amp;search_scope=EVERYTHING&amp;vid=01CRU&amp;lang=en_US&amp;offset=0&amp;query=any,contains,991000170379702656","Catalog Record")</f>
        <v>Catalog Record</v>
      </c>
      <c r="AV407" s="5" t="str">
        <f>HYPERLINK("http://www.worldcat.org/oclc/3205103","WorldCat Record")</f>
        <v>WorldCat Record</v>
      </c>
      <c r="AW407" s="2" t="s">
        <v>5262</v>
      </c>
      <c r="AX407" s="2" t="s">
        <v>5263</v>
      </c>
      <c r="AY407" s="2" t="s">
        <v>5264</v>
      </c>
      <c r="AZ407" s="2" t="s">
        <v>5264</v>
      </c>
      <c r="BA407" s="2" t="s">
        <v>5265</v>
      </c>
      <c r="BB407" s="2" t="s">
        <v>21</v>
      </c>
      <c r="BD407" s="2" t="s">
        <v>5266</v>
      </c>
      <c r="BE407" s="2" t="s">
        <v>5267</v>
      </c>
      <c r="BF407" s="2" t="s">
        <v>5268</v>
      </c>
    </row>
    <row r="408" spans="1:58" ht="42.75" customHeight="1" x14ac:dyDescent="0.25">
      <c r="A408" s="8" t="s">
        <v>8</v>
      </c>
      <c r="B408" s="1" t="s">
        <v>0</v>
      </c>
      <c r="C408" s="1" t="s">
        <v>1</v>
      </c>
      <c r="D408" s="1" t="s">
        <v>5269</v>
      </c>
      <c r="E408" s="1" t="s">
        <v>5270</v>
      </c>
      <c r="F408" s="1" t="s">
        <v>5271</v>
      </c>
      <c r="H408" s="2" t="s">
        <v>8</v>
      </c>
      <c r="I408" s="2" t="s">
        <v>7</v>
      </c>
      <c r="J408" s="2" t="s">
        <v>8</v>
      </c>
      <c r="K408" s="2" t="s">
        <v>8</v>
      </c>
      <c r="L408" s="2" t="s">
        <v>9</v>
      </c>
      <c r="N408" s="1" t="s">
        <v>5272</v>
      </c>
      <c r="O408" s="2" t="s">
        <v>589</v>
      </c>
      <c r="Q408" s="2" t="s">
        <v>12</v>
      </c>
      <c r="R408" s="2" t="s">
        <v>34</v>
      </c>
      <c r="T408" s="2" t="s">
        <v>14</v>
      </c>
      <c r="U408" s="3">
        <v>39</v>
      </c>
      <c r="V408" s="3">
        <v>39</v>
      </c>
      <c r="W408" s="4" t="s">
        <v>5273</v>
      </c>
      <c r="X408" s="4" t="s">
        <v>5273</v>
      </c>
      <c r="Y408" s="4" t="s">
        <v>4781</v>
      </c>
      <c r="Z408" s="4" t="s">
        <v>4781</v>
      </c>
      <c r="AA408" s="3">
        <v>247</v>
      </c>
      <c r="AB408" s="3">
        <v>234</v>
      </c>
      <c r="AC408" s="3">
        <v>245</v>
      </c>
      <c r="AD408" s="3">
        <v>2</v>
      </c>
      <c r="AE408" s="3">
        <v>2</v>
      </c>
      <c r="AF408" s="3">
        <v>10</v>
      </c>
      <c r="AG408" s="3">
        <v>10</v>
      </c>
      <c r="AH408" s="3">
        <v>3</v>
      </c>
      <c r="AI408" s="3">
        <v>3</v>
      </c>
      <c r="AJ408" s="3">
        <v>2</v>
      </c>
      <c r="AK408" s="3">
        <v>2</v>
      </c>
      <c r="AL408" s="3">
        <v>5</v>
      </c>
      <c r="AM408" s="3">
        <v>5</v>
      </c>
      <c r="AN408" s="3">
        <v>1</v>
      </c>
      <c r="AO408" s="3">
        <v>1</v>
      </c>
      <c r="AP408" s="3">
        <v>1</v>
      </c>
      <c r="AQ408" s="3">
        <v>1</v>
      </c>
      <c r="AR408" s="2" t="s">
        <v>8</v>
      </c>
      <c r="AS408" s="2" t="s">
        <v>8</v>
      </c>
      <c r="AU408" s="5" t="str">
        <f>HYPERLINK("https://creighton-primo.hosted.exlibrisgroup.com/primo-explore/search?tab=default_tab&amp;search_scope=EVERYTHING&amp;vid=01CRU&amp;lang=en_US&amp;offset=0&amp;query=any,contains,991000768829702656","Catalog Record")</f>
        <v>Catalog Record</v>
      </c>
      <c r="AV408" s="5" t="str">
        <f>HYPERLINK("http://www.worldcat.org/oclc/20797435","WorldCat Record")</f>
        <v>WorldCat Record</v>
      </c>
      <c r="AW408" s="2" t="s">
        <v>5274</v>
      </c>
      <c r="AX408" s="2" t="s">
        <v>5275</v>
      </c>
      <c r="AY408" s="2" t="s">
        <v>5276</v>
      </c>
      <c r="AZ408" s="2" t="s">
        <v>5276</v>
      </c>
      <c r="BA408" s="2" t="s">
        <v>5277</v>
      </c>
      <c r="BB408" s="2" t="s">
        <v>21</v>
      </c>
      <c r="BD408" s="2" t="s">
        <v>5278</v>
      </c>
      <c r="BE408" s="2" t="s">
        <v>5279</v>
      </c>
      <c r="BF408" s="2" t="s">
        <v>5280</v>
      </c>
    </row>
    <row r="409" spans="1:58" ht="42.75" customHeight="1" x14ac:dyDescent="0.25">
      <c r="A409" s="8" t="s">
        <v>8</v>
      </c>
      <c r="B409" s="1" t="s">
        <v>0</v>
      </c>
      <c r="C409" s="1" t="s">
        <v>1</v>
      </c>
      <c r="D409" s="1" t="s">
        <v>5281</v>
      </c>
      <c r="E409" s="1" t="s">
        <v>5282</v>
      </c>
      <c r="F409" s="1" t="s">
        <v>5283</v>
      </c>
      <c r="H409" s="2" t="s">
        <v>8</v>
      </c>
      <c r="I409" s="2" t="s">
        <v>7</v>
      </c>
      <c r="J409" s="2" t="s">
        <v>8</v>
      </c>
      <c r="K409" s="2" t="s">
        <v>6</v>
      </c>
      <c r="L409" s="2" t="s">
        <v>9</v>
      </c>
      <c r="N409" s="1" t="s">
        <v>5284</v>
      </c>
      <c r="O409" s="2" t="s">
        <v>627</v>
      </c>
      <c r="Q409" s="2" t="s">
        <v>12</v>
      </c>
      <c r="R409" s="2" t="s">
        <v>1340</v>
      </c>
      <c r="T409" s="2" t="s">
        <v>14</v>
      </c>
      <c r="U409" s="3">
        <v>12</v>
      </c>
      <c r="V409" s="3">
        <v>12</v>
      </c>
      <c r="W409" s="4" t="s">
        <v>2539</v>
      </c>
      <c r="X409" s="4" t="s">
        <v>2539</v>
      </c>
      <c r="Y409" s="4" t="s">
        <v>4981</v>
      </c>
      <c r="Z409" s="4" t="s">
        <v>4981</v>
      </c>
      <c r="AA409" s="3">
        <v>507</v>
      </c>
      <c r="AB409" s="3">
        <v>414</v>
      </c>
      <c r="AC409" s="3">
        <v>783</v>
      </c>
      <c r="AD409" s="3">
        <v>3</v>
      </c>
      <c r="AE409" s="3">
        <v>5</v>
      </c>
      <c r="AF409" s="3">
        <v>25</v>
      </c>
      <c r="AG409" s="3">
        <v>38</v>
      </c>
      <c r="AH409" s="3">
        <v>12</v>
      </c>
      <c r="AI409" s="3">
        <v>17</v>
      </c>
      <c r="AJ409" s="3">
        <v>5</v>
      </c>
      <c r="AK409" s="3">
        <v>8</v>
      </c>
      <c r="AL409" s="3">
        <v>14</v>
      </c>
      <c r="AM409" s="3">
        <v>19</v>
      </c>
      <c r="AN409" s="3">
        <v>2</v>
      </c>
      <c r="AO409" s="3">
        <v>4</v>
      </c>
      <c r="AP409" s="3">
        <v>0</v>
      </c>
      <c r="AQ409" s="3">
        <v>0</v>
      </c>
      <c r="AR409" s="2" t="s">
        <v>8</v>
      </c>
      <c r="AS409" s="2" t="s">
        <v>6</v>
      </c>
      <c r="AT409" s="5" t="str">
        <f>HYPERLINK("http://catalog.hathitrust.org/Record/001295920","HathiTrust Record")</f>
        <v>HathiTrust Record</v>
      </c>
      <c r="AU409" s="5" t="str">
        <f>HYPERLINK("https://creighton-primo.hosted.exlibrisgroup.com/primo-explore/search?tab=default_tab&amp;search_scope=EVERYTHING&amp;vid=01CRU&amp;lang=en_US&amp;offset=0&amp;query=any,contains,991001105589702656","Catalog Record")</f>
        <v>Catalog Record</v>
      </c>
      <c r="AV409" s="5" t="str">
        <f>HYPERLINK("http://www.worldcat.org/oclc/18628714","WorldCat Record")</f>
        <v>WorldCat Record</v>
      </c>
      <c r="AW409" s="2" t="s">
        <v>5285</v>
      </c>
      <c r="AX409" s="2" t="s">
        <v>5286</v>
      </c>
      <c r="AY409" s="2" t="s">
        <v>5287</v>
      </c>
      <c r="AZ409" s="2" t="s">
        <v>5287</v>
      </c>
      <c r="BA409" s="2" t="s">
        <v>5288</v>
      </c>
      <c r="BB409" s="2" t="s">
        <v>21</v>
      </c>
      <c r="BE409" s="2" t="s">
        <v>5289</v>
      </c>
      <c r="BF409" s="2" t="s">
        <v>5290</v>
      </c>
    </row>
    <row r="410" spans="1:58" ht="42.75" customHeight="1" x14ac:dyDescent="0.25">
      <c r="A410" s="8" t="s">
        <v>8</v>
      </c>
      <c r="B410" s="1" t="s">
        <v>0</v>
      </c>
      <c r="C410" s="1" t="s">
        <v>1</v>
      </c>
      <c r="D410" s="1" t="s">
        <v>5291</v>
      </c>
      <c r="E410" s="1" t="s">
        <v>5292</v>
      </c>
      <c r="F410" s="1" t="s">
        <v>5293</v>
      </c>
      <c r="H410" s="2" t="s">
        <v>8</v>
      </c>
      <c r="I410" s="2" t="s">
        <v>7</v>
      </c>
      <c r="J410" s="2" t="s">
        <v>8</v>
      </c>
      <c r="K410" s="2" t="s">
        <v>8</v>
      </c>
      <c r="L410" s="2" t="s">
        <v>9</v>
      </c>
      <c r="M410" s="1" t="s">
        <v>5294</v>
      </c>
      <c r="N410" s="1" t="s">
        <v>5295</v>
      </c>
      <c r="O410" s="2" t="s">
        <v>114</v>
      </c>
      <c r="Q410" s="2" t="s">
        <v>12</v>
      </c>
      <c r="R410" s="2" t="s">
        <v>456</v>
      </c>
      <c r="T410" s="2" t="s">
        <v>14</v>
      </c>
      <c r="U410" s="3">
        <v>2</v>
      </c>
      <c r="V410" s="3">
        <v>2</v>
      </c>
      <c r="W410" s="4" t="s">
        <v>5200</v>
      </c>
      <c r="X410" s="4" t="s">
        <v>5200</v>
      </c>
      <c r="Y410" s="4" t="s">
        <v>1254</v>
      </c>
      <c r="Z410" s="4" t="s">
        <v>1254</v>
      </c>
      <c r="AA410" s="3">
        <v>659</v>
      </c>
      <c r="AB410" s="3">
        <v>569</v>
      </c>
      <c r="AC410" s="3">
        <v>574</v>
      </c>
      <c r="AD410" s="3">
        <v>7</v>
      </c>
      <c r="AE410" s="3">
        <v>7</v>
      </c>
      <c r="AF410" s="3">
        <v>40</v>
      </c>
      <c r="AG410" s="3">
        <v>40</v>
      </c>
      <c r="AH410" s="3">
        <v>12</v>
      </c>
      <c r="AI410" s="3">
        <v>12</v>
      </c>
      <c r="AJ410" s="3">
        <v>9</v>
      </c>
      <c r="AK410" s="3">
        <v>9</v>
      </c>
      <c r="AL410" s="3">
        <v>26</v>
      </c>
      <c r="AM410" s="3">
        <v>26</v>
      </c>
      <c r="AN410" s="3">
        <v>5</v>
      </c>
      <c r="AO410" s="3">
        <v>5</v>
      </c>
      <c r="AP410" s="3">
        <v>0</v>
      </c>
      <c r="AQ410" s="3">
        <v>0</v>
      </c>
      <c r="AR410" s="2" t="s">
        <v>8</v>
      </c>
      <c r="AS410" s="2" t="s">
        <v>8</v>
      </c>
      <c r="AU410" s="5" t="str">
        <f>HYPERLINK("https://creighton-primo.hosted.exlibrisgroup.com/primo-explore/search?tab=default_tab&amp;search_scope=EVERYTHING&amp;vid=01CRU&amp;lang=en_US&amp;offset=0&amp;query=any,contains,991001184349702656","Catalog Record")</f>
        <v>Catalog Record</v>
      </c>
      <c r="AV410" s="5" t="str">
        <f>HYPERLINK("http://www.worldcat.org/oclc/704669","WorldCat Record")</f>
        <v>WorldCat Record</v>
      </c>
      <c r="AW410" s="2" t="s">
        <v>5296</v>
      </c>
      <c r="AX410" s="2" t="s">
        <v>5297</v>
      </c>
      <c r="AY410" s="2" t="s">
        <v>5298</v>
      </c>
      <c r="AZ410" s="2" t="s">
        <v>5298</v>
      </c>
      <c r="BA410" s="2" t="s">
        <v>5299</v>
      </c>
      <c r="BB410" s="2" t="s">
        <v>21</v>
      </c>
      <c r="BD410" s="2" t="s">
        <v>5300</v>
      </c>
      <c r="BE410" s="2" t="s">
        <v>5301</v>
      </c>
      <c r="BF410" s="2" t="s">
        <v>5302</v>
      </c>
    </row>
    <row r="411" spans="1:58" ht="42.75" customHeight="1" x14ac:dyDescent="0.25">
      <c r="A411" s="8" t="s">
        <v>8</v>
      </c>
      <c r="B411" s="1" t="s">
        <v>0</v>
      </c>
      <c r="C411" s="1" t="s">
        <v>1</v>
      </c>
      <c r="D411" s="1" t="s">
        <v>5303</v>
      </c>
      <c r="E411" s="1" t="s">
        <v>5304</v>
      </c>
      <c r="F411" s="1" t="s">
        <v>5305</v>
      </c>
      <c r="H411" s="2" t="s">
        <v>8</v>
      </c>
      <c r="I411" s="2" t="s">
        <v>7</v>
      </c>
      <c r="J411" s="2" t="s">
        <v>8</v>
      </c>
      <c r="K411" s="2" t="s">
        <v>8</v>
      </c>
      <c r="L411" s="2" t="s">
        <v>9</v>
      </c>
      <c r="M411" s="1" t="s">
        <v>5306</v>
      </c>
      <c r="N411" s="1" t="s">
        <v>5307</v>
      </c>
      <c r="O411" s="2" t="s">
        <v>844</v>
      </c>
      <c r="Q411" s="2" t="s">
        <v>12</v>
      </c>
      <c r="R411" s="2" t="s">
        <v>13</v>
      </c>
      <c r="T411" s="2" t="s">
        <v>14</v>
      </c>
      <c r="U411" s="3">
        <v>11</v>
      </c>
      <c r="V411" s="3">
        <v>11</v>
      </c>
      <c r="W411" s="4" t="s">
        <v>5308</v>
      </c>
      <c r="X411" s="4" t="s">
        <v>5308</v>
      </c>
      <c r="Y411" s="4" t="s">
        <v>5309</v>
      </c>
      <c r="Z411" s="4" t="s">
        <v>5309</v>
      </c>
      <c r="AA411" s="3">
        <v>462</v>
      </c>
      <c r="AB411" s="3">
        <v>412</v>
      </c>
      <c r="AC411" s="3">
        <v>428</v>
      </c>
      <c r="AD411" s="3">
        <v>1</v>
      </c>
      <c r="AE411" s="3">
        <v>1</v>
      </c>
      <c r="AF411" s="3">
        <v>19</v>
      </c>
      <c r="AG411" s="3">
        <v>21</v>
      </c>
      <c r="AH411" s="3">
        <v>7</v>
      </c>
      <c r="AI411" s="3">
        <v>8</v>
      </c>
      <c r="AJ411" s="3">
        <v>4</v>
      </c>
      <c r="AK411" s="3">
        <v>5</v>
      </c>
      <c r="AL411" s="3">
        <v>13</v>
      </c>
      <c r="AM411" s="3">
        <v>13</v>
      </c>
      <c r="AN411" s="3">
        <v>0</v>
      </c>
      <c r="AO411" s="3">
        <v>0</v>
      </c>
      <c r="AP411" s="3">
        <v>2</v>
      </c>
      <c r="AQ411" s="3">
        <v>2</v>
      </c>
      <c r="AR411" s="2" t="s">
        <v>8</v>
      </c>
      <c r="AS411" s="2" t="s">
        <v>6</v>
      </c>
      <c r="AT411" s="5" t="str">
        <f>HYPERLINK("http://catalog.hathitrust.org/Record/002987426","HathiTrust Record")</f>
        <v>HathiTrust Record</v>
      </c>
      <c r="AU411" s="5" t="str">
        <f>HYPERLINK("https://creighton-primo.hosted.exlibrisgroup.com/primo-explore/search?tab=default_tab&amp;search_scope=EVERYTHING&amp;vid=01CRU&amp;lang=en_US&amp;offset=0&amp;query=any,contains,991001399539702656","Catalog Record")</f>
        <v>Catalog Record</v>
      </c>
      <c r="AV411" s="5" t="str">
        <f>HYPERLINK("http://www.worldcat.org/oclc/31516981","WorldCat Record")</f>
        <v>WorldCat Record</v>
      </c>
      <c r="AW411" s="2" t="s">
        <v>5310</v>
      </c>
      <c r="AX411" s="2" t="s">
        <v>5311</v>
      </c>
      <c r="AY411" s="2" t="s">
        <v>5312</v>
      </c>
      <c r="AZ411" s="2" t="s">
        <v>5312</v>
      </c>
      <c r="BA411" s="2" t="s">
        <v>5313</v>
      </c>
      <c r="BB411" s="2" t="s">
        <v>21</v>
      </c>
      <c r="BD411" s="2" t="s">
        <v>5314</v>
      </c>
      <c r="BE411" s="2" t="s">
        <v>5315</v>
      </c>
      <c r="BF411" s="2" t="s">
        <v>5316</v>
      </c>
    </row>
    <row r="412" spans="1:58" ht="42.75" customHeight="1" x14ac:dyDescent="0.25">
      <c r="A412" s="8" t="s">
        <v>8</v>
      </c>
      <c r="B412" s="1" t="s">
        <v>0</v>
      </c>
      <c r="C412" s="1" t="s">
        <v>1</v>
      </c>
      <c r="D412" s="1" t="s">
        <v>5317</v>
      </c>
      <c r="E412" s="1" t="s">
        <v>5318</v>
      </c>
      <c r="F412" s="1" t="s">
        <v>5319</v>
      </c>
      <c r="H412" s="2" t="s">
        <v>8</v>
      </c>
      <c r="I412" s="2" t="s">
        <v>7</v>
      </c>
      <c r="J412" s="2" t="s">
        <v>8</v>
      </c>
      <c r="K412" s="2" t="s">
        <v>6</v>
      </c>
      <c r="L412" s="2" t="s">
        <v>9</v>
      </c>
      <c r="M412" s="1" t="s">
        <v>5320</v>
      </c>
      <c r="N412" s="1" t="s">
        <v>5321</v>
      </c>
      <c r="O412" s="2" t="s">
        <v>688</v>
      </c>
      <c r="Q412" s="2" t="s">
        <v>12</v>
      </c>
      <c r="R412" s="2" t="s">
        <v>1211</v>
      </c>
      <c r="T412" s="2" t="s">
        <v>14</v>
      </c>
      <c r="U412" s="3">
        <v>18</v>
      </c>
      <c r="V412" s="3">
        <v>18</v>
      </c>
      <c r="W412" s="4" t="s">
        <v>5036</v>
      </c>
      <c r="X412" s="4" t="s">
        <v>5036</v>
      </c>
      <c r="Y412" s="4" t="s">
        <v>5322</v>
      </c>
      <c r="Z412" s="4" t="s">
        <v>5322</v>
      </c>
      <c r="AA412" s="3">
        <v>501</v>
      </c>
      <c r="AB412" s="3">
        <v>450</v>
      </c>
      <c r="AC412" s="3">
        <v>679</v>
      </c>
      <c r="AD412" s="3">
        <v>3</v>
      </c>
      <c r="AE412" s="3">
        <v>6</v>
      </c>
      <c r="AF412" s="3">
        <v>27</v>
      </c>
      <c r="AG412" s="3">
        <v>45</v>
      </c>
      <c r="AH412" s="3">
        <v>6</v>
      </c>
      <c r="AI412" s="3">
        <v>14</v>
      </c>
      <c r="AJ412" s="3">
        <v>4</v>
      </c>
      <c r="AK412" s="3">
        <v>7</v>
      </c>
      <c r="AL412" s="3">
        <v>16</v>
      </c>
      <c r="AM412" s="3">
        <v>24</v>
      </c>
      <c r="AN412" s="3">
        <v>2</v>
      </c>
      <c r="AO412" s="3">
        <v>4</v>
      </c>
      <c r="AP412" s="3">
        <v>5</v>
      </c>
      <c r="AQ412" s="3">
        <v>7</v>
      </c>
      <c r="AR412" s="2" t="s">
        <v>8</v>
      </c>
      <c r="AS412" s="2" t="s">
        <v>6</v>
      </c>
      <c r="AT412" s="5" t="str">
        <f>HYPERLINK("http://catalog.hathitrust.org/Record/002889707","HathiTrust Record")</f>
        <v>HathiTrust Record</v>
      </c>
      <c r="AU412" s="5" t="str">
        <f>HYPERLINK("https://creighton-primo.hosted.exlibrisgroup.com/primo-explore/search?tab=default_tab&amp;search_scope=EVERYTHING&amp;vid=01CRU&amp;lang=en_US&amp;offset=0&amp;query=any,contains,991001198989702656","Catalog Record")</f>
        <v>Catalog Record</v>
      </c>
      <c r="AV412" s="5" t="str">
        <f>HYPERLINK("http://www.worldcat.org/oclc/30110526","WorldCat Record")</f>
        <v>WorldCat Record</v>
      </c>
      <c r="AW412" s="2" t="s">
        <v>5323</v>
      </c>
      <c r="AX412" s="2" t="s">
        <v>5324</v>
      </c>
      <c r="AY412" s="2" t="s">
        <v>5325</v>
      </c>
      <c r="AZ412" s="2" t="s">
        <v>5325</v>
      </c>
      <c r="BA412" s="2" t="s">
        <v>5326</v>
      </c>
      <c r="BB412" s="2" t="s">
        <v>21</v>
      </c>
      <c r="BD412" s="2" t="s">
        <v>5327</v>
      </c>
      <c r="BE412" s="2" t="s">
        <v>5328</v>
      </c>
      <c r="BF412" s="2" t="s">
        <v>5329</v>
      </c>
    </row>
    <row r="413" spans="1:58" ht="42.75" customHeight="1" x14ac:dyDescent="0.25">
      <c r="A413" s="8" t="s">
        <v>8</v>
      </c>
      <c r="B413" s="1" t="s">
        <v>0</v>
      </c>
      <c r="C413" s="1" t="s">
        <v>1</v>
      </c>
      <c r="D413" s="1" t="s">
        <v>5330</v>
      </c>
      <c r="E413" s="1" t="s">
        <v>5331</v>
      </c>
      <c r="F413" s="1" t="s">
        <v>5332</v>
      </c>
      <c r="H413" s="2" t="s">
        <v>8</v>
      </c>
      <c r="I413" s="2" t="s">
        <v>7</v>
      </c>
      <c r="J413" s="2" t="s">
        <v>8</v>
      </c>
      <c r="K413" s="2" t="s">
        <v>8</v>
      </c>
      <c r="L413" s="2" t="s">
        <v>9</v>
      </c>
      <c r="N413" s="1" t="s">
        <v>5333</v>
      </c>
      <c r="O413" s="2" t="s">
        <v>1034</v>
      </c>
      <c r="Q413" s="2" t="s">
        <v>12</v>
      </c>
      <c r="R413" s="2" t="s">
        <v>643</v>
      </c>
      <c r="T413" s="2" t="s">
        <v>14</v>
      </c>
      <c r="U413" s="3">
        <v>9</v>
      </c>
      <c r="V413" s="3">
        <v>9</v>
      </c>
      <c r="W413" s="4" t="s">
        <v>5334</v>
      </c>
      <c r="X413" s="4" t="s">
        <v>5334</v>
      </c>
      <c r="Y413" s="4" t="s">
        <v>4443</v>
      </c>
      <c r="Z413" s="4" t="s">
        <v>4443</v>
      </c>
      <c r="AA413" s="3">
        <v>198</v>
      </c>
      <c r="AB413" s="3">
        <v>96</v>
      </c>
      <c r="AC413" s="3">
        <v>98</v>
      </c>
      <c r="AD413" s="3">
        <v>1</v>
      </c>
      <c r="AE413" s="3">
        <v>1</v>
      </c>
      <c r="AF413" s="3">
        <v>1</v>
      </c>
      <c r="AG413" s="3">
        <v>1</v>
      </c>
      <c r="AH413" s="3">
        <v>0</v>
      </c>
      <c r="AI413" s="3">
        <v>0</v>
      </c>
      <c r="AJ413" s="3">
        <v>0</v>
      </c>
      <c r="AK413" s="3">
        <v>0</v>
      </c>
      <c r="AL413" s="3">
        <v>1</v>
      </c>
      <c r="AM413" s="3">
        <v>1</v>
      </c>
      <c r="AN413" s="3">
        <v>0</v>
      </c>
      <c r="AO413" s="3">
        <v>0</v>
      </c>
      <c r="AP413" s="3">
        <v>0</v>
      </c>
      <c r="AQ413" s="3">
        <v>0</v>
      </c>
      <c r="AR413" s="2" t="s">
        <v>8</v>
      </c>
      <c r="AS413" s="2" t="s">
        <v>6</v>
      </c>
      <c r="AT413" s="5" t="str">
        <f>HYPERLINK("http://catalog.hathitrust.org/Record/006158212","HathiTrust Record")</f>
        <v>HathiTrust Record</v>
      </c>
      <c r="AU413" s="5" t="str">
        <f>HYPERLINK("https://creighton-primo.hosted.exlibrisgroup.com/primo-explore/search?tab=default_tab&amp;search_scope=EVERYTHING&amp;vid=01CRU&amp;lang=en_US&amp;offset=0&amp;query=any,contains,991001184509702656","Catalog Record")</f>
        <v>Catalog Record</v>
      </c>
      <c r="AV413" s="5" t="str">
        <f>HYPERLINK("http://www.worldcat.org/oclc/6356015","WorldCat Record")</f>
        <v>WorldCat Record</v>
      </c>
      <c r="AW413" s="2" t="s">
        <v>5335</v>
      </c>
      <c r="AX413" s="2" t="s">
        <v>5336</v>
      </c>
      <c r="AY413" s="2" t="s">
        <v>5337</v>
      </c>
      <c r="AZ413" s="2" t="s">
        <v>5337</v>
      </c>
      <c r="BA413" s="2" t="s">
        <v>5338</v>
      </c>
      <c r="BB413" s="2" t="s">
        <v>21</v>
      </c>
      <c r="BD413" s="2" t="s">
        <v>5339</v>
      </c>
      <c r="BE413" s="2" t="s">
        <v>5340</v>
      </c>
      <c r="BF413" s="2" t="s">
        <v>5341</v>
      </c>
    </row>
    <row r="414" spans="1:58" ht="42.75" customHeight="1" x14ac:dyDescent="0.25">
      <c r="A414" s="8" t="s">
        <v>8</v>
      </c>
      <c r="B414" s="1" t="s">
        <v>0</v>
      </c>
      <c r="C414" s="1" t="s">
        <v>1</v>
      </c>
      <c r="D414" s="1" t="s">
        <v>5342</v>
      </c>
      <c r="E414" s="1" t="s">
        <v>5343</v>
      </c>
      <c r="F414" s="1" t="s">
        <v>5344</v>
      </c>
      <c r="H414" s="2" t="s">
        <v>8</v>
      </c>
      <c r="I414" s="2" t="s">
        <v>7</v>
      </c>
      <c r="J414" s="2" t="s">
        <v>8</v>
      </c>
      <c r="K414" s="2" t="s">
        <v>8</v>
      </c>
      <c r="L414" s="2" t="s">
        <v>9</v>
      </c>
      <c r="N414" s="1" t="s">
        <v>5345</v>
      </c>
      <c r="O414" s="2" t="s">
        <v>627</v>
      </c>
      <c r="Q414" s="2" t="s">
        <v>12</v>
      </c>
      <c r="R414" s="2" t="s">
        <v>643</v>
      </c>
      <c r="S414" s="1" t="s">
        <v>2837</v>
      </c>
      <c r="T414" s="2" t="s">
        <v>14</v>
      </c>
      <c r="U414" s="3">
        <v>6</v>
      </c>
      <c r="V414" s="3">
        <v>6</v>
      </c>
      <c r="W414" s="4" t="s">
        <v>5346</v>
      </c>
      <c r="X414" s="4" t="s">
        <v>5346</v>
      </c>
      <c r="Y414" s="4" t="s">
        <v>5347</v>
      </c>
      <c r="Z414" s="4" t="s">
        <v>5347</v>
      </c>
      <c r="AA414" s="3">
        <v>363</v>
      </c>
      <c r="AB414" s="3">
        <v>220</v>
      </c>
      <c r="AC414" s="3">
        <v>222</v>
      </c>
      <c r="AD414" s="3">
        <v>2</v>
      </c>
      <c r="AE414" s="3">
        <v>2</v>
      </c>
      <c r="AF414" s="3">
        <v>14</v>
      </c>
      <c r="AG414" s="3">
        <v>14</v>
      </c>
      <c r="AH414" s="3">
        <v>5</v>
      </c>
      <c r="AI414" s="3">
        <v>5</v>
      </c>
      <c r="AJ414" s="3">
        <v>3</v>
      </c>
      <c r="AK414" s="3">
        <v>3</v>
      </c>
      <c r="AL414" s="3">
        <v>9</v>
      </c>
      <c r="AM414" s="3">
        <v>9</v>
      </c>
      <c r="AN414" s="3">
        <v>1</v>
      </c>
      <c r="AO414" s="3">
        <v>1</v>
      </c>
      <c r="AP414" s="3">
        <v>2</v>
      </c>
      <c r="AQ414" s="3">
        <v>2</v>
      </c>
      <c r="AR414" s="2" t="s">
        <v>8</v>
      </c>
      <c r="AS414" s="2" t="s">
        <v>6</v>
      </c>
      <c r="AT414" s="5" t="str">
        <f>HYPERLINK("http://catalog.hathitrust.org/Record/001540969","HathiTrust Record")</f>
        <v>HathiTrust Record</v>
      </c>
      <c r="AU414" s="5" t="str">
        <f>HYPERLINK("https://creighton-primo.hosted.exlibrisgroup.com/primo-explore/search?tab=default_tab&amp;search_scope=EVERYTHING&amp;vid=01CRU&amp;lang=en_US&amp;offset=0&amp;query=any,contains,991001455039702656","Catalog Record")</f>
        <v>Catalog Record</v>
      </c>
      <c r="AV414" s="5" t="str">
        <f>HYPERLINK("http://www.worldcat.org/oclc/18588287","WorldCat Record")</f>
        <v>WorldCat Record</v>
      </c>
      <c r="AW414" s="2" t="s">
        <v>5348</v>
      </c>
      <c r="AX414" s="2" t="s">
        <v>5349</v>
      </c>
      <c r="AY414" s="2" t="s">
        <v>5350</v>
      </c>
      <c r="AZ414" s="2" t="s">
        <v>5350</v>
      </c>
      <c r="BA414" s="2" t="s">
        <v>5351</v>
      </c>
      <c r="BB414" s="2" t="s">
        <v>21</v>
      </c>
      <c r="BD414" s="2" t="s">
        <v>5352</v>
      </c>
      <c r="BE414" s="2" t="s">
        <v>5353</v>
      </c>
      <c r="BF414" s="2" t="s">
        <v>5354</v>
      </c>
    </row>
    <row r="415" spans="1:58" ht="42.75" customHeight="1" x14ac:dyDescent="0.25">
      <c r="A415" s="8" t="s">
        <v>8</v>
      </c>
      <c r="B415" s="1" t="s">
        <v>0</v>
      </c>
      <c r="C415" s="1" t="s">
        <v>1</v>
      </c>
      <c r="D415" s="1" t="s">
        <v>5355</v>
      </c>
      <c r="E415" s="1" t="s">
        <v>5356</v>
      </c>
      <c r="F415" s="1" t="s">
        <v>5357</v>
      </c>
      <c r="H415" s="2" t="s">
        <v>8</v>
      </c>
      <c r="I415" s="2" t="s">
        <v>7</v>
      </c>
      <c r="J415" s="2" t="s">
        <v>8</v>
      </c>
      <c r="K415" s="2" t="s">
        <v>8</v>
      </c>
      <c r="L415" s="2" t="s">
        <v>9</v>
      </c>
      <c r="N415" s="1" t="s">
        <v>5358</v>
      </c>
      <c r="O415" s="2" t="s">
        <v>252</v>
      </c>
      <c r="Q415" s="2" t="s">
        <v>12</v>
      </c>
      <c r="R415" s="2" t="s">
        <v>5359</v>
      </c>
      <c r="T415" s="2" t="s">
        <v>14</v>
      </c>
      <c r="U415" s="3">
        <v>4</v>
      </c>
      <c r="V415" s="3">
        <v>4</v>
      </c>
      <c r="W415" s="4" t="s">
        <v>5360</v>
      </c>
      <c r="X415" s="4" t="s">
        <v>5360</v>
      </c>
      <c r="Y415" s="4" t="s">
        <v>4443</v>
      </c>
      <c r="Z415" s="4" t="s">
        <v>4443</v>
      </c>
      <c r="AA415" s="3">
        <v>146</v>
      </c>
      <c r="AB415" s="3">
        <v>85</v>
      </c>
      <c r="AC415" s="3">
        <v>183</v>
      </c>
      <c r="AD415" s="3">
        <v>1</v>
      </c>
      <c r="AE415" s="3">
        <v>2</v>
      </c>
      <c r="AF415" s="3">
        <v>1</v>
      </c>
      <c r="AG415" s="3">
        <v>5</v>
      </c>
      <c r="AH415" s="3">
        <v>1</v>
      </c>
      <c r="AI415" s="3">
        <v>3</v>
      </c>
      <c r="AJ415" s="3">
        <v>0</v>
      </c>
      <c r="AK415" s="3">
        <v>2</v>
      </c>
      <c r="AL415" s="3">
        <v>1</v>
      </c>
      <c r="AM415" s="3">
        <v>1</v>
      </c>
      <c r="AN415" s="3">
        <v>0</v>
      </c>
      <c r="AO415" s="3">
        <v>1</v>
      </c>
      <c r="AP415" s="3">
        <v>0</v>
      </c>
      <c r="AQ415" s="3">
        <v>0</v>
      </c>
      <c r="AR415" s="2" t="s">
        <v>8</v>
      </c>
      <c r="AS415" s="2" t="s">
        <v>8</v>
      </c>
      <c r="AU415" s="5" t="str">
        <f>HYPERLINK("https://creighton-primo.hosted.exlibrisgroup.com/primo-explore/search?tab=default_tab&amp;search_scope=EVERYTHING&amp;vid=01CRU&amp;lang=en_US&amp;offset=0&amp;query=any,contains,991001184849702656","Catalog Record")</f>
        <v>Catalog Record</v>
      </c>
      <c r="AV415" s="5" t="str">
        <f>HYPERLINK("http://www.worldcat.org/oclc/9255090","WorldCat Record")</f>
        <v>WorldCat Record</v>
      </c>
      <c r="AW415" s="2" t="s">
        <v>5361</v>
      </c>
      <c r="AX415" s="2" t="s">
        <v>5362</v>
      </c>
      <c r="AY415" s="2" t="s">
        <v>5363</v>
      </c>
      <c r="AZ415" s="2" t="s">
        <v>5363</v>
      </c>
      <c r="BA415" s="2" t="s">
        <v>5364</v>
      </c>
      <c r="BB415" s="2" t="s">
        <v>21</v>
      </c>
      <c r="BD415" s="2" t="s">
        <v>5365</v>
      </c>
      <c r="BE415" s="2" t="s">
        <v>5366</v>
      </c>
      <c r="BF415" s="2" t="s">
        <v>5367</v>
      </c>
    </row>
    <row r="416" spans="1:58" ht="42.75" customHeight="1" x14ac:dyDescent="0.25">
      <c r="A416" s="8" t="s">
        <v>8</v>
      </c>
      <c r="B416" s="1" t="s">
        <v>0</v>
      </c>
      <c r="C416" s="1" t="s">
        <v>1</v>
      </c>
      <c r="D416" s="1" t="s">
        <v>5368</v>
      </c>
      <c r="E416" s="1" t="s">
        <v>5369</v>
      </c>
      <c r="F416" s="1" t="s">
        <v>5370</v>
      </c>
      <c r="H416" s="2" t="s">
        <v>8</v>
      </c>
      <c r="I416" s="2" t="s">
        <v>7</v>
      </c>
      <c r="J416" s="2" t="s">
        <v>8</v>
      </c>
      <c r="K416" s="2" t="s">
        <v>8</v>
      </c>
      <c r="L416" s="2" t="s">
        <v>9</v>
      </c>
      <c r="M416" s="1" t="s">
        <v>5371</v>
      </c>
      <c r="N416" s="1" t="s">
        <v>5372</v>
      </c>
      <c r="O416" s="2" t="s">
        <v>266</v>
      </c>
      <c r="Q416" s="2" t="s">
        <v>12</v>
      </c>
      <c r="R416" s="2" t="s">
        <v>643</v>
      </c>
      <c r="T416" s="2" t="s">
        <v>14</v>
      </c>
      <c r="U416" s="3">
        <v>13</v>
      </c>
      <c r="V416" s="3">
        <v>13</v>
      </c>
      <c r="W416" s="4" t="s">
        <v>5373</v>
      </c>
      <c r="X416" s="4" t="s">
        <v>5373</v>
      </c>
      <c r="Y416" s="4" t="s">
        <v>4443</v>
      </c>
      <c r="Z416" s="4" t="s">
        <v>4443</v>
      </c>
      <c r="AA416" s="3">
        <v>41</v>
      </c>
      <c r="AB416" s="3">
        <v>21</v>
      </c>
      <c r="AC416" s="3">
        <v>21</v>
      </c>
      <c r="AD416" s="3">
        <v>1</v>
      </c>
      <c r="AE416" s="3">
        <v>1</v>
      </c>
      <c r="AF416" s="3">
        <v>4</v>
      </c>
      <c r="AG416" s="3">
        <v>4</v>
      </c>
      <c r="AH416" s="3">
        <v>0</v>
      </c>
      <c r="AI416" s="3">
        <v>0</v>
      </c>
      <c r="AJ416" s="3">
        <v>0</v>
      </c>
      <c r="AK416" s="3">
        <v>0</v>
      </c>
      <c r="AL416" s="3">
        <v>4</v>
      </c>
      <c r="AM416" s="3">
        <v>4</v>
      </c>
      <c r="AN416" s="3">
        <v>0</v>
      </c>
      <c r="AO416" s="3">
        <v>0</v>
      </c>
      <c r="AP416" s="3">
        <v>0</v>
      </c>
      <c r="AQ416" s="3">
        <v>0</v>
      </c>
      <c r="AR416" s="2" t="s">
        <v>8</v>
      </c>
      <c r="AS416" s="2" t="s">
        <v>8</v>
      </c>
      <c r="AU416" s="5" t="str">
        <f>HYPERLINK("https://creighton-primo.hosted.exlibrisgroup.com/primo-explore/search?tab=default_tab&amp;search_scope=EVERYTHING&amp;vid=01CRU&amp;lang=en_US&amp;offset=0&amp;query=any,contains,991001184969702656","Catalog Record")</f>
        <v>Catalog Record</v>
      </c>
      <c r="AV416" s="5" t="str">
        <f>HYPERLINK("http://www.worldcat.org/oclc/10430087","WorldCat Record")</f>
        <v>WorldCat Record</v>
      </c>
      <c r="AW416" s="2" t="s">
        <v>5374</v>
      </c>
      <c r="AX416" s="2" t="s">
        <v>5375</v>
      </c>
      <c r="AY416" s="2" t="s">
        <v>5376</v>
      </c>
      <c r="AZ416" s="2" t="s">
        <v>5376</v>
      </c>
      <c r="BA416" s="2" t="s">
        <v>5377</v>
      </c>
      <c r="BB416" s="2" t="s">
        <v>21</v>
      </c>
      <c r="BE416" s="2" t="s">
        <v>5378</v>
      </c>
      <c r="BF416" s="2" t="s">
        <v>5379</v>
      </c>
    </row>
    <row r="417" spans="1:58" ht="42.75" customHeight="1" x14ac:dyDescent="0.25">
      <c r="A417" s="8" t="s">
        <v>8</v>
      </c>
      <c r="B417" s="1" t="s">
        <v>0</v>
      </c>
      <c r="C417" s="1" t="s">
        <v>1</v>
      </c>
      <c r="D417" s="1" t="s">
        <v>5380</v>
      </c>
      <c r="E417" s="1" t="s">
        <v>5381</v>
      </c>
      <c r="F417" s="1" t="s">
        <v>5382</v>
      </c>
      <c r="H417" s="2" t="s">
        <v>8</v>
      </c>
      <c r="I417" s="2" t="s">
        <v>7</v>
      </c>
      <c r="J417" s="2" t="s">
        <v>8</v>
      </c>
      <c r="K417" s="2" t="s">
        <v>8</v>
      </c>
      <c r="L417" s="2" t="s">
        <v>9</v>
      </c>
      <c r="N417" s="1" t="s">
        <v>5383</v>
      </c>
      <c r="O417" s="2" t="s">
        <v>2726</v>
      </c>
      <c r="Q417" s="2" t="s">
        <v>12</v>
      </c>
      <c r="R417" s="2" t="s">
        <v>643</v>
      </c>
      <c r="S417" s="1" t="s">
        <v>5384</v>
      </c>
      <c r="T417" s="2" t="s">
        <v>14</v>
      </c>
      <c r="U417" s="3">
        <v>12</v>
      </c>
      <c r="V417" s="3">
        <v>12</v>
      </c>
      <c r="W417" s="4" t="s">
        <v>5385</v>
      </c>
      <c r="X417" s="4" t="s">
        <v>5385</v>
      </c>
      <c r="Y417" s="4" t="s">
        <v>1144</v>
      </c>
      <c r="Z417" s="4" t="s">
        <v>1144</v>
      </c>
      <c r="AA417" s="3">
        <v>607</v>
      </c>
      <c r="AB417" s="3">
        <v>434</v>
      </c>
      <c r="AC417" s="3">
        <v>741</v>
      </c>
      <c r="AD417" s="3">
        <v>4</v>
      </c>
      <c r="AE417" s="3">
        <v>6</v>
      </c>
      <c r="AF417" s="3">
        <v>13</v>
      </c>
      <c r="AG417" s="3">
        <v>25</v>
      </c>
      <c r="AH417" s="3">
        <v>3</v>
      </c>
      <c r="AI417" s="3">
        <v>5</v>
      </c>
      <c r="AJ417" s="3">
        <v>3</v>
      </c>
      <c r="AK417" s="3">
        <v>5</v>
      </c>
      <c r="AL417" s="3">
        <v>4</v>
      </c>
      <c r="AM417" s="3">
        <v>8</v>
      </c>
      <c r="AN417" s="3">
        <v>3</v>
      </c>
      <c r="AO417" s="3">
        <v>4</v>
      </c>
      <c r="AP417" s="3">
        <v>3</v>
      </c>
      <c r="AQ417" s="3">
        <v>7</v>
      </c>
      <c r="AR417" s="2" t="s">
        <v>8</v>
      </c>
      <c r="AS417" s="2" t="s">
        <v>6</v>
      </c>
      <c r="AT417" s="5" t="str">
        <f>HYPERLINK("http://catalog.hathitrust.org/Record/001557854","HathiTrust Record")</f>
        <v>HathiTrust Record</v>
      </c>
      <c r="AU417" s="5" t="str">
        <f>HYPERLINK("https://creighton-primo.hosted.exlibrisgroup.com/primo-explore/search?tab=default_tab&amp;search_scope=EVERYTHING&amp;vid=01CRU&amp;lang=en_US&amp;offset=0&amp;query=any,contains,991001184999702656","Catalog Record")</f>
        <v>Catalog Record</v>
      </c>
      <c r="AV417" s="5" t="str">
        <f>HYPERLINK("http://www.worldcat.org/oclc/27493","WorldCat Record")</f>
        <v>WorldCat Record</v>
      </c>
      <c r="AW417" s="2" t="s">
        <v>5386</v>
      </c>
      <c r="AX417" s="2" t="s">
        <v>5387</v>
      </c>
      <c r="AY417" s="2" t="s">
        <v>5388</v>
      </c>
      <c r="AZ417" s="2" t="s">
        <v>5388</v>
      </c>
      <c r="BA417" s="2" t="s">
        <v>5389</v>
      </c>
      <c r="BB417" s="2" t="s">
        <v>21</v>
      </c>
      <c r="BD417" s="2" t="s">
        <v>5390</v>
      </c>
      <c r="BE417" s="2" t="s">
        <v>5391</v>
      </c>
      <c r="BF417" s="2" t="s">
        <v>5392</v>
      </c>
    </row>
    <row r="418" spans="1:58" ht="42.75" customHeight="1" x14ac:dyDescent="0.25">
      <c r="A418" s="8" t="s">
        <v>8</v>
      </c>
      <c r="B418" s="1" t="s">
        <v>0</v>
      </c>
      <c r="C418" s="1" t="s">
        <v>1</v>
      </c>
      <c r="D418" s="1" t="s">
        <v>5393</v>
      </c>
      <c r="E418" s="1" t="s">
        <v>5394</v>
      </c>
      <c r="F418" s="1" t="s">
        <v>5395</v>
      </c>
      <c r="H418" s="2" t="s">
        <v>8</v>
      </c>
      <c r="I418" s="2" t="s">
        <v>7</v>
      </c>
      <c r="J418" s="2" t="s">
        <v>8</v>
      </c>
      <c r="K418" s="2" t="s">
        <v>8</v>
      </c>
      <c r="L418" s="2" t="s">
        <v>9</v>
      </c>
      <c r="M418" s="1" t="s">
        <v>5396</v>
      </c>
      <c r="N418" s="1" t="s">
        <v>5397</v>
      </c>
      <c r="O418" s="2" t="s">
        <v>614</v>
      </c>
      <c r="P418" s="1" t="s">
        <v>1225</v>
      </c>
      <c r="Q418" s="2" t="s">
        <v>12</v>
      </c>
      <c r="R418" s="2" t="s">
        <v>13</v>
      </c>
      <c r="T418" s="2" t="s">
        <v>14</v>
      </c>
      <c r="U418" s="3">
        <v>10</v>
      </c>
      <c r="V418" s="3">
        <v>10</v>
      </c>
      <c r="W418" s="4" t="s">
        <v>5398</v>
      </c>
      <c r="X418" s="4" t="s">
        <v>5398</v>
      </c>
      <c r="Y418" s="4" t="s">
        <v>3550</v>
      </c>
      <c r="Z418" s="4" t="s">
        <v>3550</v>
      </c>
      <c r="AA418" s="3">
        <v>577</v>
      </c>
      <c r="AB418" s="3">
        <v>532</v>
      </c>
      <c r="AC418" s="3">
        <v>539</v>
      </c>
      <c r="AD418" s="3">
        <v>5</v>
      </c>
      <c r="AE418" s="3">
        <v>5</v>
      </c>
      <c r="AF418" s="3">
        <v>13</v>
      </c>
      <c r="AG418" s="3">
        <v>13</v>
      </c>
      <c r="AH418" s="3">
        <v>3</v>
      </c>
      <c r="AI418" s="3">
        <v>3</v>
      </c>
      <c r="AJ418" s="3">
        <v>1</v>
      </c>
      <c r="AK418" s="3">
        <v>1</v>
      </c>
      <c r="AL418" s="3">
        <v>6</v>
      </c>
      <c r="AM418" s="3">
        <v>6</v>
      </c>
      <c r="AN418" s="3">
        <v>1</v>
      </c>
      <c r="AO418" s="3">
        <v>1</v>
      </c>
      <c r="AP418" s="3">
        <v>4</v>
      </c>
      <c r="AQ418" s="3">
        <v>4</v>
      </c>
      <c r="AR418" s="2" t="s">
        <v>8</v>
      </c>
      <c r="AS418" s="2" t="s">
        <v>6</v>
      </c>
      <c r="AT418" s="5" t="str">
        <f>HYPERLINK("http://catalog.hathitrust.org/Record/002725944","HathiTrust Record")</f>
        <v>HathiTrust Record</v>
      </c>
      <c r="AU418" s="5" t="str">
        <f>HYPERLINK("https://creighton-primo.hosted.exlibrisgroup.com/primo-explore/search?tab=default_tab&amp;search_scope=EVERYTHING&amp;vid=01CRU&amp;lang=en_US&amp;offset=0&amp;query=any,contains,991001344939702656","Catalog Record")</f>
        <v>Catalog Record</v>
      </c>
      <c r="AV418" s="5" t="str">
        <f>HYPERLINK("http://www.worldcat.org/oclc/24908151","WorldCat Record")</f>
        <v>WorldCat Record</v>
      </c>
      <c r="AW418" s="2" t="s">
        <v>5399</v>
      </c>
      <c r="AX418" s="2" t="s">
        <v>5400</v>
      </c>
      <c r="AY418" s="2" t="s">
        <v>5401</v>
      </c>
      <c r="AZ418" s="2" t="s">
        <v>5401</v>
      </c>
      <c r="BA418" s="2" t="s">
        <v>5402</v>
      </c>
      <c r="BB418" s="2" t="s">
        <v>21</v>
      </c>
      <c r="BD418" s="2" t="s">
        <v>5403</v>
      </c>
      <c r="BE418" s="2" t="s">
        <v>5404</v>
      </c>
      <c r="BF418" s="2" t="s">
        <v>5405</v>
      </c>
    </row>
    <row r="419" spans="1:58" ht="42.75" customHeight="1" x14ac:dyDescent="0.25">
      <c r="A419" s="8" t="s">
        <v>8</v>
      </c>
      <c r="B419" s="1" t="s">
        <v>0</v>
      </c>
      <c r="C419" s="1" t="s">
        <v>1</v>
      </c>
      <c r="D419" s="1" t="s">
        <v>5406</v>
      </c>
      <c r="E419" s="1" t="s">
        <v>5407</v>
      </c>
      <c r="F419" s="1" t="s">
        <v>5408</v>
      </c>
      <c r="H419" s="2" t="s">
        <v>8</v>
      </c>
      <c r="I419" s="2" t="s">
        <v>7</v>
      </c>
      <c r="J419" s="2" t="s">
        <v>8</v>
      </c>
      <c r="K419" s="2" t="s">
        <v>8</v>
      </c>
      <c r="L419" s="2" t="s">
        <v>9</v>
      </c>
      <c r="M419" s="1" t="s">
        <v>5409</v>
      </c>
      <c r="N419" s="1" t="s">
        <v>5410</v>
      </c>
      <c r="O419" s="2" t="s">
        <v>51</v>
      </c>
      <c r="Q419" s="2" t="s">
        <v>12</v>
      </c>
      <c r="R419" s="2" t="s">
        <v>643</v>
      </c>
      <c r="T419" s="2" t="s">
        <v>14</v>
      </c>
      <c r="U419" s="3">
        <v>11</v>
      </c>
      <c r="V419" s="3">
        <v>11</v>
      </c>
      <c r="W419" s="4" t="s">
        <v>5411</v>
      </c>
      <c r="X419" s="4" t="s">
        <v>5411</v>
      </c>
      <c r="Y419" s="4" t="s">
        <v>5412</v>
      </c>
      <c r="Z419" s="4" t="s">
        <v>5412</v>
      </c>
      <c r="AA419" s="3">
        <v>626</v>
      </c>
      <c r="AB419" s="3">
        <v>517</v>
      </c>
      <c r="AC419" s="3">
        <v>551</v>
      </c>
      <c r="AD419" s="3">
        <v>1</v>
      </c>
      <c r="AE419" s="3">
        <v>2</v>
      </c>
      <c r="AF419" s="3">
        <v>16</v>
      </c>
      <c r="AG419" s="3">
        <v>18</v>
      </c>
      <c r="AH419" s="3">
        <v>7</v>
      </c>
      <c r="AI419" s="3">
        <v>8</v>
      </c>
      <c r="AJ419" s="3">
        <v>7</v>
      </c>
      <c r="AK419" s="3">
        <v>7</v>
      </c>
      <c r="AL419" s="3">
        <v>9</v>
      </c>
      <c r="AM419" s="3">
        <v>10</v>
      </c>
      <c r="AN419" s="3">
        <v>0</v>
      </c>
      <c r="AO419" s="3">
        <v>1</v>
      </c>
      <c r="AP419" s="3">
        <v>0</v>
      </c>
      <c r="AQ419" s="3">
        <v>0</v>
      </c>
      <c r="AR419" s="2" t="s">
        <v>8</v>
      </c>
      <c r="AS419" s="2" t="s">
        <v>8</v>
      </c>
      <c r="AU419" s="5" t="str">
        <f>HYPERLINK("https://creighton-primo.hosted.exlibrisgroup.com/primo-explore/search?tab=default_tab&amp;search_scope=EVERYTHING&amp;vid=01CRU&amp;lang=en_US&amp;offset=0&amp;query=any,contains,991001253079702656","Catalog Record")</f>
        <v>Catalog Record</v>
      </c>
      <c r="AV419" s="5" t="str">
        <f>HYPERLINK("http://www.worldcat.org/oclc/17234197","WorldCat Record")</f>
        <v>WorldCat Record</v>
      </c>
      <c r="AW419" s="2" t="s">
        <v>5413</v>
      </c>
      <c r="AX419" s="2" t="s">
        <v>5414</v>
      </c>
      <c r="AY419" s="2" t="s">
        <v>5415</v>
      </c>
      <c r="AZ419" s="2" t="s">
        <v>5415</v>
      </c>
      <c r="BA419" s="2" t="s">
        <v>5416</v>
      </c>
      <c r="BB419" s="2" t="s">
        <v>21</v>
      </c>
      <c r="BD419" s="2" t="s">
        <v>5417</v>
      </c>
      <c r="BE419" s="2" t="s">
        <v>5418</v>
      </c>
      <c r="BF419" s="2" t="s">
        <v>5419</v>
      </c>
    </row>
    <row r="420" spans="1:58" ht="42.75" customHeight="1" x14ac:dyDescent="0.25">
      <c r="A420" s="8" t="s">
        <v>8</v>
      </c>
      <c r="B420" s="1" t="s">
        <v>0</v>
      </c>
      <c r="C420" s="1" t="s">
        <v>1</v>
      </c>
      <c r="D420" s="1" t="s">
        <v>5420</v>
      </c>
      <c r="E420" s="1" t="s">
        <v>5421</v>
      </c>
      <c r="F420" s="1" t="s">
        <v>5422</v>
      </c>
      <c r="H420" s="2" t="s">
        <v>8</v>
      </c>
      <c r="I420" s="2" t="s">
        <v>885</v>
      </c>
      <c r="J420" s="2" t="s">
        <v>6</v>
      </c>
      <c r="K420" s="2" t="s">
        <v>6</v>
      </c>
      <c r="L420" s="2" t="s">
        <v>9</v>
      </c>
      <c r="M420" s="1" t="s">
        <v>5423</v>
      </c>
      <c r="N420" s="1" t="s">
        <v>5424</v>
      </c>
      <c r="O420" s="2" t="s">
        <v>731</v>
      </c>
      <c r="P420" s="1" t="s">
        <v>83</v>
      </c>
      <c r="Q420" s="2" t="s">
        <v>12</v>
      </c>
      <c r="R420" s="2" t="s">
        <v>13</v>
      </c>
      <c r="T420" s="2" t="s">
        <v>14</v>
      </c>
      <c r="U420" s="3">
        <v>20</v>
      </c>
      <c r="V420" s="3">
        <v>80</v>
      </c>
      <c r="W420" s="4" t="s">
        <v>5425</v>
      </c>
      <c r="X420" s="4" t="s">
        <v>5426</v>
      </c>
      <c r="Y420" s="4" t="s">
        <v>5427</v>
      </c>
      <c r="Z420" s="4" t="s">
        <v>5427</v>
      </c>
      <c r="AA420" s="3">
        <v>316</v>
      </c>
      <c r="AB420" s="3">
        <v>270</v>
      </c>
      <c r="AC420" s="3">
        <v>681</v>
      </c>
      <c r="AD420" s="3">
        <v>2</v>
      </c>
      <c r="AE420" s="3">
        <v>6</v>
      </c>
      <c r="AF420" s="3">
        <v>10</v>
      </c>
      <c r="AG420" s="3">
        <v>21</v>
      </c>
      <c r="AH420" s="3">
        <v>4</v>
      </c>
      <c r="AI420" s="3">
        <v>8</v>
      </c>
      <c r="AJ420" s="3">
        <v>2</v>
      </c>
      <c r="AK420" s="3">
        <v>4</v>
      </c>
      <c r="AL420" s="3">
        <v>7</v>
      </c>
      <c r="AM420" s="3">
        <v>8</v>
      </c>
      <c r="AN420" s="3">
        <v>0</v>
      </c>
      <c r="AO420" s="3">
        <v>4</v>
      </c>
      <c r="AP420" s="3">
        <v>1</v>
      </c>
      <c r="AQ420" s="3">
        <v>1</v>
      </c>
      <c r="AR420" s="2" t="s">
        <v>8</v>
      </c>
      <c r="AS420" s="2" t="s">
        <v>8</v>
      </c>
      <c r="AU420" s="5" t="str">
        <f>HYPERLINK("https://creighton-primo.hosted.exlibrisgroup.com/primo-explore/search?tab=default_tab&amp;search_scope=EVERYTHING&amp;vid=01CRU&amp;lang=en_US&amp;offset=0&amp;query=any,contains,991001571399702656","Catalog Record")</f>
        <v>Catalog Record</v>
      </c>
      <c r="AV420" s="5" t="str">
        <f>HYPERLINK("http://www.worldcat.org/oclc/39368340","WorldCat Record")</f>
        <v>WorldCat Record</v>
      </c>
      <c r="AW420" s="2" t="s">
        <v>5428</v>
      </c>
      <c r="AX420" s="2" t="s">
        <v>5429</v>
      </c>
      <c r="AY420" s="2" t="s">
        <v>5430</v>
      </c>
      <c r="AZ420" s="2" t="s">
        <v>5430</v>
      </c>
      <c r="BA420" s="2" t="s">
        <v>5431</v>
      </c>
      <c r="BB420" s="2" t="s">
        <v>21</v>
      </c>
      <c r="BD420" s="2" t="s">
        <v>5432</v>
      </c>
      <c r="BE420" s="2" t="s">
        <v>5433</v>
      </c>
      <c r="BF420" s="2" t="s">
        <v>5434</v>
      </c>
    </row>
    <row r="421" spans="1:58" ht="42.75" customHeight="1" x14ac:dyDescent="0.25">
      <c r="A421" s="8" t="s">
        <v>8</v>
      </c>
      <c r="B421" s="1" t="s">
        <v>0</v>
      </c>
      <c r="C421" s="1" t="s">
        <v>1</v>
      </c>
      <c r="D421" s="1" t="s">
        <v>5420</v>
      </c>
      <c r="E421" s="1" t="s">
        <v>5421</v>
      </c>
      <c r="F421" s="1" t="s">
        <v>5422</v>
      </c>
      <c r="H421" s="2" t="s">
        <v>8</v>
      </c>
      <c r="I421" s="2" t="s">
        <v>7</v>
      </c>
      <c r="J421" s="2" t="s">
        <v>6</v>
      </c>
      <c r="K421" s="2" t="s">
        <v>6</v>
      </c>
      <c r="L421" s="2" t="s">
        <v>9</v>
      </c>
      <c r="M421" s="1" t="s">
        <v>5423</v>
      </c>
      <c r="N421" s="1" t="s">
        <v>5424</v>
      </c>
      <c r="O421" s="2" t="s">
        <v>731</v>
      </c>
      <c r="P421" s="1" t="s">
        <v>83</v>
      </c>
      <c r="Q421" s="2" t="s">
        <v>12</v>
      </c>
      <c r="R421" s="2" t="s">
        <v>13</v>
      </c>
      <c r="T421" s="2" t="s">
        <v>14</v>
      </c>
      <c r="U421" s="3">
        <v>60</v>
      </c>
      <c r="V421" s="3">
        <v>80</v>
      </c>
      <c r="W421" s="4" t="s">
        <v>5426</v>
      </c>
      <c r="X421" s="4" t="s">
        <v>5426</v>
      </c>
      <c r="Y421" s="4" t="s">
        <v>5435</v>
      </c>
      <c r="Z421" s="4" t="s">
        <v>5427</v>
      </c>
      <c r="AA421" s="3">
        <v>316</v>
      </c>
      <c r="AB421" s="3">
        <v>270</v>
      </c>
      <c r="AC421" s="3">
        <v>681</v>
      </c>
      <c r="AD421" s="3">
        <v>2</v>
      </c>
      <c r="AE421" s="3">
        <v>6</v>
      </c>
      <c r="AF421" s="3">
        <v>10</v>
      </c>
      <c r="AG421" s="3">
        <v>21</v>
      </c>
      <c r="AH421" s="3">
        <v>4</v>
      </c>
      <c r="AI421" s="3">
        <v>8</v>
      </c>
      <c r="AJ421" s="3">
        <v>2</v>
      </c>
      <c r="AK421" s="3">
        <v>4</v>
      </c>
      <c r="AL421" s="3">
        <v>7</v>
      </c>
      <c r="AM421" s="3">
        <v>8</v>
      </c>
      <c r="AN421" s="3">
        <v>0</v>
      </c>
      <c r="AO421" s="3">
        <v>4</v>
      </c>
      <c r="AP421" s="3">
        <v>1</v>
      </c>
      <c r="AQ421" s="3">
        <v>1</v>
      </c>
      <c r="AR421" s="2" t="s">
        <v>8</v>
      </c>
      <c r="AS421" s="2" t="s">
        <v>8</v>
      </c>
      <c r="AU421" s="5" t="str">
        <f>HYPERLINK("https://creighton-primo.hosted.exlibrisgroup.com/primo-explore/search?tab=default_tab&amp;search_scope=EVERYTHING&amp;vid=01CRU&amp;lang=en_US&amp;offset=0&amp;query=any,contains,991001571399702656","Catalog Record")</f>
        <v>Catalog Record</v>
      </c>
      <c r="AV421" s="5" t="str">
        <f>HYPERLINK("http://www.worldcat.org/oclc/39368340","WorldCat Record")</f>
        <v>WorldCat Record</v>
      </c>
      <c r="AW421" s="2" t="s">
        <v>5428</v>
      </c>
      <c r="AX421" s="2" t="s">
        <v>5429</v>
      </c>
      <c r="AY421" s="2" t="s">
        <v>5430</v>
      </c>
      <c r="AZ421" s="2" t="s">
        <v>5430</v>
      </c>
      <c r="BA421" s="2" t="s">
        <v>5431</v>
      </c>
      <c r="BB421" s="2" t="s">
        <v>21</v>
      </c>
      <c r="BD421" s="2" t="s">
        <v>5432</v>
      </c>
      <c r="BE421" s="2" t="s">
        <v>5436</v>
      </c>
      <c r="BF421" s="2" t="s">
        <v>5437</v>
      </c>
    </row>
    <row r="422" spans="1:58" ht="42.75" customHeight="1" x14ac:dyDescent="0.25">
      <c r="A422" s="8" t="s">
        <v>8</v>
      </c>
      <c r="B422" s="1" t="s">
        <v>0</v>
      </c>
      <c r="C422" s="1" t="s">
        <v>1</v>
      </c>
      <c r="D422" s="1" t="s">
        <v>5438</v>
      </c>
      <c r="E422" s="1" t="s">
        <v>5439</v>
      </c>
      <c r="F422" s="1" t="s">
        <v>5440</v>
      </c>
      <c r="H422" s="2" t="s">
        <v>8</v>
      </c>
      <c r="I422" s="2" t="s">
        <v>7</v>
      </c>
      <c r="J422" s="2" t="s">
        <v>8</v>
      </c>
      <c r="K422" s="2" t="s">
        <v>6</v>
      </c>
      <c r="L422" s="2" t="s">
        <v>9</v>
      </c>
      <c r="M422" s="1" t="s">
        <v>5441</v>
      </c>
      <c r="N422" s="1" t="s">
        <v>5442</v>
      </c>
      <c r="O422" s="2" t="s">
        <v>67</v>
      </c>
      <c r="Q422" s="2" t="s">
        <v>12</v>
      </c>
      <c r="R422" s="2" t="s">
        <v>34</v>
      </c>
      <c r="T422" s="2" t="s">
        <v>14</v>
      </c>
      <c r="U422" s="3">
        <v>33</v>
      </c>
      <c r="V422" s="3">
        <v>33</v>
      </c>
      <c r="W422" s="4" t="s">
        <v>5443</v>
      </c>
      <c r="X422" s="4" t="s">
        <v>5443</v>
      </c>
      <c r="Y422" s="4" t="s">
        <v>4443</v>
      </c>
      <c r="Z422" s="4" t="s">
        <v>4443</v>
      </c>
      <c r="AA422" s="3">
        <v>1047</v>
      </c>
      <c r="AB422" s="3">
        <v>857</v>
      </c>
      <c r="AC422" s="3">
        <v>1398</v>
      </c>
      <c r="AD422" s="3">
        <v>8</v>
      </c>
      <c r="AE422" s="3">
        <v>14</v>
      </c>
      <c r="AF422" s="3">
        <v>42</v>
      </c>
      <c r="AG422" s="3">
        <v>73</v>
      </c>
      <c r="AH422" s="3">
        <v>8</v>
      </c>
      <c r="AI422" s="3">
        <v>22</v>
      </c>
      <c r="AJ422" s="3">
        <v>6</v>
      </c>
      <c r="AK422" s="3">
        <v>12</v>
      </c>
      <c r="AL422" s="3">
        <v>16</v>
      </c>
      <c r="AM422" s="3">
        <v>28</v>
      </c>
      <c r="AN422" s="3">
        <v>6</v>
      </c>
      <c r="AO422" s="3">
        <v>10</v>
      </c>
      <c r="AP422" s="3">
        <v>10</v>
      </c>
      <c r="AQ422" s="3">
        <v>14</v>
      </c>
      <c r="AR422" s="2" t="s">
        <v>8</v>
      </c>
      <c r="AS422" s="2" t="s">
        <v>6</v>
      </c>
      <c r="AT422" s="5" t="str">
        <f>HYPERLINK("http://catalog.hathitrust.org/Record/000662266","HathiTrust Record")</f>
        <v>HathiTrust Record</v>
      </c>
      <c r="AU422" s="5" t="str">
        <f>HYPERLINK("https://creighton-primo.hosted.exlibrisgroup.com/primo-explore/search?tab=default_tab&amp;search_scope=EVERYTHING&amp;vid=01CRU&amp;lang=en_US&amp;offset=0&amp;query=any,contains,991001185069702656","Catalog Record")</f>
        <v>Catalog Record</v>
      </c>
      <c r="AV422" s="5" t="str">
        <f>HYPERLINK("http://www.worldcat.org/oclc/11548300","WorldCat Record")</f>
        <v>WorldCat Record</v>
      </c>
      <c r="AW422" s="2" t="s">
        <v>5444</v>
      </c>
      <c r="AX422" s="2" t="s">
        <v>5445</v>
      </c>
      <c r="AY422" s="2" t="s">
        <v>5446</v>
      </c>
      <c r="AZ422" s="2" t="s">
        <v>5446</v>
      </c>
      <c r="BA422" s="2" t="s">
        <v>5447</v>
      </c>
      <c r="BB422" s="2" t="s">
        <v>21</v>
      </c>
      <c r="BD422" s="2" t="s">
        <v>5448</v>
      </c>
      <c r="BE422" s="2" t="s">
        <v>5449</v>
      </c>
      <c r="BF422" s="2" t="s">
        <v>5450</v>
      </c>
    </row>
    <row r="423" spans="1:58" ht="42.75" customHeight="1" x14ac:dyDescent="0.25">
      <c r="A423" s="8" t="s">
        <v>8</v>
      </c>
      <c r="B423" s="1" t="s">
        <v>0</v>
      </c>
      <c r="C423" s="1" t="s">
        <v>1</v>
      </c>
      <c r="D423" s="1" t="s">
        <v>5451</v>
      </c>
      <c r="E423" s="1" t="s">
        <v>5452</v>
      </c>
      <c r="F423" s="1" t="s">
        <v>5453</v>
      </c>
      <c r="H423" s="2" t="s">
        <v>8</v>
      </c>
      <c r="I423" s="2" t="s">
        <v>7</v>
      </c>
      <c r="J423" s="2" t="s">
        <v>8</v>
      </c>
      <c r="K423" s="2" t="s">
        <v>8</v>
      </c>
      <c r="L423" s="2" t="s">
        <v>7</v>
      </c>
      <c r="N423" s="1" t="s">
        <v>5454</v>
      </c>
      <c r="O423" s="2" t="s">
        <v>657</v>
      </c>
      <c r="Q423" s="2" t="s">
        <v>12</v>
      </c>
      <c r="R423" s="2" t="s">
        <v>5455</v>
      </c>
      <c r="T423" s="2" t="s">
        <v>14</v>
      </c>
      <c r="U423" s="3">
        <v>2</v>
      </c>
      <c r="V423" s="3">
        <v>2</v>
      </c>
      <c r="W423" s="4" t="s">
        <v>5456</v>
      </c>
      <c r="X423" s="4" t="s">
        <v>5456</v>
      </c>
      <c r="Y423" s="4" t="s">
        <v>5457</v>
      </c>
      <c r="Z423" s="4" t="s">
        <v>5457</v>
      </c>
      <c r="AA423" s="3">
        <v>107</v>
      </c>
      <c r="AB423" s="3">
        <v>64</v>
      </c>
      <c r="AC423" s="3">
        <v>620</v>
      </c>
      <c r="AD423" s="3">
        <v>1</v>
      </c>
      <c r="AE423" s="3">
        <v>12</v>
      </c>
      <c r="AF423" s="3">
        <v>4</v>
      </c>
      <c r="AG423" s="3">
        <v>30</v>
      </c>
      <c r="AH423" s="3">
        <v>0</v>
      </c>
      <c r="AI423" s="3">
        <v>8</v>
      </c>
      <c r="AJ423" s="3">
        <v>2</v>
      </c>
      <c r="AK423" s="3">
        <v>7</v>
      </c>
      <c r="AL423" s="3">
        <v>4</v>
      </c>
      <c r="AM423" s="3">
        <v>9</v>
      </c>
      <c r="AN423" s="3">
        <v>0</v>
      </c>
      <c r="AO423" s="3">
        <v>10</v>
      </c>
      <c r="AP423" s="3">
        <v>0</v>
      </c>
      <c r="AQ423" s="3">
        <v>1</v>
      </c>
      <c r="AR423" s="2" t="s">
        <v>8</v>
      </c>
      <c r="AS423" s="2" t="s">
        <v>8</v>
      </c>
      <c r="AU423" s="5" t="str">
        <f>HYPERLINK("https://creighton-primo.hosted.exlibrisgroup.com/primo-explore/search?tab=default_tab&amp;search_scope=EVERYTHING&amp;vid=01CRU&amp;lang=en_US&amp;offset=0&amp;query=any,contains,991000426169702656","Catalog Record")</f>
        <v>Catalog Record</v>
      </c>
      <c r="AV423" s="5" t="str">
        <f>HYPERLINK("http://www.worldcat.org/oclc/46908230","WorldCat Record")</f>
        <v>WorldCat Record</v>
      </c>
      <c r="AW423" s="2" t="s">
        <v>5458</v>
      </c>
      <c r="AX423" s="2" t="s">
        <v>5459</v>
      </c>
      <c r="AY423" s="2" t="s">
        <v>5460</v>
      </c>
      <c r="AZ423" s="2" t="s">
        <v>5460</v>
      </c>
      <c r="BA423" s="2" t="s">
        <v>5461</v>
      </c>
      <c r="BB423" s="2" t="s">
        <v>21</v>
      </c>
      <c r="BD423" s="2" t="s">
        <v>5462</v>
      </c>
      <c r="BE423" s="2" t="s">
        <v>5463</v>
      </c>
      <c r="BF423" s="2" t="s">
        <v>5464</v>
      </c>
    </row>
    <row r="424" spans="1:58" ht="42.75" customHeight="1" x14ac:dyDescent="0.25">
      <c r="A424" s="8" t="s">
        <v>8</v>
      </c>
      <c r="B424" s="1" t="s">
        <v>0</v>
      </c>
      <c r="C424" s="1" t="s">
        <v>1</v>
      </c>
      <c r="D424" s="1" t="s">
        <v>5465</v>
      </c>
      <c r="E424" s="1" t="s">
        <v>5466</v>
      </c>
      <c r="F424" s="1" t="s">
        <v>5467</v>
      </c>
      <c r="H424" s="2" t="s">
        <v>8</v>
      </c>
      <c r="I424" s="2" t="s">
        <v>7</v>
      </c>
      <c r="J424" s="2" t="s">
        <v>8</v>
      </c>
      <c r="K424" s="2" t="s">
        <v>8</v>
      </c>
      <c r="L424" s="2" t="s">
        <v>9</v>
      </c>
      <c r="N424" s="1" t="s">
        <v>5468</v>
      </c>
      <c r="O424" s="2" t="s">
        <v>252</v>
      </c>
      <c r="Q424" s="2" t="s">
        <v>12</v>
      </c>
      <c r="R424" s="2" t="s">
        <v>34</v>
      </c>
      <c r="T424" s="2" t="s">
        <v>14</v>
      </c>
      <c r="U424" s="3">
        <v>3</v>
      </c>
      <c r="V424" s="3">
        <v>3</v>
      </c>
      <c r="W424" s="4" t="s">
        <v>4127</v>
      </c>
      <c r="X424" s="4" t="s">
        <v>4127</v>
      </c>
      <c r="Y424" s="4" t="s">
        <v>5469</v>
      </c>
      <c r="Z424" s="4" t="s">
        <v>5469</v>
      </c>
      <c r="AA424" s="3">
        <v>103</v>
      </c>
      <c r="AB424" s="3">
        <v>89</v>
      </c>
      <c r="AC424" s="3">
        <v>89</v>
      </c>
      <c r="AD424" s="3">
        <v>1</v>
      </c>
      <c r="AE424" s="3">
        <v>1</v>
      </c>
      <c r="AF424" s="3">
        <v>5</v>
      </c>
      <c r="AG424" s="3">
        <v>5</v>
      </c>
      <c r="AH424" s="3">
        <v>1</v>
      </c>
      <c r="AI424" s="3">
        <v>1</v>
      </c>
      <c r="AJ424" s="3">
        <v>2</v>
      </c>
      <c r="AK424" s="3">
        <v>2</v>
      </c>
      <c r="AL424" s="3">
        <v>3</v>
      </c>
      <c r="AM424" s="3">
        <v>3</v>
      </c>
      <c r="AN424" s="3">
        <v>0</v>
      </c>
      <c r="AO424" s="3">
        <v>0</v>
      </c>
      <c r="AP424" s="3">
        <v>1</v>
      </c>
      <c r="AQ424" s="3">
        <v>1</v>
      </c>
      <c r="AR424" s="2" t="s">
        <v>8</v>
      </c>
      <c r="AS424" s="2" t="s">
        <v>8</v>
      </c>
      <c r="AU424" s="5" t="str">
        <f>HYPERLINK("https://creighton-primo.hosted.exlibrisgroup.com/primo-explore/search?tab=default_tab&amp;search_scope=EVERYTHING&amp;vid=01CRU&amp;lang=en_US&amp;offset=0&amp;query=any,contains,991001185269702656","Catalog Record")</f>
        <v>Catalog Record</v>
      </c>
      <c r="AV424" s="5" t="str">
        <f>HYPERLINK("http://www.worldcat.org/oclc/7278372","WorldCat Record")</f>
        <v>WorldCat Record</v>
      </c>
      <c r="AW424" s="2" t="s">
        <v>5470</v>
      </c>
      <c r="AX424" s="2" t="s">
        <v>5471</v>
      </c>
      <c r="AY424" s="2" t="s">
        <v>5472</v>
      </c>
      <c r="AZ424" s="2" t="s">
        <v>5472</v>
      </c>
      <c r="BA424" s="2" t="s">
        <v>5473</v>
      </c>
      <c r="BB424" s="2" t="s">
        <v>21</v>
      </c>
      <c r="BD424" s="2" t="s">
        <v>5474</v>
      </c>
      <c r="BE424" s="2" t="s">
        <v>5475</v>
      </c>
      <c r="BF424" s="2" t="s">
        <v>5476</v>
      </c>
    </row>
    <row r="425" spans="1:58" ht="42.75" customHeight="1" x14ac:dyDescent="0.25">
      <c r="A425" s="8" t="s">
        <v>8</v>
      </c>
      <c r="B425" s="1" t="s">
        <v>0</v>
      </c>
      <c r="C425" s="1" t="s">
        <v>1</v>
      </c>
      <c r="D425" s="1" t="s">
        <v>5477</v>
      </c>
      <c r="E425" s="1" t="s">
        <v>5478</v>
      </c>
      <c r="F425" s="1" t="s">
        <v>5479</v>
      </c>
      <c r="H425" s="2" t="s">
        <v>8</v>
      </c>
      <c r="I425" s="2" t="s">
        <v>7</v>
      </c>
      <c r="J425" s="2" t="s">
        <v>8</v>
      </c>
      <c r="K425" s="2" t="s">
        <v>8</v>
      </c>
      <c r="L425" s="2" t="s">
        <v>9</v>
      </c>
      <c r="N425" s="1" t="s">
        <v>5480</v>
      </c>
      <c r="O425" s="2" t="s">
        <v>51</v>
      </c>
      <c r="Q425" s="2" t="s">
        <v>12</v>
      </c>
      <c r="R425" s="2" t="s">
        <v>643</v>
      </c>
      <c r="T425" s="2" t="s">
        <v>14</v>
      </c>
      <c r="U425" s="3">
        <v>17</v>
      </c>
      <c r="V425" s="3">
        <v>17</v>
      </c>
      <c r="W425" s="4" t="s">
        <v>3258</v>
      </c>
      <c r="X425" s="4" t="s">
        <v>3258</v>
      </c>
      <c r="Y425" s="4" t="s">
        <v>5481</v>
      </c>
      <c r="Z425" s="4" t="s">
        <v>5481</v>
      </c>
      <c r="AA425" s="3">
        <v>206</v>
      </c>
      <c r="AB425" s="3">
        <v>102</v>
      </c>
      <c r="AC425" s="3">
        <v>104</v>
      </c>
      <c r="AD425" s="3">
        <v>1</v>
      </c>
      <c r="AE425" s="3">
        <v>1</v>
      </c>
      <c r="AF425" s="3">
        <v>3</v>
      </c>
      <c r="AG425" s="3">
        <v>3</v>
      </c>
      <c r="AH425" s="3">
        <v>1</v>
      </c>
      <c r="AI425" s="3">
        <v>1</v>
      </c>
      <c r="AJ425" s="3">
        <v>0</v>
      </c>
      <c r="AK425" s="3">
        <v>0</v>
      </c>
      <c r="AL425" s="3">
        <v>2</v>
      </c>
      <c r="AM425" s="3">
        <v>2</v>
      </c>
      <c r="AN425" s="3">
        <v>0</v>
      </c>
      <c r="AO425" s="3">
        <v>0</v>
      </c>
      <c r="AP425" s="3">
        <v>0</v>
      </c>
      <c r="AQ425" s="3">
        <v>0</v>
      </c>
      <c r="AR425" s="2" t="s">
        <v>8</v>
      </c>
      <c r="AS425" s="2" t="s">
        <v>6</v>
      </c>
      <c r="AT425" s="5" t="str">
        <f>HYPERLINK("http://catalog.hathitrust.org/Record/001073214","HathiTrust Record")</f>
        <v>HathiTrust Record</v>
      </c>
      <c r="AU425" s="5" t="str">
        <f>HYPERLINK("https://creighton-primo.hosted.exlibrisgroup.com/primo-explore/search?tab=default_tab&amp;search_scope=EVERYTHING&amp;vid=01CRU&amp;lang=en_US&amp;offset=0&amp;query=any,contains,991001323129702656","Catalog Record")</f>
        <v>Catalog Record</v>
      </c>
      <c r="AV425" s="5" t="str">
        <f>HYPERLINK("http://www.worldcat.org/oclc/17774651","WorldCat Record")</f>
        <v>WorldCat Record</v>
      </c>
      <c r="AW425" s="2" t="s">
        <v>5482</v>
      </c>
      <c r="AX425" s="2" t="s">
        <v>5483</v>
      </c>
      <c r="AY425" s="2" t="s">
        <v>5484</v>
      </c>
      <c r="AZ425" s="2" t="s">
        <v>5484</v>
      </c>
      <c r="BA425" s="2" t="s">
        <v>5485</v>
      </c>
      <c r="BB425" s="2" t="s">
        <v>21</v>
      </c>
      <c r="BD425" s="2" t="s">
        <v>5486</v>
      </c>
      <c r="BE425" s="2" t="s">
        <v>5487</v>
      </c>
      <c r="BF425" s="2" t="s">
        <v>5488</v>
      </c>
    </row>
    <row r="426" spans="1:58" ht="42.75" customHeight="1" x14ac:dyDescent="0.25">
      <c r="A426" s="8" t="s">
        <v>8</v>
      </c>
      <c r="B426" s="1" t="s">
        <v>0</v>
      </c>
      <c r="C426" s="1" t="s">
        <v>1</v>
      </c>
      <c r="D426" s="1" t="s">
        <v>5489</v>
      </c>
      <c r="E426" s="1" t="s">
        <v>5490</v>
      </c>
      <c r="F426" s="1" t="s">
        <v>5491</v>
      </c>
      <c r="H426" s="2" t="s">
        <v>8</v>
      </c>
      <c r="I426" s="2" t="s">
        <v>7</v>
      </c>
      <c r="J426" s="2" t="s">
        <v>8</v>
      </c>
      <c r="K426" s="2" t="s">
        <v>8</v>
      </c>
      <c r="L426" s="2" t="s">
        <v>9</v>
      </c>
      <c r="N426" s="1" t="s">
        <v>5492</v>
      </c>
      <c r="O426" s="2" t="s">
        <v>1060</v>
      </c>
      <c r="P426" s="1" t="s">
        <v>83</v>
      </c>
      <c r="Q426" s="2" t="s">
        <v>12</v>
      </c>
      <c r="R426" s="2" t="s">
        <v>577</v>
      </c>
      <c r="T426" s="2" t="s">
        <v>14</v>
      </c>
      <c r="U426" s="3">
        <v>30</v>
      </c>
      <c r="V426" s="3">
        <v>30</v>
      </c>
      <c r="W426" s="4" t="s">
        <v>5493</v>
      </c>
      <c r="X426" s="4" t="s">
        <v>5493</v>
      </c>
      <c r="Y426" s="4" t="s">
        <v>3391</v>
      </c>
      <c r="Z426" s="4" t="s">
        <v>3391</v>
      </c>
      <c r="AA426" s="3">
        <v>389</v>
      </c>
      <c r="AB426" s="3">
        <v>320</v>
      </c>
      <c r="AC426" s="3">
        <v>762</v>
      </c>
      <c r="AD426" s="3">
        <v>2</v>
      </c>
      <c r="AE426" s="3">
        <v>4</v>
      </c>
      <c r="AF426" s="3">
        <v>13</v>
      </c>
      <c r="AG426" s="3">
        <v>34</v>
      </c>
      <c r="AH426" s="3">
        <v>5</v>
      </c>
      <c r="AI426" s="3">
        <v>10</v>
      </c>
      <c r="AJ426" s="3">
        <v>3</v>
      </c>
      <c r="AK426" s="3">
        <v>7</v>
      </c>
      <c r="AL426" s="3">
        <v>10</v>
      </c>
      <c r="AM426" s="3">
        <v>19</v>
      </c>
      <c r="AN426" s="3">
        <v>1</v>
      </c>
      <c r="AO426" s="3">
        <v>2</v>
      </c>
      <c r="AP426" s="3">
        <v>0</v>
      </c>
      <c r="AQ426" s="3">
        <v>5</v>
      </c>
      <c r="AR426" s="2" t="s">
        <v>8</v>
      </c>
      <c r="AS426" s="2" t="s">
        <v>6</v>
      </c>
      <c r="AT426" s="5" t="str">
        <f>HYPERLINK("http://catalog.hathitrust.org/Record/003045231","HathiTrust Record")</f>
        <v>HathiTrust Record</v>
      </c>
      <c r="AU426" s="5" t="str">
        <f>HYPERLINK("https://creighton-primo.hosted.exlibrisgroup.com/primo-explore/search?tab=default_tab&amp;search_scope=EVERYTHING&amp;vid=01CRU&amp;lang=en_US&amp;offset=0&amp;query=any,contains,991001139559702656","Catalog Record")</f>
        <v>Catalog Record</v>
      </c>
      <c r="AV426" s="5" t="str">
        <f>HYPERLINK("http://www.worldcat.org/oclc/32590768","WorldCat Record")</f>
        <v>WorldCat Record</v>
      </c>
      <c r="AW426" s="2" t="s">
        <v>5494</v>
      </c>
      <c r="AX426" s="2" t="s">
        <v>5495</v>
      </c>
      <c r="AY426" s="2" t="s">
        <v>5496</v>
      </c>
      <c r="AZ426" s="2" t="s">
        <v>5496</v>
      </c>
      <c r="BA426" s="2" t="s">
        <v>5497</v>
      </c>
      <c r="BB426" s="2" t="s">
        <v>21</v>
      </c>
      <c r="BD426" s="2" t="s">
        <v>5498</v>
      </c>
      <c r="BE426" s="2" t="s">
        <v>5499</v>
      </c>
      <c r="BF426" s="2" t="s">
        <v>5500</v>
      </c>
    </row>
    <row r="427" spans="1:58" ht="42.75" customHeight="1" x14ac:dyDescent="0.25">
      <c r="A427" s="8" t="s">
        <v>8</v>
      </c>
      <c r="B427" s="1" t="s">
        <v>0</v>
      </c>
      <c r="C427" s="1" t="s">
        <v>1</v>
      </c>
      <c r="D427" s="1" t="s">
        <v>5501</v>
      </c>
      <c r="E427" s="1" t="s">
        <v>5502</v>
      </c>
      <c r="F427" s="1" t="s">
        <v>5503</v>
      </c>
      <c r="H427" s="2" t="s">
        <v>8</v>
      </c>
      <c r="I427" s="2" t="s">
        <v>7</v>
      </c>
      <c r="J427" s="2" t="s">
        <v>8</v>
      </c>
      <c r="K427" s="2" t="s">
        <v>8</v>
      </c>
      <c r="L427" s="2" t="s">
        <v>9</v>
      </c>
      <c r="N427" s="1" t="s">
        <v>5504</v>
      </c>
      <c r="O427" s="2" t="s">
        <v>266</v>
      </c>
      <c r="Q427" s="2" t="s">
        <v>12</v>
      </c>
      <c r="R427" s="2" t="s">
        <v>577</v>
      </c>
      <c r="S427" s="1" t="s">
        <v>5148</v>
      </c>
      <c r="T427" s="2" t="s">
        <v>14</v>
      </c>
      <c r="U427" s="3">
        <v>9</v>
      </c>
      <c r="V427" s="3">
        <v>9</v>
      </c>
      <c r="W427" s="4" t="s">
        <v>5505</v>
      </c>
      <c r="X427" s="4" t="s">
        <v>5505</v>
      </c>
      <c r="Y427" s="4" t="s">
        <v>4443</v>
      </c>
      <c r="Z427" s="4" t="s">
        <v>4443</v>
      </c>
      <c r="AA427" s="3">
        <v>642</v>
      </c>
      <c r="AB427" s="3">
        <v>519</v>
      </c>
      <c r="AC427" s="3">
        <v>542</v>
      </c>
      <c r="AD427" s="3">
        <v>3</v>
      </c>
      <c r="AE427" s="3">
        <v>3</v>
      </c>
      <c r="AF427" s="3">
        <v>28</v>
      </c>
      <c r="AG427" s="3">
        <v>30</v>
      </c>
      <c r="AH427" s="3">
        <v>10</v>
      </c>
      <c r="AI427" s="3">
        <v>12</v>
      </c>
      <c r="AJ427" s="3">
        <v>9</v>
      </c>
      <c r="AK427" s="3">
        <v>10</v>
      </c>
      <c r="AL427" s="3">
        <v>12</v>
      </c>
      <c r="AM427" s="3">
        <v>13</v>
      </c>
      <c r="AN427" s="3">
        <v>2</v>
      </c>
      <c r="AO427" s="3">
        <v>2</v>
      </c>
      <c r="AP427" s="3">
        <v>2</v>
      </c>
      <c r="AQ427" s="3">
        <v>2</v>
      </c>
      <c r="AR427" s="2" t="s">
        <v>8</v>
      </c>
      <c r="AS427" s="2" t="s">
        <v>6</v>
      </c>
      <c r="AT427" s="5" t="str">
        <f>HYPERLINK("http://catalog.hathitrust.org/Record/000454942","HathiTrust Record")</f>
        <v>HathiTrust Record</v>
      </c>
      <c r="AU427" s="5" t="str">
        <f>HYPERLINK("https://creighton-primo.hosted.exlibrisgroup.com/primo-explore/search?tab=default_tab&amp;search_scope=EVERYTHING&amp;vid=01CRU&amp;lang=en_US&amp;offset=0&amp;query=any,contains,991001185149702656","Catalog Record")</f>
        <v>Catalog Record</v>
      </c>
      <c r="AV427" s="5" t="str">
        <f>HYPERLINK("http://www.worldcat.org/oclc/9066381","WorldCat Record")</f>
        <v>WorldCat Record</v>
      </c>
      <c r="AW427" s="2" t="s">
        <v>5506</v>
      </c>
      <c r="AX427" s="2" t="s">
        <v>5507</v>
      </c>
      <c r="AY427" s="2" t="s">
        <v>5508</v>
      </c>
      <c r="AZ427" s="2" t="s">
        <v>5508</v>
      </c>
      <c r="BA427" s="2" t="s">
        <v>5509</v>
      </c>
      <c r="BB427" s="2" t="s">
        <v>21</v>
      </c>
      <c r="BD427" s="2" t="s">
        <v>5510</v>
      </c>
      <c r="BE427" s="2" t="s">
        <v>5511</v>
      </c>
      <c r="BF427" s="2" t="s">
        <v>5512</v>
      </c>
    </row>
    <row r="428" spans="1:58" ht="42.75" customHeight="1" x14ac:dyDescent="0.25">
      <c r="A428" s="8" t="s">
        <v>8</v>
      </c>
      <c r="B428" s="1" t="s">
        <v>0</v>
      </c>
      <c r="C428" s="1" t="s">
        <v>1</v>
      </c>
      <c r="D428" s="1" t="s">
        <v>5513</v>
      </c>
      <c r="E428" s="1" t="s">
        <v>5514</v>
      </c>
      <c r="F428" s="1" t="s">
        <v>5515</v>
      </c>
      <c r="H428" s="2" t="s">
        <v>8</v>
      </c>
      <c r="I428" s="2" t="s">
        <v>7</v>
      </c>
      <c r="J428" s="2" t="s">
        <v>8</v>
      </c>
      <c r="K428" s="2" t="s">
        <v>8</v>
      </c>
      <c r="L428" s="2" t="s">
        <v>9</v>
      </c>
      <c r="N428" s="1" t="s">
        <v>5516</v>
      </c>
      <c r="O428" s="2" t="s">
        <v>51</v>
      </c>
      <c r="Q428" s="2" t="s">
        <v>12</v>
      </c>
      <c r="R428" s="2" t="s">
        <v>658</v>
      </c>
      <c r="S428" s="1" t="s">
        <v>5517</v>
      </c>
      <c r="T428" s="2" t="s">
        <v>14</v>
      </c>
      <c r="U428" s="3">
        <v>4</v>
      </c>
      <c r="V428" s="3">
        <v>4</v>
      </c>
      <c r="W428" s="4" t="s">
        <v>5518</v>
      </c>
      <c r="X428" s="4" t="s">
        <v>5518</v>
      </c>
      <c r="Y428" s="4" t="s">
        <v>5519</v>
      </c>
      <c r="Z428" s="4" t="s">
        <v>5519</v>
      </c>
      <c r="AA428" s="3">
        <v>378</v>
      </c>
      <c r="AB428" s="3">
        <v>324</v>
      </c>
      <c r="AC428" s="3">
        <v>331</v>
      </c>
      <c r="AD428" s="3">
        <v>5</v>
      </c>
      <c r="AE428" s="3">
        <v>5</v>
      </c>
      <c r="AF428" s="3">
        <v>18</v>
      </c>
      <c r="AG428" s="3">
        <v>18</v>
      </c>
      <c r="AH428" s="3">
        <v>6</v>
      </c>
      <c r="AI428" s="3">
        <v>6</v>
      </c>
      <c r="AJ428" s="3">
        <v>3</v>
      </c>
      <c r="AK428" s="3">
        <v>3</v>
      </c>
      <c r="AL428" s="3">
        <v>8</v>
      </c>
      <c r="AM428" s="3">
        <v>8</v>
      </c>
      <c r="AN428" s="3">
        <v>3</v>
      </c>
      <c r="AO428" s="3">
        <v>3</v>
      </c>
      <c r="AP428" s="3">
        <v>0</v>
      </c>
      <c r="AQ428" s="3">
        <v>0</v>
      </c>
      <c r="AR428" s="2" t="s">
        <v>8</v>
      </c>
      <c r="AS428" s="2" t="s">
        <v>6</v>
      </c>
      <c r="AT428" s="5" t="str">
        <f>HYPERLINK("http://catalog.hathitrust.org/Record/002506771","HathiTrust Record")</f>
        <v>HathiTrust Record</v>
      </c>
      <c r="AU428" s="5" t="str">
        <f>HYPERLINK("https://creighton-primo.hosted.exlibrisgroup.com/primo-explore/search?tab=default_tab&amp;search_scope=EVERYTHING&amp;vid=01CRU&amp;lang=en_US&amp;offset=0&amp;query=any,contains,991001107069702656","Catalog Record")</f>
        <v>Catalog Record</v>
      </c>
      <c r="AV428" s="5" t="str">
        <f>HYPERLINK("http://www.worldcat.org/oclc/20724249","WorldCat Record")</f>
        <v>WorldCat Record</v>
      </c>
      <c r="AW428" s="2" t="s">
        <v>5520</v>
      </c>
      <c r="AX428" s="2" t="s">
        <v>5521</v>
      </c>
      <c r="AY428" s="2" t="s">
        <v>5522</v>
      </c>
      <c r="AZ428" s="2" t="s">
        <v>5522</v>
      </c>
      <c r="BA428" s="2" t="s">
        <v>5523</v>
      </c>
      <c r="BB428" s="2" t="s">
        <v>21</v>
      </c>
      <c r="BD428" s="2" t="s">
        <v>5524</v>
      </c>
      <c r="BE428" s="2" t="s">
        <v>5525</v>
      </c>
      <c r="BF428" s="2" t="s">
        <v>5526</v>
      </c>
    </row>
    <row r="429" spans="1:58" ht="42.75" customHeight="1" x14ac:dyDescent="0.25">
      <c r="A429" s="8" t="s">
        <v>8</v>
      </c>
      <c r="B429" s="1" t="s">
        <v>0</v>
      </c>
      <c r="C429" s="1" t="s">
        <v>1</v>
      </c>
      <c r="D429" s="1" t="s">
        <v>5527</v>
      </c>
      <c r="E429" s="1" t="s">
        <v>5528</v>
      </c>
      <c r="F429" s="1" t="s">
        <v>5529</v>
      </c>
      <c r="H429" s="2" t="s">
        <v>8</v>
      </c>
      <c r="I429" s="2" t="s">
        <v>7</v>
      </c>
      <c r="J429" s="2" t="s">
        <v>8</v>
      </c>
      <c r="K429" s="2" t="s">
        <v>8</v>
      </c>
      <c r="L429" s="2" t="s">
        <v>9</v>
      </c>
      <c r="N429" s="1" t="s">
        <v>5530</v>
      </c>
      <c r="O429" s="2" t="s">
        <v>589</v>
      </c>
      <c r="Q429" s="2" t="s">
        <v>12</v>
      </c>
      <c r="R429" s="2" t="s">
        <v>5531</v>
      </c>
      <c r="T429" s="2" t="s">
        <v>14</v>
      </c>
      <c r="U429" s="3">
        <v>10</v>
      </c>
      <c r="V429" s="3">
        <v>10</v>
      </c>
      <c r="W429" s="4" t="s">
        <v>5532</v>
      </c>
      <c r="X429" s="4" t="s">
        <v>5532</v>
      </c>
      <c r="Y429" s="4" t="s">
        <v>5533</v>
      </c>
      <c r="Z429" s="4" t="s">
        <v>5533</v>
      </c>
      <c r="AA429" s="3">
        <v>435</v>
      </c>
      <c r="AB429" s="3">
        <v>398</v>
      </c>
      <c r="AC429" s="3">
        <v>406</v>
      </c>
      <c r="AD429" s="3">
        <v>2</v>
      </c>
      <c r="AE429" s="3">
        <v>2</v>
      </c>
      <c r="AF429" s="3">
        <v>18</v>
      </c>
      <c r="AG429" s="3">
        <v>18</v>
      </c>
      <c r="AH429" s="3">
        <v>5</v>
      </c>
      <c r="AI429" s="3">
        <v>5</v>
      </c>
      <c r="AJ429" s="3">
        <v>2</v>
      </c>
      <c r="AK429" s="3">
        <v>2</v>
      </c>
      <c r="AL429" s="3">
        <v>10</v>
      </c>
      <c r="AM429" s="3">
        <v>10</v>
      </c>
      <c r="AN429" s="3">
        <v>1</v>
      </c>
      <c r="AO429" s="3">
        <v>1</v>
      </c>
      <c r="AP429" s="3">
        <v>4</v>
      </c>
      <c r="AQ429" s="3">
        <v>4</v>
      </c>
      <c r="AR429" s="2" t="s">
        <v>8</v>
      </c>
      <c r="AS429" s="2" t="s">
        <v>6</v>
      </c>
      <c r="AT429" s="5" t="str">
        <f>HYPERLINK("http://catalog.hathitrust.org/Record/002487418","HathiTrust Record")</f>
        <v>HathiTrust Record</v>
      </c>
      <c r="AU429" s="5" t="str">
        <f>HYPERLINK("https://creighton-primo.hosted.exlibrisgroup.com/primo-explore/search?tab=default_tab&amp;search_scope=EVERYTHING&amp;vid=01CRU&amp;lang=en_US&amp;offset=0&amp;query=any,contains,991000763199702656","Catalog Record")</f>
        <v>Catalog Record</v>
      </c>
      <c r="AV429" s="5" t="str">
        <f>HYPERLINK("http://www.worldcat.org/oclc/21764482","WorldCat Record")</f>
        <v>WorldCat Record</v>
      </c>
      <c r="AW429" s="2" t="s">
        <v>5534</v>
      </c>
      <c r="AX429" s="2" t="s">
        <v>5535</v>
      </c>
      <c r="AY429" s="2" t="s">
        <v>5536</v>
      </c>
      <c r="AZ429" s="2" t="s">
        <v>5536</v>
      </c>
      <c r="BA429" s="2" t="s">
        <v>5537</v>
      </c>
      <c r="BB429" s="2" t="s">
        <v>21</v>
      </c>
      <c r="BD429" s="2" t="s">
        <v>5538</v>
      </c>
      <c r="BE429" s="2" t="s">
        <v>5539</v>
      </c>
      <c r="BF429" s="2" t="s">
        <v>5540</v>
      </c>
    </row>
    <row r="430" spans="1:58" ht="42.75" customHeight="1" x14ac:dyDescent="0.25">
      <c r="A430" s="8" t="s">
        <v>8</v>
      </c>
      <c r="B430" s="1" t="s">
        <v>0</v>
      </c>
      <c r="C430" s="1" t="s">
        <v>1</v>
      </c>
      <c r="D430" s="1" t="s">
        <v>5541</v>
      </c>
      <c r="E430" s="1" t="s">
        <v>5542</v>
      </c>
      <c r="F430" s="1" t="s">
        <v>5543</v>
      </c>
      <c r="H430" s="2" t="s">
        <v>8</v>
      </c>
      <c r="I430" s="2" t="s">
        <v>7</v>
      </c>
      <c r="J430" s="2" t="s">
        <v>8</v>
      </c>
      <c r="K430" s="2" t="s">
        <v>8</v>
      </c>
      <c r="L430" s="2" t="s">
        <v>9</v>
      </c>
      <c r="N430" s="1" t="s">
        <v>5544</v>
      </c>
      <c r="O430" s="2" t="s">
        <v>627</v>
      </c>
      <c r="Q430" s="2" t="s">
        <v>12</v>
      </c>
      <c r="R430" s="2" t="s">
        <v>34</v>
      </c>
      <c r="T430" s="2" t="s">
        <v>14</v>
      </c>
      <c r="U430" s="3">
        <v>19</v>
      </c>
      <c r="V430" s="3">
        <v>19</v>
      </c>
      <c r="W430" s="4" t="s">
        <v>5545</v>
      </c>
      <c r="X430" s="4" t="s">
        <v>5545</v>
      </c>
      <c r="Y430" s="4" t="s">
        <v>5546</v>
      </c>
      <c r="Z430" s="4" t="s">
        <v>5546</v>
      </c>
      <c r="AA430" s="3">
        <v>250</v>
      </c>
      <c r="AB430" s="3">
        <v>225</v>
      </c>
      <c r="AC430" s="3">
        <v>230</v>
      </c>
      <c r="AD430" s="3">
        <v>1</v>
      </c>
      <c r="AE430" s="3">
        <v>1</v>
      </c>
      <c r="AF430" s="3">
        <v>19</v>
      </c>
      <c r="AG430" s="3">
        <v>19</v>
      </c>
      <c r="AH430" s="3">
        <v>6</v>
      </c>
      <c r="AI430" s="3">
        <v>6</v>
      </c>
      <c r="AJ430" s="3">
        <v>2</v>
      </c>
      <c r="AK430" s="3">
        <v>2</v>
      </c>
      <c r="AL430" s="3">
        <v>7</v>
      </c>
      <c r="AM430" s="3">
        <v>7</v>
      </c>
      <c r="AN430" s="3">
        <v>0</v>
      </c>
      <c r="AO430" s="3">
        <v>0</v>
      </c>
      <c r="AP430" s="3">
        <v>9</v>
      </c>
      <c r="AQ430" s="3">
        <v>9</v>
      </c>
      <c r="AR430" s="2" t="s">
        <v>8</v>
      </c>
      <c r="AS430" s="2" t="s">
        <v>8</v>
      </c>
      <c r="AU430" s="5" t="str">
        <f>HYPERLINK("https://creighton-primo.hosted.exlibrisgroup.com/primo-explore/search?tab=default_tab&amp;search_scope=EVERYTHING&amp;vid=01CRU&amp;lang=en_US&amp;offset=0&amp;query=any,contains,991001377599702656","Catalog Record")</f>
        <v>Catalog Record</v>
      </c>
      <c r="AV430" s="5" t="str">
        <f>HYPERLINK("http://www.worldcat.org/oclc/19814399","WorldCat Record")</f>
        <v>WorldCat Record</v>
      </c>
      <c r="AW430" s="2" t="s">
        <v>5547</v>
      </c>
      <c r="AX430" s="2" t="s">
        <v>5548</v>
      </c>
      <c r="AY430" s="2" t="s">
        <v>5549</v>
      </c>
      <c r="AZ430" s="2" t="s">
        <v>5549</v>
      </c>
      <c r="BA430" s="2" t="s">
        <v>5550</v>
      </c>
      <c r="BB430" s="2" t="s">
        <v>21</v>
      </c>
      <c r="BD430" s="2" t="s">
        <v>5551</v>
      </c>
      <c r="BE430" s="2" t="s">
        <v>5552</v>
      </c>
      <c r="BF430" s="2" t="s">
        <v>5553</v>
      </c>
    </row>
    <row r="431" spans="1:58" ht="42.75" customHeight="1" x14ac:dyDescent="0.25">
      <c r="A431" s="8" t="s">
        <v>8</v>
      </c>
      <c r="B431" s="1" t="s">
        <v>0</v>
      </c>
      <c r="C431" s="1" t="s">
        <v>1</v>
      </c>
      <c r="D431" s="1" t="s">
        <v>5554</v>
      </c>
      <c r="E431" s="1" t="s">
        <v>5555</v>
      </c>
      <c r="F431" s="1" t="s">
        <v>5556</v>
      </c>
      <c r="H431" s="2" t="s">
        <v>8</v>
      </c>
      <c r="I431" s="2" t="s">
        <v>7</v>
      </c>
      <c r="J431" s="2" t="s">
        <v>8</v>
      </c>
      <c r="K431" s="2" t="s">
        <v>8</v>
      </c>
      <c r="L431" s="2" t="s">
        <v>9</v>
      </c>
      <c r="N431" s="1" t="s">
        <v>5557</v>
      </c>
      <c r="O431" s="2" t="s">
        <v>589</v>
      </c>
      <c r="Q431" s="2" t="s">
        <v>12</v>
      </c>
      <c r="R431" s="2" t="s">
        <v>34</v>
      </c>
      <c r="S431" s="1" t="s">
        <v>5558</v>
      </c>
      <c r="T431" s="2" t="s">
        <v>14</v>
      </c>
      <c r="U431" s="3">
        <v>29</v>
      </c>
      <c r="V431" s="3">
        <v>29</v>
      </c>
      <c r="W431" s="4" t="s">
        <v>5559</v>
      </c>
      <c r="X431" s="4" t="s">
        <v>5559</v>
      </c>
      <c r="Y431" s="4" t="s">
        <v>5560</v>
      </c>
      <c r="Z431" s="4" t="s">
        <v>5560</v>
      </c>
      <c r="AA431" s="3">
        <v>135</v>
      </c>
      <c r="AB431" s="3">
        <v>102</v>
      </c>
      <c r="AC431" s="3">
        <v>104</v>
      </c>
      <c r="AD431" s="3">
        <v>1</v>
      </c>
      <c r="AE431" s="3">
        <v>1</v>
      </c>
      <c r="AF431" s="3">
        <v>5</v>
      </c>
      <c r="AG431" s="3">
        <v>5</v>
      </c>
      <c r="AH431" s="3">
        <v>0</v>
      </c>
      <c r="AI431" s="3">
        <v>0</v>
      </c>
      <c r="AJ431" s="3">
        <v>1</v>
      </c>
      <c r="AK431" s="3">
        <v>1</v>
      </c>
      <c r="AL431" s="3">
        <v>5</v>
      </c>
      <c r="AM431" s="3">
        <v>5</v>
      </c>
      <c r="AN431" s="3">
        <v>0</v>
      </c>
      <c r="AO431" s="3">
        <v>0</v>
      </c>
      <c r="AP431" s="3">
        <v>0</v>
      </c>
      <c r="AQ431" s="3">
        <v>0</v>
      </c>
      <c r="AR431" s="2" t="s">
        <v>8</v>
      </c>
      <c r="AS431" s="2" t="s">
        <v>6</v>
      </c>
      <c r="AT431" s="5" t="str">
        <f>HYPERLINK("http://catalog.hathitrust.org/Record/002171086","HathiTrust Record")</f>
        <v>HathiTrust Record</v>
      </c>
      <c r="AU431" s="5" t="str">
        <f>HYPERLINK("https://creighton-primo.hosted.exlibrisgroup.com/primo-explore/search?tab=default_tab&amp;search_scope=EVERYTHING&amp;vid=01CRU&amp;lang=en_US&amp;offset=0&amp;query=any,contains,991000774799702656","Catalog Record")</f>
        <v>Catalog Record</v>
      </c>
      <c r="AV431" s="5" t="str">
        <f>HYPERLINK("http://www.worldcat.org/oclc/21296731","WorldCat Record")</f>
        <v>WorldCat Record</v>
      </c>
      <c r="AW431" s="2" t="s">
        <v>5561</v>
      </c>
      <c r="AX431" s="2" t="s">
        <v>5562</v>
      </c>
      <c r="AY431" s="2" t="s">
        <v>5563</v>
      </c>
      <c r="AZ431" s="2" t="s">
        <v>5563</v>
      </c>
      <c r="BA431" s="2" t="s">
        <v>5564</v>
      </c>
      <c r="BB431" s="2" t="s">
        <v>21</v>
      </c>
      <c r="BD431" s="2" t="s">
        <v>5565</v>
      </c>
      <c r="BE431" s="2" t="s">
        <v>5566</v>
      </c>
      <c r="BF431" s="2" t="s">
        <v>5567</v>
      </c>
    </row>
    <row r="432" spans="1:58" ht="42.75" customHeight="1" x14ac:dyDescent="0.25">
      <c r="A432" s="8" t="s">
        <v>8</v>
      </c>
      <c r="B432" s="1" t="s">
        <v>0</v>
      </c>
      <c r="C432" s="1" t="s">
        <v>1</v>
      </c>
      <c r="D432" s="1" t="s">
        <v>5568</v>
      </c>
      <c r="E432" s="1" t="s">
        <v>5569</v>
      </c>
      <c r="F432" s="1" t="s">
        <v>5570</v>
      </c>
      <c r="H432" s="2" t="s">
        <v>8</v>
      </c>
      <c r="I432" s="2" t="s">
        <v>7</v>
      </c>
      <c r="J432" s="2" t="s">
        <v>8</v>
      </c>
      <c r="K432" s="2" t="s">
        <v>8</v>
      </c>
      <c r="L432" s="2" t="s">
        <v>9</v>
      </c>
      <c r="N432" s="1" t="s">
        <v>5571</v>
      </c>
      <c r="O432" s="2" t="s">
        <v>51</v>
      </c>
      <c r="Q432" s="2" t="s">
        <v>12</v>
      </c>
      <c r="R432" s="2" t="s">
        <v>643</v>
      </c>
      <c r="S432" s="1" t="s">
        <v>5572</v>
      </c>
      <c r="T432" s="2" t="s">
        <v>14</v>
      </c>
      <c r="U432" s="3">
        <v>8</v>
      </c>
      <c r="V432" s="3">
        <v>8</v>
      </c>
      <c r="W432" s="4" t="s">
        <v>5573</v>
      </c>
      <c r="X432" s="4" t="s">
        <v>5573</v>
      </c>
      <c r="Y432" s="4" t="s">
        <v>5481</v>
      </c>
      <c r="Z432" s="4" t="s">
        <v>5481</v>
      </c>
      <c r="AA432" s="3">
        <v>181</v>
      </c>
      <c r="AB432" s="3">
        <v>102</v>
      </c>
      <c r="AC432" s="3">
        <v>104</v>
      </c>
      <c r="AD432" s="3">
        <v>1</v>
      </c>
      <c r="AE432" s="3">
        <v>1</v>
      </c>
      <c r="AF432" s="3">
        <v>7</v>
      </c>
      <c r="AG432" s="3">
        <v>7</v>
      </c>
      <c r="AH432" s="3">
        <v>4</v>
      </c>
      <c r="AI432" s="3">
        <v>4</v>
      </c>
      <c r="AJ432" s="3">
        <v>1</v>
      </c>
      <c r="AK432" s="3">
        <v>1</v>
      </c>
      <c r="AL432" s="3">
        <v>6</v>
      </c>
      <c r="AM432" s="3">
        <v>6</v>
      </c>
      <c r="AN432" s="3">
        <v>0</v>
      </c>
      <c r="AO432" s="3">
        <v>0</v>
      </c>
      <c r="AP432" s="3">
        <v>0</v>
      </c>
      <c r="AQ432" s="3">
        <v>0</v>
      </c>
      <c r="AR432" s="2" t="s">
        <v>8</v>
      </c>
      <c r="AS432" s="2" t="s">
        <v>6</v>
      </c>
      <c r="AT432" s="5" t="str">
        <f>HYPERLINK("http://catalog.hathitrust.org/Record/001548533","HathiTrust Record")</f>
        <v>HathiTrust Record</v>
      </c>
      <c r="AU432" s="5" t="str">
        <f>HYPERLINK("https://creighton-primo.hosted.exlibrisgroup.com/primo-explore/search?tab=default_tab&amp;search_scope=EVERYTHING&amp;vid=01CRU&amp;lang=en_US&amp;offset=0&amp;query=any,contains,991001323079702656","Catalog Record")</f>
        <v>Catalog Record</v>
      </c>
      <c r="AV432" s="5" t="str">
        <f>HYPERLINK("http://www.worldcat.org/oclc/17805771","WorldCat Record")</f>
        <v>WorldCat Record</v>
      </c>
      <c r="AW432" s="2" t="s">
        <v>5574</v>
      </c>
      <c r="AX432" s="2" t="s">
        <v>5575</v>
      </c>
      <c r="AY432" s="2" t="s">
        <v>5576</v>
      </c>
      <c r="AZ432" s="2" t="s">
        <v>5576</v>
      </c>
      <c r="BA432" s="2" t="s">
        <v>5577</v>
      </c>
      <c r="BB432" s="2" t="s">
        <v>21</v>
      </c>
      <c r="BD432" s="2" t="s">
        <v>5578</v>
      </c>
      <c r="BE432" s="2" t="s">
        <v>5579</v>
      </c>
      <c r="BF432" s="2" t="s">
        <v>5580</v>
      </c>
    </row>
    <row r="433" spans="1:58" ht="42.75" customHeight="1" x14ac:dyDescent="0.25">
      <c r="A433" s="8" t="s">
        <v>8</v>
      </c>
      <c r="B433" s="1" t="s">
        <v>0</v>
      </c>
      <c r="C433" s="1" t="s">
        <v>1</v>
      </c>
      <c r="D433" s="1" t="s">
        <v>5581</v>
      </c>
      <c r="E433" s="1" t="s">
        <v>5582</v>
      </c>
      <c r="F433" s="1" t="s">
        <v>5583</v>
      </c>
      <c r="H433" s="2" t="s">
        <v>8</v>
      </c>
      <c r="I433" s="2" t="s">
        <v>7</v>
      </c>
      <c r="J433" s="2" t="s">
        <v>8</v>
      </c>
      <c r="K433" s="2" t="s">
        <v>8</v>
      </c>
      <c r="L433" s="2" t="s">
        <v>9</v>
      </c>
      <c r="N433" s="1" t="s">
        <v>5584</v>
      </c>
      <c r="O433" s="2" t="s">
        <v>1629</v>
      </c>
      <c r="Q433" s="2" t="s">
        <v>12</v>
      </c>
      <c r="R433" s="2" t="s">
        <v>774</v>
      </c>
      <c r="T433" s="2" t="s">
        <v>14</v>
      </c>
      <c r="U433" s="3">
        <v>6</v>
      </c>
      <c r="V433" s="3">
        <v>6</v>
      </c>
      <c r="W433" s="4" t="s">
        <v>5200</v>
      </c>
      <c r="X433" s="4" t="s">
        <v>5200</v>
      </c>
      <c r="Y433" s="4" t="s">
        <v>1144</v>
      </c>
      <c r="Z433" s="4" t="s">
        <v>1144</v>
      </c>
      <c r="AA433" s="3">
        <v>129</v>
      </c>
      <c r="AB433" s="3">
        <v>119</v>
      </c>
      <c r="AC433" s="3">
        <v>121</v>
      </c>
      <c r="AD433" s="3">
        <v>2</v>
      </c>
      <c r="AE433" s="3">
        <v>2</v>
      </c>
      <c r="AF433" s="3">
        <v>13</v>
      </c>
      <c r="AG433" s="3">
        <v>13</v>
      </c>
      <c r="AH433" s="3">
        <v>3</v>
      </c>
      <c r="AI433" s="3">
        <v>3</v>
      </c>
      <c r="AJ433" s="3">
        <v>1</v>
      </c>
      <c r="AK433" s="3">
        <v>1</v>
      </c>
      <c r="AL433" s="3">
        <v>10</v>
      </c>
      <c r="AM433" s="3">
        <v>10</v>
      </c>
      <c r="AN433" s="3">
        <v>0</v>
      </c>
      <c r="AO433" s="3">
        <v>0</v>
      </c>
      <c r="AP433" s="3">
        <v>2</v>
      </c>
      <c r="AQ433" s="3">
        <v>2</v>
      </c>
      <c r="AR433" s="2" t="s">
        <v>8</v>
      </c>
      <c r="AS433" s="2" t="s">
        <v>6</v>
      </c>
      <c r="AT433" s="5" t="str">
        <f>HYPERLINK("http://catalog.hathitrust.org/Record/000332030","HathiTrust Record")</f>
        <v>HathiTrust Record</v>
      </c>
      <c r="AU433" s="5" t="str">
        <f>HYPERLINK("https://creighton-primo.hosted.exlibrisgroup.com/primo-explore/search?tab=default_tab&amp;search_scope=EVERYTHING&amp;vid=01CRU&amp;lang=en_US&amp;offset=0&amp;query=any,contains,991001184549702656","Catalog Record")</f>
        <v>Catalog Record</v>
      </c>
      <c r="AV433" s="5" t="str">
        <f>HYPERLINK("http://www.worldcat.org/oclc/10780872","WorldCat Record")</f>
        <v>WorldCat Record</v>
      </c>
      <c r="AW433" s="2" t="s">
        <v>5585</v>
      </c>
      <c r="AX433" s="2" t="s">
        <v>5586</v>
      </c>
      <c r="AY433" s="2" t="s">
        <v>5587</v>
      </c>
      <c r="AZ433" s="2" t="s">
        <v>5587</v>
      </c>
      <c r="BA433" s="2" t="s">
        <v>5588</v>
      </c>
      <c r="BB433" s="2" t="s">
        <v>21</v>
      </c>
      <c r="BD433" s="2" t="s">
        <v>5589</v>
      </c>
      <c r="BE433" s="2" t="s">
        <v>5590</v>
      </c>
      <c r="BF433" s="2" t="s">
        <v>5591</v>
      </c>
    </row>
    <row r="434" spans="1:58" ht="42.75" customHeight="1" x14ac:dyDescent="0.25">
      <c r="A434" s="8" t="s">
        <v>8</v>
      </c>
      <c r="B434" s="1" t="s">
        <v>0</v>
      </c>
      <c r="C434" s="1" t="s">
        <v>1</v>
      </c>
      <c r="D434" s="1" t="s">
        <v>5592</v>
      </c>
      <c r="E434" s="1" t="s">
        <v>5593</v>
      </c>
      <c r="F434" s="1" t="s">
        <v>5594</v>
      </c>
      <c r="H434" s="2" t="s">
        <v>8</v>
      </c>
      <c r="I434" s="2" t="s">
        <v>7</v>
      </c>
      <c r="J434" s="2" t="s">
        <v>8</v>
      </c>
      <c r="K434" s="2" t="s">
        <v>8</v>
      </c>
      <c r="L434" s="2" t="s">
        <v>7</v>
      </c>
      <c r="N434" s="1" t="s">
        <v>5595</v>
      </c>
      <c r="O434" s="2" t="s">
        <v>959</v>
      </c>
      <c r="Q434" s="2" t="s">
        <v>12</v>
      </c>
      <c r="R434" s="2" t="s">
        <v>145</v>
      </c>
      <c r="T434" s="2" t="s">
        <v>14</v>
      </c>
      <c r="U434" s="3">
        <v>0</v>
      </c>
      <c r="V434" s="3">
        <v>0</v>
      </c>
      <c r="W434" s="4" t="s">
        <v>5596</v>
      </c>
      <c r="X434" s="4" t="s">
        <v>5596</v>
      </c>
      <c r="Y434" s="4" t="s">
        <v>5597</v>
      </c>
      <c r="Z434" s="4" t="s">
        <v>5597</v>
      </c>
      <c r="AA434" s="3">
        <v>136</v>
      </c>
      <c r="AB434" s="3">
        <v>104</v>
      </c>
      <c r="AC434" s="3">
        <v>346</v>
      </c>
      <c r="AD434" s="3">
        <v>2</v>
      </c>
      <c r="AE434" s="3">
        <v>3</v>
      </c>
      <c r="AF434" s="3">
        <v>4</v>
      </c>
      <c r="AG434" s="3">
        <v>9</v>
      </c>
      <c r="AH434" s="3">
        <v>0</v>
      </c>
      <c r="AI434" s="3">
        <v>3</v>
      </c>
      <c r="AJ434" s="3">
        <v>1</v>
      </c>
      <c r="AK434" s="3">
        <v>2</v>
      </c>
      <c r="AL434" s="3">
        <v>2</v>
      </c>
      <c r="AM434" s="3">
        <v>6</v>
      </c>
      <c r="AN434" s="3">
        <v>1</v>
      </c>
      <c r="AO434" s="3">
        <v>1</v>
      </c>
      <c r="AP434" s="3">
        <v>1</v>
      </c>
      <c r="AQ434" s="3">
        <v>1</v>
      </c>
      <c r="AR434" s="2" t="s">
        <v>8</v>
      </c>
      <c r="AS434" s="2" t="s">
        <v>8</v>
      </c>
      <c r="AU434" s="5" t="str">
        <f>HYPERLINK("https://creighton-primo.hosted.exlibrisgroup.com/primo-explore/search?tab=default_tab&amp;search_scope=EVERYTHING&amp;vid=01CRU&amp;lang=en_US&amp;offset=0&amp;query=any,contains,991000466739702656","Catalog Record")</f>
        <v>Catalog Record</v>
      </c>
      <c r="AV434" s="5" t="str">
        <f>HYPERLINK("http://www.worldcat.org/oclc/60519951","WorldCat Record")</f>
        <v>WorldCat Record</v>
      </c>
      <c r="AW434" s="2" t="s">
        <v>5598</v>
      </c>
      <c r="AX434" s="2" t="s">
        <v>5599</v>
      </c>
      <c r="AY434" s="2" t="s">
        <v>5600</v>
      </c>
      <c r="AZ434" s="2" t="s">
        <v>5600</v>
      </c>
      <c r="BA434" s="2" t="s">
        <v>5601</v>
      </c>
      <c r="BB434" s="2" t="s">
        <v>21</v>
      </c>
      <c r="BD434" s="2" t="s">
        <v>5602</v>
      </c>
      <c r="BE434" s="2" t="s">
        <v>5603</v>
      </c>
      <c r="BF434" s="2" t="s">
        <v>5604</v>
      </c>
    </row>
    <row r="435" spans="1:58" ht="42.75" customHeight="1" x14ac:dyDescent="0.25">
      <c r="A435" s="8" t="s">
        <v>8</v>
      </c>
      <c r="B435" s="1" t="s">
        <v>0</v>
      </c>
      <c r="C435" s="1" t="s">
        <v>1</v>
      </c>
      <c r="D435" s="1" t="s">
        <v>5605</v>
      </c>
      <c r="E435" s="1" t="s">
        <v>5606</v>
      </c>
      <c r="F435" s="1" t="s">
        <v>5607</v>
      </c>
      <c r="H435" s="2" t="s">
        <v>8</v>
      </c>
      <c r="I435" s="2" t="s">
        <v>7</v>
      </c>
      <c r="J435" s="2" t="s">
        <v>6</v>
      </c>
      <c r="K435" s="2" t="s">
        <v>8</v>
      </c>
      <c r="L435" s="2" t="s">
        <v>9</v>
      </c>
      <c r="N435" s="1" t="s">
        <v>5608</v>
      </c>
      <c r="O435" s="2" t="s">
        <v>298</v>
      </c>
      <c r="Q435" s="2" t="s">
        <v>12</v>
      </c>
      <c r="R435" s="2" t="s">
        <v>145</v>
      </c>
      <c r="S435" s="1" t="s">
        <v>5609</v>
      </c>
      <c r="T435" s="2" t="s">
        <v>14</v>
      </c>
      <c r="U435" s="3">
        <v>4</v>
      </c>
      <c r="V435" s="3">
        <v>4</v>
      </c>
      <c r="W435" s="4" t="s">
        <v>5610</v>
      </c>
      <c r="X435" s="4" t="s">
        <v>5610</v>
      </c>
      <c r="Y435" s="4" t="s">
        <v>5611</v>
      </c>
      <c r="Z435" s="4" t="s">
        <v>5611</v>
      </c>
      <c r="AA435" s="3">
        <v>527</v>
      </c>
      <c r="AB435" s="3">
        <v>388</v>
      </c>
      <c r="AC435" s="3">
        <v>388</v>
      </c>
      <c r="AD435" s="3">
        <v>5</v>
      </c>
      <c r="AE435" s="3">
        <v>5</v>
      </c>
      <c r="AF435" s="3">
        <v>36</v>
      </c>
      <c r="AG435" s="3">
        <v>36</v>
      </c>
      <c r="AH435" s="3">
        <v>9</v>
      </c>
      <c r="AI435" s="3">
        <v>9</v>
      </c>
      <c r="AJ435" s="3">
        <v>7</v>
      </c>
      <c r="AK435" s="3">
        <v>7</v>
      </c>
      <c r="AL435" s="3">
        <v>17</v>
      </c>
      <c r="AM435" s="3">
        <v>17</v>
      </c>
      <c r="AN435" s="3">
        <v>2</v>
      </c>
      <c r="AO435" s="3">
        <v>2</v>
      </c>
      <c r="AP435" s="3">
        <v>9</v>
      </c>
      <c r="AQ435" s="3">
        <v>9</v>
      </c>
      <c r="AR435" s="2" t="s">
        <v>8</v>
      </c>
      <c r="AS435" s="2" t="s">
        <v>8</v>
      </c>
      <c r="AU435" s="5" t="str">
        <f>HYPERLINK("https://creighton-primo.hosted.exlibrisgroup.com/primo-explore/search?tab=default_tab&amp;search_scope=EVERYTHING&amp;vid=01CRU&amp;lang=en_US&amp;offset=0&amp;query=any,contains,991001185319702656","Catalog Record")</f>
        <v>Catalog Record</v>
      </c>
      <c r="AV435" s="5" t="str">
        <f>HYPERLINK("http://www.worldcat.org/oclc/15084710","WorldCat Record")</f>
        <v>WorldCat Record</v>
      </c>
      <c r="AW435" s="2" t="s">
        <v>5612</v>
      </c>
      <c r="AX435" s="2" t="s">
        <v>5613</v>
      </c>
      <c r="AY435" s="2" t="s">
        <v>5614</v>
      </c>
      <c r="AZ435" s="2" t="s">
        <v>5614</v>
      </c>
      <c r="BA435" s="2" t="s">
        <v>5615</v>
      </c>
      <c r="BB435" s="2" t="s">
        <v>21</v>
      </c>
      <c r="BD435" s="2" t="s">
        <v>5616</v>
      </c>
      <c r="BE435" s="2" t="s">
        <v>5617</v>
      </c>
      <c r="BF435" s="2" t="s">
        <v>5618</v>
      </c>
    </row>
    <row r="436" spans="1:58" ht="42.75" customHeight="1" x14ac:dyDescent="0.25">
      <c r="A436" s="8" t="s">
        <v>8</v>
      </c>
      <c r="B436" s="1" t="s">
        <v>0</v>
      </c>
      <c r="C436" s="1" t="s">
        <v>1</v>
      </c>
      <c r="D436" s="1" t="s">
        <v>5619</v>
      </c>
      <c r="E436" s="1" t="s">
        <v>5620</v>
      </c>
      <c r="F436" s="1" t="s">
        <v>5621</v>
      </c>
      <c r="H436" s="2" t="s">
        <v>8</v>
      </c>
      <c r="I436" s="2" t="s">
        <v>7</v>
      </c>
      <c r="J436" s="2" t="s">
        <v>8</v>
      </c>
      <c r="K436" s="2" t="s">
        <v>8</v>
      </c>
      <c r="L436" s="2" t="s">
        <v>9</v>
      </c>
      <c r="N436" s="1" t="s">
        <v>5622</v>
      </c>
      <c r="O436" s="2" t="s">
        <v>51</v>
      </c>
      <c r="Q436" s="2" t="s">
        <v>12</v>
      </c>
      <c r="R436" s="2" t="s">
        <v>456</v>
      </c>
      <c r="T436" s="2" t="s">
        <v>14</v>
      </c>
      <c r="U436" s="3">
        <v>2</v>
      </c>
      <c r="V436" s="3">
        <v>2</v>
      </c>
      <c r="W436" s="4" t="s">
        <v>5623</v>
      </c>
      <c r="X436" s="4" t="s">
        <v>5623</v>
      </c>
      <c r="Y436" s="4" t="s">
        <v>4981</v>
      </c>
      <c r="Z436" s="4" t="s">
        <v>4981</v>
      </c>
      <c r="AA436" s="3">
        <v>130</v>
      </c>
      <c r="AB436" s="3">
        <v>103</v>
      </c>
      <c r="AC436" s="3">
        <v>110</v>
      </c>
      <c r="AD436" s="3">
        <v>3</v>
      </c>
      <c r="AE436" s="3">
        <v>3</v>
      </c>
      <c r="AF436" s="3">
        <v>4</v>
      </c>
      <c r="AG436" s="3">
        <v>4</v>
      </c>
      <c r="AH436" s="3">
        <v>2</v>
      </c>
      <c r="AI436" s="3">
        <v>2</v>
      </c>
      <c r="AJ436" s="3">
        <v>0</v>
      </c>
      <c r="AK436" s="3">
        <v>0</v>
      </c>
      <c r="AL436" s="3">
        <v>0</v>
      </c>
      <c r="AM436" s="3">
        <v>0</v>
      </c>
      <c r="AN436" s="3">
        <v>2</v>
      </c>
      <c r="AO436" s="3">
        <v>2</v>
      </c>
      <c r="AP436" s="3">
        <v>0</v>
      </c>
      <c r="AQ436" s="3">
        <v>0</v>
      </c>
      <c r="AR436" s="2" t="s">
        <v>8</v>
      </c>
      <c r="AS436" s="2" t="s">
        <v>6</v>
      </c>
      <c r="AT436" s="5" t="str">
        <f>HYPERLINK("http://catalog.hathitrust.org/Record/002447820","HathiTrust Record")</f>
        <v>HathiTrust Record</v>
      </c>
      <c r="AU436" s="5" t="str">
        <f>HYPERLINK("https://creighton-primo.hosted.exlibrisgroup.com/primo-explore/search?tab=default_tab&amp;search_scope=EVERYTHING&amp;vid=01CRU&amp;lang=en_US&amp;offset=0&amp;query=any,contains,991001105999702656","Catalog Record")</f>
        <v>Catalog Record</v>
      </c>
      <c r="AV436" s="5" t="str">
        <f>HYPERLINK("http://www.worldcat.org/oclc/19553468","WorldCat Record")</f>
        <v>WorldCat Record</v>
      </c>
      <c r="AW436" s="2" t="s">
        <v>5624</v>
      </c>
      <c r="AX436" s="2" t="s">
        <v>5625</v>
      </c>
      <c r="AY436" s="2" t="s">
        <v>5626</v>
      </c>
      <c r="AZ436" s="2" t="s">
        <v>5626</v>
      </c>
      <c r="BA436" s="2" t="s">
        <v>5627</v>
      </c>
      <c r="BB436" s="2" t="s">
        <v>21</v>
      </c>
      <c r="BD436" s="2" t="s">
        <v>5628</v>
      </c>
      <c r="BE436" s="2" t="s">
        <v>5629</v>
      </c>
      <c r="BF436" s="2" t="s">
        <v>5630</v>
      </c>
    </row>
    <row r="437" spans="1:58" ht="42.75" customHeight="1" x14ac:dyDescent="0.25">
      <c r="A437" s="8" t="s">
        <v>8</v>
      </c>
      <c r="B437" s="1" t="s">
        <v>0</v>
      </c>
      <c r="C437" s="1" t="s">
        <v>1</v>
      </c>
      <c r="D437" s="1" t="s">
        <v>5631</v>
      </c>
      <c r="E437" s="1" t="s">
        <v>5632</v>
      </c>
      <c r="F437" s="1" t="s">
        <v>5633</v>
      </c>
      <c r="H437" s="2" t="s">
        <v>8</v>
      </c>
      <c r="I437" s="2" t="s">
        <v>7</v>
      </c>
      <c r="J437" s="2" t="s">
        <v>8</v>
      </c>
      <c r="K437" s="2" t="s">
        <v>8</v>
      </c>
      <c r="L437" s="2" t="s">
        <v>9</v>
      </c>
      <c r="M437" s="1" t="s">
        <v>5634</v>
      </c>
      <c r="N437" s="1" t="s">
        <v>5635</v>
      </c>
      <c r="O437" s="2" t="s">
        <v>2044</v>
      </c>
      <c r="Q437" s="2" t="s">
        <v>12</v>
      </c>
      <c r="R437" s="2" t="s">
        <v>13</v>
      </c>
      <c r="S437" s="1" t="s">
        <v>5636</v>
      </c>
      <c r="T437" s="2" t="s">
        <v>14</v>
      </c>
      <c r="U437" s="3">
        <v>3</v>
      </c>
      <c r="V437" s="3">
        <v>3</v>
      </c>
      <c r="W437" s="4" t="s">
        <v>861</v>
      </c>
      <c r="X437" s="4" t="s">
        <v>861</v>
      </c>
      <c r="Y437" s="4" t="s">
        <v>5637</v>
      </c>
      <c r="Z437" s="4" t="s">
        <v>5637</v>
      </c>
      <c r="AA437" s="3">
        <v>252</v>
      </c>
      <c r="AB437" s="3">
        <v>214</v>
      </c>
      <c r="AC437" s="3">
        <v>214</v>
      </c>
      <c r="AD437" s="3">
        <v>3</v>
      </c>
      <c r="AE437" s="3">
        <v>3</v>
      </c>
      <c r="AF437" s="3">
        <v>31</v>
      </c>
      <c r="AG437" s="3">
        <v>31</v>
      </c>
      <c r="AH437" s="3">
        <v>11</v>
      </c>
      <c r="AI437" s="3">
        <v>11</v>
      </c>
      <c r="AJ437" s="3">
        <v>7</v>
      </c>
      <c r="AK437" s="3">
        <v>7</v>
      </c>
      <c r="AL437" s="3">
        <v>19</v>
      </c>
      <c r="AM437" s="3">
        <v>19</v>
      </c>
      <c r="AN437" s="3">
        <v>2</v>
      </c>
      <c r="AO437" s="3">
        <v>2</v>
      </c>
      <c r="AP437" s="3">
        <v>1</v>
      </c>
      <c r="AQ437" s="3">
        <v>1</v>
      </c>
      <c r="AR437" s="2" t="s">
        <v>8</v>
      </c>
      <c r="AS437" s="2" t="s">
        <v>8</v>
      </c>
      <c r="AU437" s="5" t="str">
        <f>HYPERLINK("https://creighton-primo.hosted.exlibrisgroup.com/primo-explore/search?tab=default_tab&amp;search_scope=EVERYTHING&amp;vid=01CRU&amp;lang=en_US&amp;offset=0&amp;query=any,contains,991000369909702656","Catalog Record")</f>
        <v>Catalog Record</v>
      </c>
      <c r="AV437" s="5" t="str">
        <f>HYPERLINK("http://www.worldcat.org/oclc/50447998","WorldCat Record")</f>
        <v>WorldCat Record</v>
      </c>
      <c r="AW437" s="2" t="s">
        <v>5638</v>
      </c>
      <c r="AX437" s="2" t="s">
        <v>5639</v>
      </c>
      <c r="AY437" s="2" t="s">
        <v>5640</v>
      </c>
      <c r="AZ437" s="2" t="s">
        <v>5640</v>
      </c>
      <c r="BA437" s="2" t="s">
        <v>5641</v>
      </c>
      <c r="BB437" s="2" t="s">
        <v>21</v>
      </c>
      <c r="BD437" s="2" t="s">
        <v>5642</v>
      </c>
      <c r="BE437" s="2" t="s">
        <v>5643</v>
      </c>
      <c r="BF437" s="2" t="s">
        <v>5644</v>
      </c>
    </row>
    <row r="438" spans="1:58" ht="42.75" customHeight="1" x14ac:dyDescent="0.25">
      <c r="A438" s="8" t="s">
        <v>8</v>
      </c>
      <c r="B438" s="1" t="s">
        <v>0</v>
      </c>
      <c r="C438" s="1" t="s">
        <v>1</v>
      </c>
      <c r="D438" s="1" t="s">
        <v>5645</v>
      </c>
      <c r="E438" s="1" t="s">
        <v>5646</v>
      </c>
      <c r="F438" s="1" t="s">
        <v>5647</v>
      </c>
      <c r="H438" s="2" t="s">
        <v>8</v>
      </c>
      <c r="I438" s="2" t="s">
        <v>7</v>
      </c>
      <c r="J438" s="2" t="s">
        <v>8</v>
      </c>
      <c r="K438" s="2" t="s">
        <v>8</v>
      </c>
      <c r="L438" s="2" t="s">
        <v>9</v>
      </c>
      <c r="N438" s="1" t="s">
        <v>5648</v>
      </c>
      <c r="O438" s="2" t="s">
        <v>1034</v>
      </c>
      <c r="Q438" s="2" t="s">
        <v>12</v>
      </c>
      <c r="R438" s="2" t="s">
        <v>1252</v>
      </c>
      <c r="T438" s="2" t="s">
        <v>14</v>
      </c>
      <c r="U438" s="3">
        <v>4</v>
      </c>
      <c r="V438" s="3">
        <v>4</v>
      </c>
      <c r="W438" s="4" t="s">
        <v>5649</v>
      </c>
      <c r="X438" s="4" t="s">
        <v>5649</v>
      </c>
      <c r="Y438" s="4" t="s">
        <v>4443</v>
      </c>
      <c r="Z438" s="4" t="s">
        <v>4443</v>
      </c>
      <c r="AA438" s="3">
        <v>4</v>
      </c>
      <c r="AB438" s="3">
        <v>4</v>
      </c>
      <c r="AC438" s="3">
        <v>87</v>
      </c>
      <c r="AD438" s="3">
        <v>1</v>
      </c>
      <c r="AE438" s="3">
        <v>3</v>
      </c>
      <c r="AF438" s="3">
        <v>0</v>
      </c>
      <c r="AG438" s="3">
        <v>4</v>
      </c>
      <c r="AH438" s="3">
        <v>0</v>
      </c>
      <c r="AI438" s="3">
        <v>0</v>
      </c>
      <c r="AJ438" s="3">
        <v>0</v>
      </c>
      <c r="AK438" s="3">
        <v>1</v>
      </c>
      <c r="AL438" s="3">
        <v>0</v>
      </c>
      <c r="AM438" s="3">
        <v>1</v>
      </c>
      <c r="AN438" s="3">
        <v>0</v>
      </c>
      <c r="AO438" s="3">
        <v>2</v>
      </c>
      <c r="AP438" s="3">
        <v>0</v>
      </c>
      <c r="AQ438" s="3">
        <v>0</v>
      </c>
      <c r="AR438" s="2" t="s">
        <v>8</v>
      </c>
      <c r="AS438" s="2" t="s">
        <v>8</v>
      </c>
      <c r="AU438" s="5" t="str">
        <f>HYPERLINK("https://creighton-primo.hosted.exlibrisgroup.com/primo-explore/search?tab=default_tab&amp;search_scope=EVERYTHING&amp;vid=01CRU&amp;lang=en_US&amp;offset=0&amp;query=any,contains,991001185449702656","Catalog Record")</f>
        <v>Catalog Record</v>
      </c>
      <c r="AV438" s="5" t="str">
        <f>HYPERLINK("http://www.worldcat.org/oclc/5022074","WorldCat Record")</f>
        <v>WorldCat Record</v>
      </c>
      <c r="AW438" s="2" t="s">
        <v>5650</v>
      </c>
      <c r="AX438" s="2" t="s">
        <v>5651</v>
      </c>
      <c r="AY438" s="2" t="s">
        <v>5652</v>
      </c>
      <c r="AZ438" s="2" t="s">
        <v>5652</v>
      </c>
      <c r="BA438" s="2" t="s">
        <v>5653</v>
      </c>
      <c r="BB438" s="2" t="s">
        <v>21</v>
      </c>
      <c r="BE438" s="2" t="s">
        <v>5654</v>
      </c>
      <c r="BF438" s="2" t="s">
        <v>5655</v>
      </c>
    </row>
    <row r="439" spans="1:58" ht="42.75" customHeight="1" x14ac:dyDescent="0.25">
      <c r="A439" s="8" t="s">
        <v>8</v>
      </c>
      <c r="B439" s="1" t="s">
        <v>0</v>
      </c>
      <c r="C439" s="1" t="s">
        <v>1</v>
      </c>
      <c r="D439" s="1" t="s">
        <v>5656</v>
      </c>
      <c r="E439" s="1" t="s">
        <v>5657</v>
      </c>
      <c r="F439" s="1" t="s">
        <v>5658</v>
      </c>
      <c r="H439" s="2" t="s">
        <v>8</v>
      </c>
      <c r="I439" s="2" t="s">
        <v>7</v>
      </c>
      <c r="J439" s="2" t="s">
        <v>8</v>
      </c>
      <c r="K439" s="2" t="s">
        <v>8</v>
      </c>
      <c r="L439" s="2" t="s">
        <v>9</v>
      </c>
      <c r="M439" s="1" t="s">
        <v>5659</v>
      </c>
      <c r="N439" s="1" t="s">
        <v>5660</v>
      </c>
      <c r="O439" s="2" t="s">
        <v>224</v>
      </c>
      <c r="Q439" s="2" t="s">
        <v>12</v>
      </c>
      <c r="R439" s="2" t="s">
        <v>13</v>
      </c>
      <c r="T439" s="2" t="s">
        <v>14</v>
      </c>
      <c r="U439" s="3">
        <v>10</v>
      </c>
      <c r="V439" s="3">
        <v>10</v>
      </c>
      <c r="W439" s="4" t="s">
        <v>5661</v>
      </c>
      <c r="X439" s="4" t="s">
        <v>5661</v>
      </c>
      <c r="Y439" s="4" t="s">
        <v>4443</v>
      </c>
      <c r="Z439" s="4" t="s">
        <v>4443</v>
      </c>
      <c r="AA439" s="3">
        <v>552</v>
      </c>
      <c r="AB439" s="3">
        <v>510</v>
      </c>
      <c r="AC439" s="3">
        <v>572</v>
      </c>
      <c r="AD439" s="3">
        <v>3</v>
      </c>
      <c r="AE439" s="3">
        <v>3</v>
      </c>
      <c r="AF439" s="3">
        <v>10</v>
      </c>
      <c r="AG439" s="3">
        <v>13</v>
      </c>
      <c r="AH439" s="3">
        <v>3</v>
      </c>
      <c r="AI439" s="3">
        <v>5</v>
      </c>
      <c r="AJ439" s="3">
        <v>5</v>
      </c>
      <c r="AK439" s="3">
        <v>5</v>
      </c>
      <c r="AL439" s="3">
        <v>4</v>
      </c>
      <c r="AM439" s="3">
        <v>6</v>
      </c>
      <c r="AN439" s="3">
        <v>1</v>
      </c>
      <c r="AO439" s="3">
        <v>1</v>
      </c>
      <c r="AP439" s="3">
        <v>0</v>
      </c>
      <c r="AQ439" s="3">
        <v>0</v>
      </c>
      <c r="AR439" s="2" t="s">
        <v>8</v>
      </c>
      <c r="AS439" s="2" t="s">
        <v>6</v>
      </c>
      <c r="AT439" s="5" t="str">
        <f>HYPERLINK("http://catalog.hathitrust.org/Record/000736961","HathiTrust Record")</f>
        <v>HathiTrust Record</v>
      </c>
      <c r="AU439" s="5" t="str">
        <f>HYPERLINK("https://creighton-primo.hosted.exlibrisgroup.com/primo-explore/search?tab=default_tab&amp;search_scope=EVERYTHING&amp;vid=01CRU&amp;lang=en_US&amp;offset=0&amp;query=any,contains,991001185489702656","Catalog Record")</f>
        <v>Catalog Record</v>
      </c>
      <c r="AV439" s="5" t="str">
        <f>HYPERLINK("http://www.worldcat.org/oclc/6278459","WorldCat Record")</f>
        <v>WorldCat Record</v>
      </c>
      <c r="AW439" s="2" t="s">
        <v>5662</v>
      </c>
      <c r="AX439" s="2" t="s">
        <v>5663</v>
      </c>
      <c r="AY439" s="2" t="s">
        <v>5664</v>
      </c>
      <c r="AZ439" s="2" t="s">
        <v>5664</v>
      </c>
      <c r="BA439" s="2" t="s">
        <v>5665</v>
      </c>
      <c r="BB439" s="2" t="s">
        <v>21</v>
      </c>
      <c r="BD439" s="2" t="s">
        <v>5666</v>
      </c>
      <c r="BE439" s="2" t="s">
        <v>5667</v>
      </c>
      <c r="BF439" s="2" t="s">
        <v>5668</v>
      </c>
    </row>
    <row r="440" spans="1:58" ht="42.75" customHeight="1" x14ac:dyDescent="0.25">
      <c r="A440" s="8" t="s">
        <v>8</v>
      </c>
      <c r="B440" s="1" t="s">
        <v>0</v>
      </c>
      <c r="C440" s="1" t="s">
        <v>1</v>
      </c>
      <c r="D440" s="1" t="s">
        <v>5669</v>
      </c>
      <c r="E440" s="1" t="s">
        <v>5670</v>
      </c>
      <c r="F440" s="1" t="s">
        <v>5671</v>
      </c>
      <c r="H440" s="2" t="s">
        <v>8</v>
      </c>
      <c r="I440" s="2" t="s">
        <v>7</v>
      </c>
      <c r="J440" s="2" t="s">
        <v>8</v>
      </c>
      <c r="K440" s="2" t="s">
        <v>8</v>
      </c>
      <c r="L440" s="2" t="s">
        <v>9</v>
      </c>
      <c r="M440" s="1" t="s">
        <v>5672</v>
      </c>
      <c r="N440" s="1" t="s">
        <v>5673</v>
      </c>
      <c r="O440" s="2" t="s">
        <v>266</v>
      </c>
      <c r="Q440" s="2" t="s">
        <v>12</v>
      </c>
      <c r="R440" s="2" t="s">
        <v>34</v>
      </c>
      <c r="S440" s="1" t="s">
        <v>4441</v>
      </c>
      <c r="T440" s="2" t="s">
        <v>14</v>
      </c>
      <c r="U440" s="3">
        <v>36</v>
      </c>
      <c r="V440" s="3">
        <v>36</v>
      </c>
      <c r="W440" s="4" t="s">
        <v>5674</v>
      </c>
      <c r="X440" s="4" t="s">
        <v>5674</v>
      </c>
      <c r="Y440" s="4" t="s">
        <v>4443</v>
      </c>
      <c r="Z440" s="4" t="s">
        <v>4443</v>
      </c>
      <c r="AA440" s="3">
        <v>259</v>
      </c>
      <c r="AB440" s="3">
        <v>219</v>
      </c>
      <c r="AC440" s="3">
        <v>224</v>
      </c>
      <c r="AD440" s="3">
        <v>1</v>
      </c>
      <c r="AE440" s="3">
        <v>1</v>
      </c>
      <c r="AF440" s="3">
        <v>12</v>
      </c>
      <c r="AG440" s="3">
        <v>12</v>
      </c>
      <c r="AH440" s="3">
        <v>4</v>
      </c>
      <c r="AI440" s="3">
        <v>4</v>
      </c>
      <c r="AJ440" s="3">
        <v>1</v>
      </c>
      <c r="AK440" s="3">
        <v>1</v>
      </c>
      <c r="AL440" s="3">
        <v>11</v>
      </c>
      <c r="AM440" s="3">
        <v>11</v>
      </c>
      <c r="AN440" s="3">
        <v>0</v>
      </c>
      <c r="AO440" s="3">
        <v>0</v>
      </c>
      <c r="AP440" s="3">
        <v>1</v>
      </c>
      <c r="AQ440" s="3">
        <v>1</v>
      </c>
      <c r="AR440" s="2" t="s">
        <v>8</v>
      </c>
      <c r="AS440" s="2" t="s">
        <v>8</v>
      </c>
      <c r="AU440" s="5" t="str">
        <f>HYPERLINK("https://creighton-primo.hosted.exlibrisgroup.com/primo-explore/search?tab=default_tab&amp;search_scope=EVERYTHING&amp;vid=01CRU&amp;lang=en_US&amp;offset=0&amp;query=any,contains,991001185719702656","Catalog Record")</f>
        <v>Catalog Record</v>
      </c>
      <c r="AV440" s="5" t="str">
        <f>HYPERLINK("http://www.worldcat.org/oclc/9488682","WorldCat Record")</f>
        <v>WorldCat Record</v>
      </c>
      <c r="AW440" s="2" t="s">
        <v>5675</v>
      </c>
      <c r="AX440" s="2" t="s">
        <v>5676</v>
      </c>
      <c r="AY440" s="2" t="s">
        <v>5677</v>
      </c>
      <c r="AZ440" s="2" t="s">
        <v>5677</v>
      </c>
      <c r="BA440" s="2" t="s">
        <v>5678</v>
      </c>
      <c r="BB440" s="2" t="s">
        <v>21</v>
      </c>
      <c r="BD440" s="2" t="s">
        <v>5679</v>
      </c>
      <c r="BE440" s="2" t="s">
        <v>5680</v>
      </c>
      <c r="BF440" s="2" t="s">
        <v>5681</v>
      </c>
    </row>
    <row r="441" spans="1:58" ht="42.75" customHeight="1" x14ac:dyDescent="0.25">
      <c r="A441" s="8" t="s">
        <v>8</v>
      </c>
      <c r="B441" s="1" t="s">
        <v>0</v>
      </c>
      <c r="C441" s="1" t="s">
        <v>1</v>
      </c>
      <c r="D441" s="1" t="s">
        <v>5682</v>
      </c>
      <c r="E441" s="1" t="s">
        <v>5683</v>
      </c>
      <c r="F441" s="1" t="s">
        <v>5684</v>
      </c>
      <c r="H441" s="2" t="s">
        <v>8</v>
      </c>
      <c r="I441" s="2" t="s">
        <v>7</v>
      </c>
      <c r="J441" s="2" t="s">
        <v>8</v>
      </c>
      <c r="K441" s="2" t="s">
        <v>8</v>
      </c>
      <c r="L441" s="2" t="s">
        <v>9</v>
      </c>
      <c r="M441" s="1" t="s">
        <v>5685</v>
      </c>
      <c r="N441" s="1" t="s">
        <v>4113</v>
      </c>
      <c r="O441" s="2" t="s">
        <v>298</v>
      </c>
      <c r="Q441" s="2" t="s">
        <v>12</v>
      </c>
      <c r="R441" s="2" t="s">
        <v>34</v>
      </c>
      <c r="T441" s="2" t="s">
        <v>14</v>
      </c>
      <c r="U441" s="3">
        <v>14</v>
      </c>
      <c r="V441" s="3">
        <v>14</v>
      </c>
      <c r="W441" s="4" t="s">
        <v>5686</v>
      </c>
      <c r="X441" s="4" t="s">
        <v>5686</v>
      </c>
      <c r="Y441" s="4" t="s">
        <v>1553</v>
      </c>
      <c r="Z441" s="4" t="s">
        <v>1553</v>
      </c>
      <c r="AA441" s="3">
        <v>475</v>
      </c>
      <c r="AB441" s="3">
        <v>395</v>
      </c>
      <c r="AC441" s="3">
        <v>399</v>
      </c>
      <c r="AD441" s="3">
        <v>4</v>
      </c>
      <c r="AE441" s="3">
        <v>4</v>
      </c>
      <c r="AF441" s="3">
        <v>34</v>
      </c>
      <c r="AG441" s="3">
        <v>34</v>
      </c>
      <c r="AH441" s="3">
        <v>14</v>
      </c>
      <c r="AI441" s="3">
        <v>14</v>
      </c>
      <c r="AJ441" s="3">
        <v>8</v>
      </c>
      <c r="AK441" s="3">
        <v>8</v>
      </c>
      <c r="AL441" s="3">
        <v>16</v>
      </c>
      <c r="AM441" s="3">
        <v>16</v>
      </c>
      <c r="AN441" s="3">
        <v>2</v>
      </c>
      <c r="AO441" s="3">
        <v>2</v>
      </c>
      <c r="AP441" s="3">
        <v>4</v>
      </c>
      <c r="AQ441" s="3">
        <v>4</v>
      </c>
      <c r="AR441" s="2" t="s">
        <v>8</v>
      </c>
      <c r="AS441" s="2" t="s">
        <v>6</v>
      </c>
      <c r="AT441" s="5" t="str">
        <f>HYPERLINK("http://catalog.hathitrust.org/Record/000836211","HathiTrust Record")</f>
        <v>HathiTrust Record</v>
      </c>
      <c r="AU441" s="5" t="str">
        <f>HYPERLINK("https://creighton-primo.hosted.exlibrisgroup.com/primo-explore/search?tab=default_tab&amp;search_scope=EVERYTHING&amp;vid=01CRU&amp;lang=en_US&amp;offset=0&amp;query=any,contains,991001535199702656","Catalog Record")</f>
        <v>Catalog Record</v>
      </c>
      <c r="AV441" s="5" t="str">
        <f>HYPERLINK("http://www.worldcat.org/oclc/14932241","WorldCat Record")</f>
        <v>WorldCat Record</v>
      </c>
      <c r="AW441" s="2" t="s">
        <v>5687</v>
      </c>
      <c r="AX441" s="2" t="s">
        <v>5688</v>
      </c>
      <c r="AY441" s="2" t="s">
        <v>5689</v>
      </c>
      <c r="AZ441" s="2" t="s">
        <v>5689</v>
      </c>
      <c r="BA441" s="2" t="s">
        <v>5690</v>
      </c>
      <c r="BB441" s="2" t="s">
        <v>21</v>
      </c>
      <c r="BD441" s="2" t="s">
        <v>5691</v>
      </c>
      <c r="BE441" s="2" t="s">
        <v>5692</v>
      </c>
      <c r="BF441" s="2" t="s">
        <v>5693</v>
      </c>
    </row>
    <row r="442" spans="1:58" ht="42.75" customHeight="1" x14ac:dyDescent="0.25">
      <c r="A442" s="8" t="s">
        <v>8</v>
      </c>
      <c r="B442" s="1" t="s">
        <v>0</v>
      </c>
      <c r="C442" s="1" t="s">
        <v>1</v>
      </c>
      <c r="D442" s="1" t="s">
        <v>5694</v>
      </c>
      <c r="E442" s="1" t="s">
        <v>5695</v>
      </c>
      <c r="F442" s="1" t="s">
        <v>5696</v>
      </c>
      <c r="H442" s="2" t="s">
        <v>8</v>
      </c>
      <c r="I442" s="2" t="s">
        <v>7</v>
      </c>
      <c r="J442" s="2" t="s">
        <v>8</v>
      </c>
      <c r="K442" s="2" t="s">
        <v>8</v>
      </c>
      <c r="L442" s="2" t="s">
        <v>9</v>
      </c>
      <c r="M442" s="1" t="s">
        <v>5697</v>
      </c>
      <c r="N442" s="1" t="s">
        <v>5698</v>
      </c>
      <c r="O442" s="2" t="s">
        <v>1060</v>
      </c>
      <c r="P442" s="1" t="s">
        <v>1225</v>
      </c>
      <c r="Q442" s="2" t="s">
        <v>12</v>
      </c>
      <c r="R442" s="2" t="s">
        <v>1170</v>
      </c>
      <c r="T442" s="2" t="s">
        <v>14</v>
      </c>
      <c r="U442" s="3">
        <v>20</v>
      </c>
      <c r="V442" s="3">
        <v>20</v>
      </c>
      <c r="W442" s="4" t="s">
        <v>1993</v>
      </c>
      <c r="X442" s="4" t="s">
        <v>1993</v>
      </c>
      <c r="Y442" s="4" t="s">
        <v>5699</v>
      </c>
      <c r="Z442" s="4" t="s">
        <v>5699</v>
      </c>
      <c r="AA442" s="3">
        <v>148</v>
      </c>
      <c r="AB442" s="3">
        <v>123</v>
      </c>
      <c r="AC442" s="3">
        <v>129</v>
      </c>
      <c r="AD442" s="3">
        <v>2</v>
      </c>
      <c r="AE442" s="3">
        <v>2</v>
      </c>
      <c r="AF442" s="3">
        <v>8</v>
      </c>
      <c r="AG442" s="3">
        <v>8</v>
      </c>
      <c r="AH442" s="3">
        <v>2</v>
      </c>
      <c r="AI442" s="3">
        <v>2</v>
      </c>
      <c r="AJ442" s="3">
        <v>1</v>
      </c>
      <c r="AK442" s="3">
        <v>1</v>
      </c>
      <c r="AL442" s="3">
        <v>6</v>
      </c>
      <c r="AM442" s="3">
        <v>6</v>
      </c>
      <c r="AN442" s="3">
        <v>1</v>
      </c>
      <c r="AO442" s="3">
        <v>1</v>
      </c>
      <c r="AP442" s="3">
        <v>0</v>
      </c>
      <c r="AQ442" s="3">
        <v>0</v>
      </c>
      <c r="AR442" s="2" t="s">
        <v>8</v>
      </c>
      <c r="AS442" s="2" t="s">
        <v>6</v>
      </c>
      <c r="AT442" s="5" t="str">
        <f>HYPERLINK("http://catalog.hathitrust.org/Record/101975389","HathiTrust Record")</f>
        <v>HathiTrust Record</v>
      </c>
      <c r="AU442" s="5" t="str">
        <f>HYPERLINK("https://creighton-primo.hosted.exlibrisgroup.com/primo-explore/search?tab=default_tab&amp;search_scope=EVERYTHING&amp;vid=01CRU&amp;lang=en_US&amp;offset=0&amp;query=any,contains,991001250019702656","Catalog Record")</f>
        <v>Catalog Record</v>
      </c>
      <c r="AV442" s="5" t="str">
        <f>HYPERLINK("http://www.worldcat.org/oclc/34192442","WorldCat Record")</f>
        <v>WorldCat Record</v>
      </c>
      <c r="AW442" s="2" t="s">
        <v>5700</v>
      </c>
      <c r="AX442" s="2" t="s">
        <v>5701</v>
      </c>
      <c r="AY442" s="2" t="s">
        <v>5702</v>
      </c>
      <c r="AZ442" s="2" t="s">
        <v>5702</v>
      </c>
      <c r="BA442" s="2" t="s">
        <v>5703</v>
      </c>
      <c r="BB442" s="2" t="s">
        <v>21</v>
      </c>
      <c r="BD442" s="2" t="s">
        <v>5704</v>
      </c>
      <c r="BE442" s="2" t="s">
        <v>5705</v>
      </c>
      <c r="BF442" s="2" t="s">
        <v>5706</v>
      </c>
    </row>
    <row r="443" spans="1:58" ht="42.75" customHeight="1" x14ac:dyDescent="0.25">
      <c r="A443" s="8" t="s">
        <v>8</v>
      </c>
      <c r="B443" s="1" t="s">
        <v>0</v>
      </c>
      <c r="C443" s="1" t="s">
        <v>1</v>
      </c>
      <c r="D443" s="1" t="s">
        <v>5707</v>
      </c>
      <c r="E443" s="1" t="s">
        <v>5708</v>
      </c>
      <c r="F443" s="1" t="s">
        <v>5709</v>
      </c>
      <c r="H443" s="2" t="s">
        <v>8</v>
      </c>
      <c r="I443" s="2" t="s">
        <v>7</v>
      </c>
      <c r="J443" s="2" t="s">
        <v>8</v>
      </c>
      <c r="K443" s="2" t="s">
        <v>6</v>
      </c>
      <c r="L443" s="2" t="s">
        <v>9</v>
      </c>
      <c r="M443" s="1" t="s">
        <v>5710</v>
      </c>
      <c r="N443" s="1" t="s">
        <v>5711</v>
      </c>
      <c r="O443" s="2" t="s">
        <v>731</v>
      </c>
      <c r="P443" s="1" t="s">
        <v>732</v>
      </c>
      <c r="Q443" s="2" t="s">
        <v>12</v>
      </c>
      <c r="R443" s="2" t="s">
        <v>577</v>
      </c>
      <c r="T443" s="2" t="s">
        <v>14</v>
      </c>
      <c r="U443" s="3">
        <v>31</v>
      </c>
      <c r="V443" s="3">
        <v>31</v>
      </c>
      <c r="W443" s="4" t="s">
        <v>5712</v>
      </c>
      <c r="X443" s="4" t="s">
        <v>5712</v>
      </c>
      <c r="Y443" s="4" t="s">
        <v>1994</v>
      </c>
      <c r="Z443" s="4" t="s">
        <v>1994</v>
      </c>
      <c r="AA443" s="3">
        <v>94</v>
      </c>
      <c r="AB443" s="3">
        <v>72</v>
      </c>
      <c r="AC443" s="3">
        <v>552</v>
      </c>
      <c r="AD443" s="3">
        <v>1</v>
      </c>
      <c r="AE443" s="3">
        <v>5</v>
      </c>
      <c r="AF443" s="3">
        <v>4</v>
      </c>
      <c r="AG443" s="3">
        <v>25</v>
      </c>
      <c r="AH443" s="3">
        <v>2</v>
      </c>
      <c r="AI443" s="3">
        <v>11</v>
      </c>
      <c r="AJ443" s="3">
        <v>1</v>
      </c>
      <c r="AK443" s="3">
        <v>5</v>
      </c>
      <c r="AL443" s="3">
        <v>4</v>
      </c>
      <c r="AM443" s="3">
        <v>13</v>
      </c>
      <c r="AN443" s="3">
        <v>0</v>
      </c>
      <c r="AO443" s="3">
        <v>3</v>
      </c>
      <c r="AP443" s="3">
        <v>0</v>
      </c>
      <c r="AQ443" s="3">
        <v>0</v>
      </c>
      <c r="AR443" s="2" t="s">
        <v>8</v>
      </c>
      <c r="AS443" s="2" t="s">
        <v>6</v>
      </c>
      <c r="AT443" s="5" t="str">
        <f>HYPERLINK("http://catalog.hathitrust.org/Record/004117586","HathiTrust Record")</f>
        <v>HathiTrust Record</v>
      </c>
      <c r="AU443" s="5" t="str">
        <f>HYPERLINK("https://creighton-primo.hosted.exlibrisgroup.com/primo-explore/search?tab=default_tab&amp;search_scope=EVERYTHING&amp;vid=01CRU&amp;lang=en_US&amp;offset=0&amp;query=any,contains,991001564029702656","Catalog Record")</f>
        <v>Catalog Record</v>
      </c>
      <c r="AV443" s="5" t="str">
        <f>HYPERLINK("http://www.worldcat.org/oclc/37282488","WorldCat Record")</f>
        <v>WorldCat Record</v>
      </c>
      <c r="AW443" s="2" t="s">
        <v>5713</v>
      </c>
      <c r="AX443" s="2" t="s">
        <v>5714</v>
      </c>
      <c r="AY443" s="2" t="s">
        <v>5715</v>
      </c>
      <c r="AZ443" s="2" t="s">
        <v>5715</v>
      </c>
      <c r="BA443" s="2" t="s">
        <v>5716</v>
      </c>
      <c r="BB443" s="2" t="s">
        <v>21</v>
      </c>
      <c r="BD443" s="2" t="s">
        <v>5717</v>
      </c>
      <c r="BE443" s="2" t="s">
        <v>5718</v>
      </c>
      <c r="BF443" s="2" t="s">
        <v>5719</v>
      </c>
    </row>
    <row r="444" spans="1:58" ht="42.75" customHeight="1" x14ac:dyDescent="0.25">
      <c r="A444" s="8" t="s">
        <v>8</v>
      </c>
      <c r="B444" s="1" t="s">
        <v>0</v>
      </c>
      <c r="C444" s="1" t="s">
        <v>1</v>
      </c>
      <c r="D444" s="1" t="s">
        <v>5720</v>
      </c>
      <c r="E444" s="1" t="s">
        <v>5721</v>
      </c>
      <c r="F444" s="1" t="s">
        <v>5722</v>
      </c>
      <c r="H444" s="2" t="s">
        <v>8</v>
      </c>
      <c r="I444" s="2" t="s">
        <v>7</v>
      </c>
      <c r="J444" s="2" t="s">
        <v>8</v>
      </c>
      <c r="K444" s="2" t="s">
        <v>8</v>
      </c>
      <c r="L444" s="2" t="s">
        <v>9</v>
      </c>
      <c r="M444" s="1" t="s">
        <v>5723</v>
      </c>
      <c r="N444" s="1" t="s">
        <v>5724</v>
      </c>
      <c r="O444" s="2" t="s">
        <v>67</v>
      </c>
      <c r="Q444" s="2" t="s">
        <v>12</v>
      </c>
      <c r="R444" s="2" t="s">
        <v>774</v>
      </c>
      <c r="T444" s="2" t="s">
        <v>14</v>
      </c>
      <c r="U444" s="3">
        <v>10</v>
      </c>
      <c r="V444" s="3">
        <v>10</v>
      </c>
      <c r="W444" s="4" t="s">
        <v>5725</v>
      </c>
      <c r="X444" s="4" t="s">
        <v>5725</v>
      </c>
      <c r="Y444" s="4" t="s">
        <v>4443</v>
      </c>
      <c r="Z444" s="4" t="s">
        <v>4443</v>
      </c>
      <c r="AA444" s="3">
        <v>88</v>
      </c>
      <c r="AB444" s="3">
        <v>88</v>
      </c>
      <c r="AC444" s="3">
        <v>88</v>
      </c>
      <c r="AD444" s="3">
        <v>2</v>
      </c>
      <c r="AE444" s="3">
        <v>2</v>
      </c>
      <c r="AF444" s="3">
        <v>7</v>
      </c>
      <c r="AG444" s="3">
        <v>7</v>
      </c>
      <c r="AH444" s="3">
        <v>3</v>
      </c>
      <c r="AI444" s="3">
        <v>3</v>
      </c>
      <c r="AJ444" s="3">
        <v>1</v>
      </c>
      <c r="AK444" s="3">
        <v>1</v>
      </c>
      <c r="AL444" s="3">
        <v>5</v>
      </c>
      <c r="AM444" s="3">
        <v>5</v>
      </c>
      <c r="AN444" s="3">
        <v>1</v>
      </c>
      <c r="AO444" s="3">
        <v>1</v>
      </c>
      <c r="AP444" s="3">
        <v>0</v>
      </c>
      <c r="AQ444" s="3">
        <v>0</v>
      </c>
      <c r="AR444" s="2" t="s">
        <v>8</v>
      </c>
      <c r="AS444" s="2" t="s">
        <v>8</v>
      </c>
      <c r="AU444" s="5" t="str">
        <f>HYPERLINK("https://creighton-primo.hosted.exlibrisgroup.com/primo-explore/search?tab=default_tab&amp;search_scope=EVERYTHING&amp;vid=01CRU&amp;lang=en_US&amp;offset=0&amp;query=any,contains,991001206629702656","Catalog Record")</f>
        <v>Catalog Record</v>
      </c>
      <c r="AV444" s="5" t="str">
        <f>HYPERLINK("http://www.worldcat.org/oclc/11850856","WorldCat Record")</f>
        <v>WorldCat Record</v>
      </c>
      <c r="AW444" s="2" t="s">
        <v>5726</v>
      </c>
      <c r="AX444" s="2" t="s">
        <v>5727</v>
      </c>
      <c r="AY444" s="2" t="s">
        <v>5728</v>
      </c>
      <c r="AZ444" s="2" t="s">
        <v>5728</v>
      </c>
      <c r="BA444" s="2" t="s">
        <v>5729</v>
      </c>
      <c r="BB444" s="2" t="s">
        <v>21</v>
      </c>
      <c r="BD444" s="2" t="s">
        <v>5730</v>
      </c>
      <c r="BE444" s="2" t="s">
        <v>5731</v>
      </c>
      <c r="BF444" s="2" t="s">
        <v>5732</v>
      </c>
    </row>
    <row r="445" spans="1:58" ht="42.75" customHeight="1" x14ac:dyDescent="0.25">
      <c r="A445" s="8" t="s">
        <v>8</v>
      </c>
      <c r="B445" s="1" t="s">
        <v>0</v>
      </c>
      <c r="C445" s="1" t="s">
        <v>1</v>
      </c>
      <c r="D445" s="1" t="s">
        <v>5733</v>
      </c>
      <c r="E445" s="1" t="s">
        <v>5734</v>
      </c>
      <c r="F445" s="1" t="s">
        <v>5735</v>
      </c>
      <c r="H445" s="2" t="s">
        <v>8</v>
      </c>
      <c r="I445" s="2" t="s">
        <v>7</v>
      </c>
      <c r="J445" s="2" t="s">
        <v>8</v>
      </c>
      <c r="K445" s="2" t="s">
        <v>8</v>
      </c>
      <c r="L445" s="2" t="s">
        <v>9</v>
      </c>
      <c r="M445" s="1" t="s">
        <v>5736</v>
      </c>
      <c r="N445" s="1" t="s">
        <v>5737</v>
      </c>
      <c r="O445" s="2" t="s">
        <v>208</v>
      </c>
      <c r="Q445" s="2" t="s">
        <v>12</v>
      </c>
      <c r="R445" s="2" t="s">
        <v>643</v>
      </c>
      <c r="S445" s="1" t="s">
        <v>5738</v>
      </c>
      <c r="T445" s="2" t="s">
        <v>14</v>
      </c>
      <c r="U445" s="3">
        <v>6</v>
      </c>
      <c r="V445" s="3">
        <v>6</v>
      </c>
      <c r="W445" s="4" t="s">
        <v>5739</v>
      </c>
      <c r="X445" s="4" t="s">
        <v>5739</v>
      </c>
      <c r="Y445" s="4" t="s">
        <v>4443</v>
      </c>
      <c r="Z445" s="4" t="s">
        <v>4443</v>
      </c>
      <c r="AA445" s="3">
        <v>1001</v>
      </c>
      <c r="AB445" s="3">
        <v>721</v>
      </c>
      <c r="AC445" s="3">
        <v>763</v>
      </c>
      <c r="AD445" s="3">
        <v>5</v>
      </c>
      <c r="AE445" s="3">
        <v>6</v>
      </c>
      <c r="AF445" s="3">
        <v>32</v>
      </c>
      <c r="AG445" s="3">
        <v>35</v>
      </c>
      <c r="AH445" s="3">
        <v>9</v>
      </c>
      <c r="AI445" s="3">
        <v>9</v>
      </c>
      <c r="AJ445" s="3">
        <v>9</v>
      </c>
      <c r="AK445" s="3">
        <v>9</v>
      </c>
      <c r="AL445" s="3">
        <v>16</v>
      </c>
      <c r="AM445" s="3">
        <v>16</v>
      </c>
      <c r="AN445" s="3">
        <v>4</v>
      </c>
      <c r="AO445" s="3">
        <v>5</v>
      </c>
      <c r="AP445" s="3">
        <v>2</v>
      </c>
      <c r="AQ445" s="3">
        <v>4</v>
      </c>
      <c r="AR445" s="2" t="s">
        <v>8</v>
      </c>
      <c r="AS445" s="2" t="s">
        <v>6</v>
      </c>
      <c r="AT445" s="5" t="str">
        <f>HYPERLINK("http://catalog.hathitrust.org/Record/000090587","HathiTrust Record")</f>
        <v>HathiTrust Record</v>
      </c>
      <c r="AU445" s="5" t="str">
        <f>HYPERLINK("https://creighton-primo.hosted.exlibrisgroup.com/primo-explore/search?tab=default_tab&amp;search_scope=EVERYTHING&amp;vid=01CRU&amp;lang=en_US&amp;offset=0&amp;query=any,contains,991001185759702656","Catalog Record")</f>
        <v>Catalog Record</v>
      </c>
      <c r="AV445" s="5" t="str">
        <f>HYPERLINK("http://www.worldcat.org/oclc/4468071","WorldCat Record")</f>
        <v>WorldCat Record</v>
      </c>
      <c r="AW445" s="2" t="s">
        <v>5740</v>
      </c>
      <c r="AX445" s="2" t="s">
        <v>5741</v>
      </c>
      <c r="AY445" s="2" t="s">
        <v>5742</v>
      </c>
      <c r="AZ445" s="2" t="s">
        <v>5742</v>
      </c>
      <c r="BA445" s="2" t="s">
        <v>5743</v>
      </c>
      <c r="BB445" s="2" t="s">
        <v>21</v>
      </c>
      <c r="BD445" s="2" t="s">
        <v>5744</v>
      </c>
      <c r="BE445" s="2" t="s">
        <v>5745</v>
      </c>
      <c r="BF445" s="2" t="s">
        <v>5746</v>
      </c>
    </row>
    <row r="446" spans="1:58" ht="42.75" customHeight="1" x14ac:dyDescent="0.25">
      <c r="A446" s="8" t="s">
        <v>8</v>
      </c>
      <c r="B446" s="1" t="s">
        <v>0</v>
      </c>
      <c r="C446" s="1" t="s">
        <v>1</v>
      </c>
      <c r="D446" s="1" t="s">
        <v>5747</v>
      </c>
      <c r="E446" s="1" t="s">
        <v>5748</v>
      </c>
      <c r="F446" s="1" t="s">
        <v>5749</v>
      </c>
      <c r="H446" s="2" t="s">
        <v>8</v>
      </c>
      <c r="I446" s="2" t="s">
        <v>7</v>
      </c>
      <c r="J446" s="2" t="s">
        <v>8</v>
      </c>
      <c r="K446" s="2" t="s">
        <v>8</v>
      </c>
      <c r="L446" s="2" t="s">
        <v>9</v>
      </c>
      <c r="M446" s="1" t="s">
        <v>5750</v>
      </c>
      <c r="N446" s="1" t="s">
        <v>5751</v>
      </c>
      <c r="O446" s="2" t="s">
        <v>440</v>
      </c>
      <c r="P446" s="1" t="s">
        <v>1225</v>
      </c>
      <c r="Q446" s="2" t="s">
        <v>12</v>
      </c>
      <c r="R446" s="2" t="s">
        <v>5752</v>
      </c>
      <c r="T446" s="2" t="s">
        <v>14</v>
      </c>
      <c r="U446" s="3">
        <v>2</v>
      </c>
      <c r="V446" s="3">
        <v>2</v>
      </c>
      <c r="W446" s="4" t="s">
        <v>5753</v>
      </c>
      <c r="X446" s="4" t="s">
        <v>5753</v>
      </c>
      <c r="Y446" s="4" t="s">
        <v>1254</v>
      </c>
      <c r="Z446" s="4" t="s">
        <v>1254</v>
      </c>
      <c r="AA446" s="3">
        <v>44</v>
      </c>
      <c r="AB446" s="3">
        <v>31</v>
      </c>
      <c r="AC446" s="3">
        <v>31</v>
      </c>
      <c r="AD446" s="3">
        <v>1</v>
      </c>
      <c r="AE446" s="3">
        <v>1</v>
      </c>
      <c r="AF446" s="3">
        <v>8</v>
      </c>
      <c r="AG446" s="3">
        <v>8</v>
      </c>
      <c r="AH446" s="3">
        <v>2</v>
      </c>
      <c r="AI446" s="3">
        <v>2</v>
      </c>
      <c r="AJ446" s="3">
        <v>2</v>
      </c>
      <c r="AK446" s="3">
        <v>2</v>
      </c>
      <c r="AL446" s="3">
        <v>6</v>
      </c>
      <c r="AM446" s="3">
        <v>6</v>
      </c>
      <c r="AN446" s="3">
        <v>0</v>
      </c>
      <c r="AO446" s="3">
        <v>0</v>
      </c>
      <c r="AP446" s="3">
        <v>0</v>
      </c>
      <c r="AQ446" s="3">
        <v>0</v>
      </c>
      <c r="AR446" s="2" t="s">
        <v>8</v>
      </c>
      <c r="AS446" s="2" t="s">
        <v>8</v>
      </c>
      <c r="AU446" s="5" t="str">
        <f>HYPERLINK("https://creighton-primo.hosted.exlibrisgroup.com/primo-explore/search?tab=default_tab&amp;search_scope=EVERYTHING&amp;vid=01CRU&amp;lang=en_US&amp;offset=0&amp;query=any,contains,991001185799702656","Catalog Record")</f>
        <v>Catalog Record</v>
      </c>
      <c r="AV446" s="5" t="str">
        <f>HYPERLINK("http://www.worldcat.org/oclc/2774517","WorldCat Record")</f>
        <v>WorldCat Record</v>
      </c>
      <c r="AW446" s="2" t="s">
        <v>5754</v>
      </c>
      <c r="AX446" s="2" t="s">
        <v>5755</v>
      </c>
      <c r="AY446" s="2" t="s">
        <v>5756</v>
      </c>
      <c r="AZ446" s="2" t="s">
        <v>5756</v>
      </c>
      <c r="BA446" s="2" t="s">
        <v>5757</v>
      </c>
      <c r="BB446" s="2" t="s">
        <v>21</v>
      </c>
      <c r="BE446" s="2" t="s">
        <v>5758</v>
      </c>
      <c r="BF446" s="2" t="s">
        <v>5759</v>
      </c>
    </row>
    <row r="447" spans="1:58" ht="42.75" customHeight="1" x14ac:dyDescent="0.25">
      <c r="A447" s="8" t="s">
        <v>8</v>
      </c>
      <c r="B447" s="1" t="s">
        <v>0</v>
      </c>
      <c r="C447" s="1" t="s">
        <v>1</v>
      </c>
      <c r="D447" s="1" t="s">
        <v>5760</v>
      </c>
      <c r="E447" s="1" t="s">
        <v>5761</v>
      </c>
      <c r="F447" s="1" t="s">
        <v>5762</v>
      </c>
      <c r="H447" s="2" t="s">
        <v>8</v>
      </c>
      <c r="I447" s="2" t="s">
        <v>7</v>
      </c>
      <c r="J447" s="2" t="s">
        <v>8</v>
      </c>
      <c r="K447" s="2" t="s">
        <v>8</v>
      </c>
      <c r="L447" s="2" t="s">
        <v>9</v>
      </c>
      <c r="M447" s="1" t="s">
        <v>5763</v>
      </c>
      <c r="N447" s="1" t="s">
        <v>5764</v>
      </c>
      <c r="O447" s="2" t="s">
        <v>67</v>
      </c>
      <c r="Q447" s="2" t="s">
        <v>12</v>
      </c>
      <c r="R447" s="2" t="s">
        <v>34</v>
      </c>
      <c r="T447" s="2" t="s">
        <v>14</v>
      </c>
      <c r="U447" s="3">
        <v>36</v>
      </c>
      <c r="V447" s="3">
        <v>36</v>
      </c>
      <c r="W447" s="4" t="s">
        <v>5765</v>
      </c>
      <c r="X447" s="4" t="s">
        <v>5765</v>
      </c>
      <c r="Y447" s="4" t="s">
        <v>4443</v>
      </c>
      <c r="Z447" s="4" t="s">
        <v>4443</v>
      </c>
      <c r="AA447" s="3">
        <v>231</v>
      </c>
      <c r="AB447" s="3">
        <v>193</v>
      </c>
      <c r="AC447" s="3">
        <v>200</v>
      </c>
      <c r="AD447" s="3">
        <v>1</v>
      </c>
      <c r="AE447" s="3">
        <v>1</v>
      </c>
      <c r="AF447" s="3">
        <v>10</v>
      </c>
      <c r="AG447" s="3">
        <v>10</v>
      </c>
      <c r="AH447" s="3">
        <v>3</v>
      </c>
      <c r="AI447" s="3">
        <v>3</v>
      </c>
      <c r="AJ447" s="3">
        <v>1</v>
      </c>
      <c r="AK447" s="3">
        <v>1</v>
      </c>
      <c r="AL447" s="3">
        <v>7</v>
      </c>
      <c r="AM447" s="3">
        <v>7</v>
      </c>
      <c r="AN447" s="3">
        <v>0</v>
      </c>
      <c r="AO447" s="3">
        <v>0</v>
      </c>
      <c r="AP447" s="3">
        <v>1</v>
      </c>
      <c r="AQ447" s="3">
        <v>1</v>
      </c>
      <c r="AR447" s="2" t="s">
        <v>8</v>
      </c>
      <c r="AS447" s="2" t="s">
        <v>6</v>
      </c>
      <c r="AT447" s="5" t="str">
        <f>HYPERLINK("http://catalog.hathitrust.org/Record/000469884","HathiTrust Record")</f>
        <v>HathiTrust Record</v>
      </c>
      <c r="AU447" s="5" t="str">
        <f>HYPERLINK("https://creighton-primo.hosted.exlibrisgroup.com/primo-explore/search?tab=default_tab&amp;search_scope=EVERYTHING&amp;vid=01CRU&amp;lang=en_US&amp;offset=0&amp;query=any,contains,991001185989702656","Catalog Record")</f>
        <v>Catalog Record</v>
      </c>
      <c r="AV447" s="5" t="str">
        <f>HYPERLINK("http://www.worldcat.org/oclc/11785085","WorldCat Record")</f>
        <v>WorldCat Record</v>
      </c>
      <c r="AW447" s="2" t="s">
        <v>5766</v>
      </c>
      <c r="AX447" s="2" t="s">
        <v>5767</v>
      </c>
      <c r="AY447" s="2" t="s">
        <v>5768</v>
      </c>
      <c r="AZ447" s="2" t="s">
        <v>5768</v>
      </c>
      <c r="BA447" s="2" t="s">
        <v>5769</v>
      </c>
      <c r="BB447" s="2" t="s">
        <v>21</v>
      </c>
      <c r="BD447" s="2" t="s">
        <v>5770</v>
      </c>
      <c r="BE447" s="2" t="s">
        <v>5771</v>
      </c>
      <c r="BF447" s="2" t="s">
        <v>5772</v>
      </c>
    </row>
    <row r="448" spans="1:58" ht="42.75" customHeight="1" x14ac:dyDescent="0.25">
      <c r="A448" s="8" t="s">
        <v>8</v>
      </c>
      <c r="B448" s="1" t="s">
        <v>0</v>
      </c>
      <c r="C448" s="1" t="s">
        <v>1</v>
      </c>
      <c r="D448" s="1" t="s">
        <v>5773</v>
      </c>
      <c r="E448" s="1" t="s">
        <v>5774</v>
      </c>
      <c r="F448" s="1" t="s">
        <v>5775</v>
      </c>
      <c r="H448" s="2" t="s">
        <v>8</v>
      </c>
      <c r="I448" s="2" t="s">
        <v>7</v>
      </c>
      <c r="J448" s="2" t="s">
        <v>6</v>
      </c>
      <c r="K448" s="2" t="s">
        <v>8</v>
      </c>
      <c r="L448" s="2" t="s">
        <v>9</v>
      </c>
      <c r="N448" s="1" t="s">
        <v>5776</v>
      </c>
      <c r="O448" s="2" t="s">
        <v>298</v>
      </c>
      <c r="Q448" s="2" t="s">
        <v>12</v>
      </c>
      <c r="R448" s="2" t="s">
        <v>34</v>
      </c>
      <c r="T448" s="2" t="s">
        <v>14</v>
      </c>
      <c r="U448" s="3">
        <v>9</v>
      </c>
      <c r="V448" s="3">
        <v>9</v>
      </c>
      <c r="W448" s="4" t="s">
        <v>5777</v>
      </c>
      <c r="X448" s="4" t="s">
        <v>5777</v>
      </c>
      <c r="Y448" s="4" t="s">
        <v>5778</v>
      </c>
      <c r="Z448" s="4" t="s">
        <v>5778</v>
      </c>
      <c r="AA448" s="3">
        <v>784</v>
      </c>
      <c r="AB448" s="3">
        <v>706</v>
      </c>
      <c r="AC448" s="3">
        <v>768</v>
      </c>
      <c r="AD448" s="3">
        <v>4</v>
      </c>
      <c r="AE448" s="3">
        <v>4</v>
      </c>
      <c r="AF448" s="3">
        <v>42</v>
      </c>
      <c r="AG448" s="3">
        <v>44</v>
      </c>
      <c r="AH448" s="3">
        <v>10</v>
      </c>
      <c r="AI448" s="3">
        <v>10</v>
      </c>
      <c r="AJ448" s="3">
        <v>6</v>
      </c>
      <c r="AK448" s="3">
        <v>6</v>
      </c>
      <c r="AL448" s="3">
        <v>15</v>
      </c>
      <c r="AM448" s="3">
        <v>16</v>
      </c>
      <c r="AN448" s="3">
        <v>1</v>
      </c>
      <c r="AO448" s="3">
        <v>1</v>
      </c>
      <c r="AP448" s="3">
        <v>17</v>
      </c>
      <c r="AQ448" s="3">
        <v>18</v>
      </c>
      <c r="AR448" s="2" t="s">
        <v>8</v>
      </c>
      <c r="AS448" s="2" t="s">
        <v>6</v>
      </c>
      <c r="AT448" s="5" t="str">
        <f>HYPERLINK("http://catalog.hathitrust.org/Record/000843319","HathiTrust Record")</f>
        <v>HathiTrust Record</v>
      </c>
      <c r="AU448" s="5" t="str">
        <f>HYPERLINK("https://creighton-primo.hosted.exlibrisgroup.com/primo-explore/search?tab=default_tab&amp;search_scope=EVERYTHING&amp;vid=01CRU&amp;lang=en_US&amp;offset=0&amp;query=any,contains,991001533249702656","Catalog Record")</f>
        <v>Catalog Record</v>
      </c>
      <c r="AV448" s="5" t="str">
        <f>HYPERLINK("http://www.worldcat.org/oclc/16683299","WorldCat Record")</f>
        <v>WorldCat Record</v>
      </c>
      <c r="AW448" s="2" t="s">
        <v>5779</v>
      </c>
      <c r="AX448" s="2" t="s">
        <v>5780</v>
      </c>
      <c r="AY448" s="2" t="s">
        <v>5781</v>
      </c>
      <c r="AZ448" s="2" t="s">
        <v>5781</v>
      </c>
      <c r="BA448" s="2" t="s">
        <v>5782</v>
      </c>
      <c r="BB448" s="2" t="s">
        <v>21</v>
      </c>
      <c r="BD448" s="2" t="s">
        <v>5783</v>
      </c>
      <c r="BE448" s="2" t="s">
        <v>5784</v>
      </c>
      <c r="BF448" s="2" t="s">
        <v>5785</v>
      </c>
    </row>
    <row r="449" spans="1:58" ht="42.75" customHeight="1" x14ac:dyDescent="0.25">
      <c r="A449" s="8" t="s">
        <v>8</v>
      </c>
      <c r="B449" s="1" t="s">
        <v>0</v>
      </c>
      <c r="C449" s="1" t="s">
        <v>1</v>
      </c>
      <c r="D449" s="1" t="s">
        <v>5786</v>
      </c>
      <c r="E449" s="1" t="s">
        <v>5787</v>
      </c>
      <c r="F449" s="1" t="s">
        <v>5788</v>
      </c>
      <c r="H449" s="2" t="s">
        <v>8</v>
      </c>
      <c r="I449" s="2" t="s">
        <v>7</v>
      </c>
      <c r="J449" s="2" t="s">
        <v>8</v>
      </c>
      <c r="K449" s="2" t="s">
        <v>8</v>
      </c>
      <c r="L449" s="2" t="s">
        <v>9</v>
      </c>
      <c r="M449" s="1" t="s">
        <v>5789</v>
      </c>
      <c r="N449" s="1" t="s">
        <v>5790</v>
      </c>
      <c r="O449" s="2" t="s">
        <v>627</v>
      </c>
      <c r="Q449" s="2" t="s">
        <v>12</v>
      </c>
      <c r="R449" s="2" t="s">
        <v>5791</v>
      </c>
      <c r="T449" s="2" t="s">
        <v>14</v>
      </c>
      <c r="U449" s="3">
        <v>13</v>
      </c>
      <c r="V449" s="3">
        <v>13</v>
      </c>
      <c r="W449" s="4" t="s">
        <v>5792</v>
      </c>
      <c r="X449" s="4" t="s">
        <v>5792</v>
      </c>
      <c r="Y449" s="4" t="s">
        <v>5793</v>
      </c>
      <c r="Z449" s="4" t="s">
        <v>5793</v>
      </c>
      <c r="AA449" s="3">
        <v>132</v>
      </c>
      <c r="AB449" s="3">
        <v>121</v>
      </c>
      <c r="AC449" s="3">
        <v>232</v>
      </c>
      <c r="AD449" s="3">
        <v>1</v>
      </c>
      <c r="AE449" s="3">
        <v>1</v>
      </c>
      <c r="AF449" s="3">
        <v>11</v>
      </c>
      <c r="AG449" s="3">
        <v>19</v>
      </c>
      <c r="AH449" s="3">
        <v>2</v>
      </c>
      <c r="AI449" s="3">
        <v>5</v>
      </c>
      <c r="AJ449" s="3">
        <v>1</v>
      </c>
      <c r="AK449" s="3">
        <v>3</v>
      </c>
      <c r="AL449" s="3">
        <v>9</v>
      </c>
      <c r="AM449" s="3">
        <v>13</v>
      </c>
      <c r="AN449" s="3">
        <v>0</v>
      </c>
      <c r="AO449" s="3">
        <v>0</v>
      </c>
      <c r="AP449" s="3">
        <v>0</v>
      </c>
      <c r="AQ449" s="3">
        <v>2</v>
      </c>
      <c r="AR449" s="2" t="s">
        <v>8</v>
      </c>
      <c r="AS449" s="2" t="s">
        <v>8</v>
      </c>
      <c r="AU449" s="5" t="str">
        <f>HYPERLINK("https://creighton-primo.hosted.exlibrisgroup.com/primo-explore/search?tab=default_tab&amp;search_scope=EVERYTHING&amp;vid=01CRU&amp;lang=en_US&amp;offset=0&amp;query=any,contains,991001313599702656","Catalog Record")</f>
        <v>Catalog Record</v>
      </c>
      <c r="AV449" s="5" t="str">
        <f>HYPERLINK("http://www.worldcat.org/oclc/21198231","WorldCat Record")</f>
        <v>WorldCat Record</v>
      </c>
      <c r="AW449" s="2" t="s">
        <v>5794</v>
      </c>
      <c r="AX449" s="2" t="s">
        <v>5795</v>
      </c>
      <c r="AY449" s="2" t="s">
        <v>5796</v>
      </c>
      <c r="AZ449" s="2" t="s">
        <v>5796</v>
      </c>
      <c r="BA449" s="2" t="s">
        <v>5797</v>
      </c>
      <c r="BB449" s="2" t="s">
        <v>21</v>
      </c>
      <c r="BD449" s="2" t="s">
        <v>5798</v>
      </c>
      <c r="BE449" s="2" t="s">
        <v>5799</v>
      </c>
      <c r="BF449" s="2" t="s">
        <v>5800</v>
      </c>
    </row>
    <row r="450" spans="1:58" ht="42.75" customHeight="1" x14ac:dyDescent="0.25">
      <c r="A450" s="8" t="s">
        <v>8</v>
      </c>
      <c r="B450" s="1" t="s">
        <v>0</v>
      </c>
      <c r="C450" s="1" t="s">
        <v>1</v>
      </c>
      <c r="D450" s="1" t="s">
        <v>5801</v>
      </c>
      <c r="E450" s="1" t="s">
        <v>5802</v>
      </c>
      <c r="F450" s="1" t="s">
        <v>5803</v>
      </c>
      <c r="H450" s="2" t="s">
        <v>8</v>
      </c>
      <c r="I450" s="2" t="s">
        <v>7</v>
      </c>
      <c r="J450" s="2" t="s">
        <v>6</v>
      </c>
      <c r="K450" s="2" t="s">
        <v>6</v>
      </c>
      <c r="L450" s="2" t="s">
        <v>9</v>
      </c>
      <c r="M450" s="1" t="s">
        <v>5804</v>
      </c>
      <c r="N450" s="1" t="s">
        <v>5805</v>
      </c>
      <c r="O450" s="2" t="s">
        <v>589</v>
      </c>
      <c r="Q450" s="2" t="s">
        <v>12</v>
      </c>
      <c r="R450" s="2" t="s">
        <v>5806</v>
      </c>
      <c r="S450" s="1" t="s">
        <v>5807</v>
      </c>
      <c r="T450" s="2" t="s">
        <v>14</v>
      </c>
      <c r="U450" s="3">
        <v>36</v>
      </c>
      <c r="V450" s="3">
        <v>49</v>
      </c>
      <c r="W450" s="4" t="s">
        <v>3911</v>
      </c>
      <c r="X450" s="4" t="s">
        <v>3911</v>
      </c>
      <c r="Y450" s="4" t="s">
        <v>718</v>
      </c>
      <c r="Z450" s="4" t="s">
        <v>5808</v>
      </c>
      <c r="AA450" s="3">
        <v>261</v>
      </c>
      <c r="AB450" s="3">
        <v>237</v>
      </c>
      <c r="AC450" s="3">
        <v>641</v>
      </c>
      <c r="AD450" s="3">
        <v>2</v>
      </c>
      <c r="AE450" s="3">
        <v>4</v>
      </c>
      <c r="AF450" s="3">
        <v>18</v>
      </c>
      <c r="AG450" s="3">
        <v>39</v>
      </c>
      <c r="AH450" s="3">
        <v>3</v>
      </c>
      <c r="AI450" s="3">
        <v>8</v>
      </c>
      <c r="AJ450" s="3">
        <v>2</v>
      </c>
      <c r="AK450" s="3">
        <v>4</v>
      </c>
      <c r="AL450" s="3">
        <v>2</v>
      </c>
      <c r="AM450" s="3">
        <v>7</v>
      </c>
      <c r="AN450" s="3">
        <v>0</v>
      </c>
      <c r="AO450" s="3">
        <v>0</v>
      </c>
      <c r="AP450" s="3">
        <v>11</v>
      </c>
      <c r="AQ450" s="3">
        <v>23</v>
      </c>
      <c r="AR450" s="2" t="s">
        <v>8</v>
      </c>
      <c r="AS450" s="2" t="s">
        <v>8</v>
      </c>
      <c r="AU450" s="5" t="str">
        <f>HYPERLINK("https://creighton-primo.hosted.exlibrisgroup.com/primo-explore/search?tab=default_tab&amp;search_scope=EVERYTHING&amp;vid=01CRU&amp;lang=en_US&amp;offset=0&amp;query=any,contains,991001681299702656","Catalog Record")</f>
        <v>Catalog Record</v>
      </c>
      <c r="AV450" s="5" t="str">
        <f>HYPERLINK("http://www.worldcat.org/oclc/20422457","WorldCat Record")</f>
        <v>WorldCat Record</v>
      </c>
      <c r="AW450" s="2" t="s">
        <v>5809</v>
      </c>
      <c r="AX450" s="2" t="s">
        <v>5810</v>
      </c>
      <c r="AY450" s="2" t="s">
        <v>5811</v>
      </c>
      <c r="AZ450" s="2" t="s">
        <v>5811</v>
      </c>
      <c r="BA450" s="2" t="s">
        <v>5812</v>
      </c>
      <c r="BB450" s="2" t="s">
        <v>21</v>
      </c>
      <c r="BD450" s="2" t="s">
        <v>5813</v>
      </c>
      <c r="BE450" s="2" t="s">
        <v>5814</v>
      </c>
      <c r="BF450" s="2" t="s">
        <v>5815</v>
      </c>
    </row>
    <row r="451" spans="1:58" ht="42.75" customHeight="1" x14ac:dyDescent="0.25">
      <c r="A451" s="8" t="s">
        <v>8</v>
      </c>
      <c r="B451" s="1" t="s">
        <v>0</v>
      </c>
      <c r="C451" s="1" t="s">
        <v>1</v>
      </c>
      <c r="D451" s="1" t="s">
        <v>5816</v>
      </c>
      <c r="E451" s="1" t="s">
        <v>5817</v>
      </c>
      <c r="F451" s="1" t="s">
        <v>5818</v>
      </c>
      <c r="H451" s="2" t="s">
        <v>8</v>
      </c>
      <c r="I451" s="2" t="s">
        <v>7</v>
      </c>
      <c r="J451" s="2" t="s">
        <v>8</v>
      </c>
      <c r="K451" s="2" t="s">
        <v>6</v>
      </c>
      <c r="L451" s="2" t="s">
        <v>9</v>
      </c>
      <c r="N451" s="1" t="s">
        <v>5819</v>
      </c>
      <c r="O451" s="2" t="s">
        <v>688</v>
      </c>
      <c r="Q451" s="2" t="s">
        <v>12</v>
      </c>
      <c r="R451" s="2" t="s">
        <v>815</v>
      </c>
      <c r="T451" s="2" t="s">
        <v>14</v>
      </c>
      <c r="U451" s="3">
        <v>66</v>
      </c>
      <c r="V451" s="3">
        <v>66</v>
      </c>
      <c r="W451" s="4" t="s">
        <v>5820</v>
      </c>
      <c r="X451" s="4" t="s">
        <v>5820</v>
      </c>
      <c r="Y451" s="4" t="s">
        <v>5821</v>
      </c>
      <c r="Z451" s="4" t="s">
        <v>5821</v>
      </c>
      <c r="AA451" s="3">
        <v>389</v>
      </c>
      <c r="AB451" s="3">
        <v>346</v>
      </c>
      <c r="AC451" s="3">
        <v>608</v>
      </c>
      <c r="AD451" s="3">
        <v>1</v>
      </c>
      <c r="AE451" s="3">
        <v>3</v>
      </c>
      <c r="AF451" s="3">
        <v>20</v>
      </c>
      <c r="AG451" s="3">
        <v>32</v>
      </c>
      <c r="AH451" s="3">
        <v>8</v>
      </c>
      <c r="AI451" s="3">
        <v>13</v>
      </c>
      <c r="AJ451" s="3">
        <v>6</v>
      </c>
      <c r="AK451" s="3">
        <v>8</v>
      </c>
      <c r="AL451" s="3">
        <v>11</v>
      </c>
      <c r="AM451" s="3">
        <v>17</v>
      </c>
      <c r="AN451" s="3">
        <v>0</v>
      </c>
      <c r="AO451" s="3">
        <v>2</v>
      </c>
      <c r="AP451" s="3">
        <v>3</v>
      </c>
      <c r="AQ451" s="3">
        <v>4</v>
      </c>
      <c r="AR451" s="2" t="s">
        <v>8</v>
      </c>
      <c r="AS451" s="2" t="s">
        <v>6</v>
      </c>
      <c r="AT451" s="5" t="str">
        <f>HYPERLINK("http://catalog.hathitrust.org/Record/002795623","HathiTrust Record")</f>
        <v>HathiTrust Record</v>
      </c>
      <c r="AU451" s="5" t="str">
        <f>HYPERLINK("https://creighton-primo.hosted.exlibrisgroup.com/primo-explore/search?tab=default_tab&amp;search_scope=EVERYTHING&amp;vid=01CRU&amp;lang=en_US&amp;offset=0&amp;query=any,contains,991001161729702656","Catalog Record")</f>
        <v>Catalog Record</v>
      </c>
      <c r="AV451" s="5" t="str">
        <f>HYPERLINK("http://www.worldcat.org/oclc/28749321","WorldCat Record")</f>
        <v>WorldCat Record</v>
      </c>
      <c r="AW451" s="2" t="s">
        <v>5822</v>
      </c>
      <c r="AX451" s="2" t="s">
        <v>5823</v>
      </c>
      <c r="AY451" s="2" t="s">
        <v>5824</v>
      </c>
      <c r="AZ451" s="2" t="s">
        <v>5824</v>
      </c>
      <c r="BA451" s="2" t="s">
        <v>5825</v>
      </c>
      <c r="BB451" s="2" t="s">
        <v>21</v>
      </c>
      <c r="BE451" s="2" t="s">
        <v>5826</v>
      </c>
      <c r="BF451" s="2" t="s">
        <v>5827</v>
      </c>
    </row>
    <row r="452" spans="1:58" ht="42.75" customHeight="1" x14ac:dyDescent="0.25">
      <c r="A452" s="8" t="s">
        <v>8</v>
      </c>
      <c r="B452" s="1" t="s">
        <v>0</v>
      </c>
      <c r="C452" s="1" t="s">
        <v>1</v>
      </c>
      <c r="D452" s="1" t="s">
        <v>5828</v>
      </c>
      <c r="E452" s="1" t="s">
        <v>5829</v>
      </c>
      <c r="F452" s="1" t="s">
        <v>5830</v>
      </c>
      <c r="H452" s="2" t="s">
        <v>8</v>
      </c>
      <c r="I452" s="2" t="s">
        <v>7</v>
      </c>
      <c r="J452" s="2" t="s">
        <v>6</v>
      </c>
      <c r="K452" s="2" t="s">
        <v>8</v>
      </c>
      <c r="L452" s="2" t="s">
        <v>9</v>
      </c>
      <c r="M452" s="1" t="s">
        <v>5831</v>
      </c>
      <c r="N452" s="1" t="s">
        <v>5832</v>
      </c>
      <c r="O452" s="2" t="s">
        <v>1327</v>
      </c>
      <c r="Q452" s="2" t="s">
        <v>12</v>
      </c>
      <c r="R452" s="2" t="s">
        <v>34</v>
      </c>
      <c r="S452" s="1" t="s">
        <v>5833</v>
      </c>
      <c r="T452" s="2" t="s">
        <v>14</v>
      </c>
      <c r="U452" s="3">
        <v>5</v>
      </c>
      <c r="V452" s="3">
        <v>5</v>
      </c>
      <c r="W452" s="4" t="s">
        <v>1513</v>
      </c>
      <c r="X452" s="4" t="s">
        <v>1513</v>
      </c>
      <c r="Y452" s="4" t="s">
        <v>5834</v>
      </c>
      <c r="Z452" s="4" t="s">
        <v>5834</v>
      </c>
      <c r="AA452" s="3">
        <v>411</v>
      </c>
      <c r="AB452" s="3">
        <v>368</v>
      </c>
      <c r="AC452" s="3">
        <v>388</v>
      </c>
      <c r="AD452" s="3">
        <v>5</v>
      </c>
      <c r="AE452" s="3">
        <v>6</v>
      </c>
      <c r="AF452" s="3">
        <v>23</v>
      </c>
      <c r="AG452" s="3">
        <v>25</v>
      </c>
      <c r="AH452" s="3">
        <v>7</v>
      </c>
      <c r="AI452" s="3">
        <v>8</v>
      </c>
      <c r="AJ452" s="3">
        <v>4</v>
      </c>
      <c r="AK452" s="3">
        <v>5</v>
      </c>
      <c r="AL452" s="3">
        <v>13</v>
      </c>
      <c r="AM452" s="3">
        <v>13</v>
      </c>
      <c r="AN452" s="3">
        <v>3</v>
      </c>
      <c r="AO452" s="3">
        <v>4</v>
      </c>
      <c r="AP452" s="3">
        <v>2</v>
      </c>
      <c r="AQ452" s="3">
        <v>2</v>
      </c>
      <c r="AR452" s="2" t="s">
        <v>8</v>
      </c>
      <c r="AS452" s="2" t="s">
        <v>8</v>
      </c>
      <c r="AU452" s="5" t="str">
        <f>HYPERLINK("https://creighton-primo.hosted.exlibrisgroup.com/primo-explore/search?tab=default_tab&amp;search_scope=EVERYTHING&amp;vid=01CRU&amp;lang=en_US&amp;offset=0&amp;query=any,contains,991001240989702656","Catalog Record")</f>
        <v>Catalog Record</v>
      </c>
      <c r="AV452" s="5" t="str">
        <f>HYPERLINK("http://www.worldcat.org/oclc/13947789","WorldCat Record")</f>
        <v>WorldCat Record</v>
      </c>
      <c r="AW452" s="2" t="s">
        <v>5835</v>
      </c>
      <c r="AX452" s="2" t="s">
        <v>5836</v>
      </c>
      <c r="AY452" s="2" t="s">
        <v>5837</v>
      </c>
      <c r="AZ452" s="2" t="s">
        <v>5837</v>
      </c>
      <c r="BA452" s="2" t="s">
        <v>5838</v>
      </c>
      <c r="BB452" s="2" t="s">
        <v>21</v>
      </c>
      <c r="BD452" s="2" t="s">
        <v>5839</v>
      </c>
      <c r="BE452" s="2" t="s">
        <v>5840</v>
      </c>
      <c r="BF452" s="2" t="s">
        <v>5841</v>
      </c>
    </row>
    <row r="453" spans="1:58" ht="42.75" customHeight="1" x14ac:dyDescent="0.25">
      <c r="A453" s="8" t="s">
        <v>8</v>
      </c>
      <c r="B453" s="1" t="s">
        <v>0</v>
      </c>
      <c r="C453" s="1" t="s">
        <v>1</v>
      </c>
      <c r="D453" s="1" t="s">
        <v>5842</v>
      </c>
      <c r="E453" s="1" t="s">
        <v>5843</v>
      </c>
      <c r="F453" s="1" t="s">
        <v>5844</v>
      </c>
      <c r="H453" s="2" t="s">
        <v>8</v>
      </c>
      <c r="I453" s="2" t="s">
        <v>7</v>
      </c>
      <c r="J453" s="2" t="s">
        <v>8</v>
      </c>
      <c r="K453" s="2" t="s">
        <v>8</v>
      </c>
      <c r="L453" s="2" t="s">
        <v>9</v>
      </c>
      <c r="M453" s="1" t="s">
        <v>5845</v>
      </c>
      <c r="N453" s="1" t="s">
        <v>5846</v>
      </c>
      <c r="O453" s="2" t="s">
        <v>144</v>
      </c>
      <c r="Q453" s="2" t="s">
        <v>12</v>
      </c>
      <c r="R453" s="2" t="s">
        <v>456</v>
      </c>
      <c r="T453" s="2" t="s">
        <v>14</v>
      </c>
      <c r="U453" s="3">
        <v>5</v>
      </c>
      <c r="V453" s="3">
        <v>5</v>
      </c>
      <c r="W453" s="4" t="s">
        <v>5847</v>
      </c>
      <c r="X453" s="4" t="s">
        <v>5847</v>
      </c>
      <c r="Y453" s="4" t="s">
        <v>5848</v>
      </c>
      <c r="Z453" s="4" t="s">
        <v>5848</v>
      </c>
      <c r="AA453" s="3">
        <v>564</v>
      </c>
      <c r="AB453" s="3">
        <v>484</v>
      </c>
      <c r="AC453" s="3">
        <v>493</v>
      </c>
      <c r="AD453" s="3">
        <v>3</v>
      </c>
      <c r="AE453" s="3">
        <v>3</v>
      </c>
      <c r="AF453" s="3">
        <v>24</v>
      </c>
      <c r="AG453" s="3">
        <v>24</v>
      </c>
      <c r="AH453" s="3">
        <v>6</v>
      </c>
      <c r="AI453" s="3">
        <v>6</v>
      </c>
      <c r="AJ453" s="3">
        <v>4</v>
      </c>
      <c r="AK453" s="3">
        <v>4</v>
      </c>
      <c r="AL453" s="3">
        <v>12</v>
      </c>
      <c r="AM453" s="3">
        <v>12</v>
      </c>
      <c r="AN453" s="3">
        <v>1</v>
      </c>
      <c r="AO453" s="3">
        <v>1</v>
      </c>
      <c r="AP453" s="3">
        <v>3</v>
      </c>
      <c r="AQ453" s="3">
        <v>3</v>
      </c>
      <c r="AR453" s="2" t="s">
        <v>8</v>
      </c>
      <c r="AS453" s="2" t="s">
        <v>6</v>
      </c>
      <c r="AT453" s="5" t="str">
        <f>HYPERLINK("http://catalog.hathitrust.org/Record/001557852","HathiTrust Record")</f>
        <v>HathiTrust Record</v>
      </c>
      <c r="AU453" s="5" t="str">
        <f>HYPERLINK("https://creighton-primo.hosted.exlibrisgroup.com/primo-explore/search?tab=default_tab&amp;search_scope=EVERYTHING&amp;vid=01CRU&amp;lang=en_US&amp;offset=0&amp;query=any,contains,991001326959702656","Catalog Record")</f>
        <v>Catalog Record</v>
      </c>
      <c r="AV453" s="5" t="str">
        <f>HYPERLINK("http://www.worldcat.org/oclc/58511","WorldCat Record")</f>
        <v>WorldCat Record</v>
      </c>
      <c r="AW453" s="2" t="s">
        <v>5849</v>
      </c>
      <c r="AX453" s="2" t="s">
        <v>5850</v>
      </c>
      <c r="AY453" s="2" t="s">
        <v>5851</v>
      </c>
      <c r="AZ453" s="2" t="s">
        <v>5851</v>
      </c>
      <c r="BA453" s="2" t="s">
        <v>5852</v>
      </c>
      <c r="BB453" s="2" t="s">
        <v>21</v>
      </c>
      <c r="BE453" s="2" t="s">
        <v>5853</v>
      </c>
      <c r="BF453" s="2" t="s">
        <v>5854</v>
      </c>
    </row>
    <row r="454" spans="1:58" ht="42.75" customHeight="1" x14ac:dyDescent="0.25">
      <c r="A454" s="8" t="s">
        <v>8</v>
      </c>
      <c r="B454" s="1" t="s">
        <v>0</v>
      </c>
      <c r="C454" s="1" t="s">
        <v>1</v>
      </c>
      <c r="D454" s="1" t="s">
        <v>5855</v>
      </c>
      <c r="E454" s="1" t="s">
        <v>5856</v>
      </c>
      <c r="F454" s="1" t="s">
        <v>5857</v>
      </c>
      <c r="H454" s="2" t="s">
        <v>8</v>
      </c>
      <c r="I454" s="2" t="s">
        <v>7</v>
      </c>
      <c r="J454" s="2" t="s">
        <v>6</v>
      </c>
      <c r="K454" s="2" t="s">
        <v>8</v>
      </c>
      <c r="L454" s="2" t="s">
        <v>9</v>
      </c>
      <c r="M454" s="1" t="s">
        <v>5858</v>
      </c>
      <c r="N454" s="1" t="s">
        <v>4727</v>
      </c>
      <c r="O454" s="2" t="s">
        <v>627</v>
      </c>
      <c r="Q454" s="2" t="s">
        <v>12</v>
      </c>
      <c r="R454" s="2" t="s">
        <v>34</v>
      </c>
      <c r="T454" s="2" t="s">
        <v>14</v>
      </c>
      <c r="U454" s="3">
        <v>5</v>
      </c>
      <c r="V454" s="3">
        <v>5</v>
      </c>
      <c r="W454" s="4" t="s">
        <v>5859</v>
      </c>
      <c r="X454" s="4" t="s">
        <v>5859</v>
      </c>
      <c r="Y454" s="4" t="s">
        <v>4207</v>
      </c>
      <c r="Z454" s="4" t="s">
        <v>4207</v>
      </c>
      <c r="AA454" s="3">
        <v>74</v>
      </c>
      <c r="AB454" s="3">
        <v>64</v>
      </c>
      <c r="AC454" s="3">
        <v>66</v>
      </c>
      <c r="AD454" s="3">
        <v>2</v>
      </c>
      <c r="AE454" s="3">
        <v>2</v>
      </c>
      <c r="AF454" s="3">
        <v>10</v>
      </c>
      <c r="AG454" s="3">
        <v>10</v>
      </c>
      <c r="AH454" s="3">
        <v>3</v>
      </c>
      <c r="AI454" s="3">
        <v>3</v>
      </c>
      <c r="AJ454" s="3">
        <v>2</v>
      </c>
      <c r="AK454" s="3">
        <v>2</v>
      </c>
      <c r="AL454" s="3">
        <v>8</v>
      </c>
      <c r="AM454" s="3">
        <v>8</v>
      </c>
      <c r="AN454" s="3">
        <v>0</v>
      </c>
      <c r="AO454" s="3">
        <v>0</v>
      </c>
      <c r="AP454" s="3">
        <v>0</v>
      </c>
      <c r="AQ454" s="3">
        <v>0</v>
      </c>
      <c r="AR454" s="2" t="s">
        <v>8</v>
      </c>
      <c r="AS454" s="2" t="s">
        <v>6</v>
      </c>
      <c r="AT454" s="5" t="str">
        <f>HYPERLINK("http://catalog.hathitrust.org/Record/010377032","HathiTrust Record")</f>
        <v>HathiTrust Record</v>
      </c>
      <c r="AU454" s="5" t="str">
        <f>HYPERLINK("https://creighton-primo.hosted.exlibrisgroup.com/primo-explore/search?tab=default_tab&amp;search_scope=EVERYTHING&amp;vid=01CRU&amp;lang=en_US&amp;offset=0&amp;query=any,contains,991001445699702656","Catalog Record")</f>
        <v>Catalog Record</v>
      </c>
      <c r="AV454" s="5" t="str">
        <f>HYPERLINK("http://www.worldcat.org/oclc/19352615","WorldCat Record")</f>
        <v>WorldCat Record</v>
      </c>
      <c r="AW454" s="2" t="s">
        <v>5860</v>
      </c>
      <c r="AX454" s="2" t="s">
        <v>5861</v>
      </c>
      <c r="AY454" s="2" t="s">
        <v>5862</v>
      </c>
      <c r="AZ454" s="2" t="s">
        <v>5862</v>
      </c>
      <c r="BA454" s="2" t="s">
        <v>5863</v>
      </c>
      <c r="BB454" s="2" t="s">
        <v>21</v>
      </c>
      <c r="BD454" s="2" t="s">
        <v>5864</v>
      </c>
      <c r="BE454" s="2" t="s">
        <v>5865</v>
      </c>
      <c r="BF454" s="2" t="s">
        <v>5866</v>
      </c>
    </row>
    <row r="455" spans="1:58" ht="42.75" customHeight="1" x14ac:dyDescent="0.25">
      <c r="A455" s="8" t="s">
        <v>8</v>
      </c>
      <c r="B455" s="1" t="s">
        <v>0</v>
      </c>
      <c r="C455" s="1" t="s">
        <v>1</v>
      </c>
      <c r="D455" s="1" t="s">
        <v>5867</v>
      </c>
      <c r="E455" s="1" t="s">
        <v>5868</v>
      </c>
      <c r="F455" s="1" t="s">
        <v>5869</v>
      </c>
      <c r="H455" s="2" t="s">
        <v>8</v>
      </c>
      <c r="I455" s="2" t="s">
        <v>7</v>
      </c>
      <c r="J455" s="2" t="s">
        <v>8</v>
      </c>
      <c r="K455" s="2" t="s">
        <v>8</v>
      </c>
      <c r="L455" s="2" t="s">
        <v>9</v>
      </c>
      <c r="M455" s="1" t="s">
        <v>5870</v>
      </c>
      <c r="N455" s="1" t="s">
        <v>5871</v>
      </c>
      <c r="O455" s="2" t="s">
        <v>1629</v>
      </c>
      <c r="Q455" s="2" t="s">
        <v>12</v>
      </c>
      <c r="R455" s="2" t="s">
        <v>34</v>
      </c>
      <c r="S455" s="1" t="s">
        <v>5872</v>
      </c>
      <c r="T455" s="2" t="s">
        <v>14</v>
      </c>
      <c r="U455" s="3">
        <v>4</v>
      </c>
      <c r="V455" s="3">
        <v>4</v>
      </c>
      <c r="W455" s="4" t="s">
        <v>5247</v>
      </c>
      <c r="X455" s="4" t="s">
        <v>5247</v>
      </c>
      <c r="Y455" s="4" t="s">
        <v>5873</v>
      </c>
      <c r="Z455" s="4" t="s">
        <v>5873</v>
      </c>
      <c r="AA455" s="3">
        <v>2</v>
      </c>
      <c r="AB455" s="3">
        <v>2</v>
      </c>
      <c r="AC455" s="3">
        <v>2</v>
      </c>
      <c r="AD455" s="3">
        <v>1</v>
      </c>
      <c r="AE455" s="3">
        <v>1</v>
      </c>
      <c r="AF455" s="3">
        <v>0</v>
      </c>
      <c r="AG455" s="3">
        <v>0</v>
      </c>
      <c r="AH455" s="3">
        <v>0</v>
      </c>
      <c r="AI455" s="3">
        <v>0</v>
      </c>
      <c r="AJ455" s="3">
        <v>0</v>
      </c>
      <c r="AK455" s="3">
        <v>0</v>
      </c>
      <c r="AL455" s="3">
        <v>0</v>
      </c>
      <c r="AM455" s="3">
        <v>0</v>
      </c>
      <c r="AN455" s="3">
        <v>0</v>
      </c>
      <c r="AO455" s="3">
        <v>0</v>
      </c>
      <c r="AP455" s="3">
        <v>0</v>
      </c>
      <c r="AQ455" s="3">
        <v>0</v>
      </c>
      <c r="AR455" s="2" t="s">
        <v>8</v>
      </c>
      <c r="AS455" s="2" t="s">
        <v>8</v>
      </c>
      <c r="AU455" s="5" t="str">
        <f>HYPERLINK("https://creighton-primo.hosted.exlibrisgroup.com/primo-explore/search?tab=default_tab&amp;search_scope=EVERYTHING&amp;vid=01CRU&amp;lang=en_US&amp;offset=0&amp;query=any,contains,991001277049702656","Catalog Record")</f>
        <v>Catalog Record</v>
      </c>
      <c r="AV455" s="5" t="str">
        <f>HYPERLINK("http://www.worldcat.org/oclc/16465541","WorldCat Record")</f>
        <v>WorldCat Record</v>
      </c>
      <c r="AW455" s="2" t="s">
        <v>5874</v>
      </c>
      <c r="AX455" s="2" t="s">
        <v>5875</v>
      </c>
      <c r="AY455" s="2" t="s">
        <v>5876</v>
      </c>
      <c r="AZ455" s="2" t="s">
        <v>5876</v>
      </c>
      <c r="BA455" s="2" t="s">
        <v>5877</v>
      </c>
      <c r="BB455" s="2" t="s">
        <v>21</v>
      </c>
      <c r="BE455" s="2" t="s">
        <v>5878</v>
      </c>
      <c r="BF455" s="2" t="s">
        <v>5879</v>
      </c>
    </row>
    <row r="456" spans="1:58" ht="42.75" customHeight="1" x14ac:dyDescent="0.25">
      <c r="A456" s="8" t="s">
        <v>8</v>
      </c>
      <c r="B456" s="1" t="s">
        <v>0</v>
      </c>
      <c r="C456" s="1" t="s">
        <v>1</v>
      </c>
      <c r="D456" s="1" t="s">
        <v>5880</v>
      </c>
      <c r="E456" s="1" t="s">
        <v>5881</v>
      </c>
      <c r="F456" s="1" t="s">
        <v>5882</v>
      </c>
      <c r="H456" s="2" t="s">
        <v>8</v>
      </c>
      <c r="I456" s="2" t="s">
        <v>7</v>
      </c>
      <c r="J456" s="2" t="s">
        <v>8</v>
      </c>
      <c r="K456" s="2" t="s">
        <v>8</v>
      </c>
      <c r="L456" s="2" t="s">
        <v>9</v>
      </c>
      <c r="N456" s="1" t="s">
        <v>5492</v>
      </c>
      <c r="O456" s="2" t="s">
        <v>1060</v>
      </c>
      <c r="Q456" s="2" t="s">
        <v>12</v>
      </c>
      <c r="R456" s="2" t="s">
        <v>577</v>
      </c>
      <c r="T456" s="2" t="s">
        <v>14</v>
      </c>
      <c r="U456" s="3">
        <v>21</v>
      </c>
      <c r="V456" s="3">
        <v>21</v>
      </c>
      <c r="W456" s="4" t="s">
        <v>5883</v>
      </c>
      <c r="X456" s="4" t="s">
        <v>5883</v>
      </c>
      <c r="Y456" s="4" t="s">
        <v>1994</v>
      </c>
      <c r="Z456" s="4" t="s">
        <v>1994</v>
      </c>
      <c r="AA456" s="3">
        <v>412</v>
      </c>
      <c r="AB456" s="3">
        <v>329</v>
      </c>
      <c r="AC456" s="3">
        <v>343</v>
      </c>
      <c r="AD456" s="3">
        <v>2</v>
      </c>
      <c r="AE456" s="3">
        <v>2</v>
      </c>
      <c r="AF456" s="3">
        <v>20</v>
      </c>
      <c r="AG456" s="3">
        <v>21</v>
      </c>
      <c r="AH456" s="3">
        <v>7</v>
      </c>
      <c r="AI456" s="3">
        <v>7</v>
      </c>
      <c r="AJ456" s="3">
        <v>5</v>
      </c>
      <c r="AK456" s="3">
        <v>6</v>
      </c>
      <c r="AL456" s="3">
        <v>11</v>
      </c>
      <c r="AM456" s="3">
        <v>12</v>
      </c>
      <c r="AN456" s="3">
        <v>1</v>
      </c>
      <c r="AO456" s="3">
        <v>1</v>
      </c>
      <c r="AP456" s="3">
        <v>2</v>
      </c>
      <c r="AQ456" s="3">
        <v>2</v>
      </c>
      <c r="AR456" s="2" t="s">
        <v>8</v>
      </c>
      <c r="AS456" s="2" t="s">
        <v>6</v>
      </c>
      <c r="AT456" s="5" t="str">
        <f>HYPERLINK("http://catalog.hathitrust.org/Record/003004029","HathiTrust Record")</f>
        <v>HathiTrust Record</v>
      </c>
      <c r="AU456" s="5" t="str">
        <f>HYPERLINK("https://creighton-primo.hosted.exlibrisgroup.com/primo-explore/search?tab=default_tab&amp;search_scope=EVERYTHING&amp;vid=01CRU&amp;lang=en_US&amp;offset=0&amp;query=any,contains,991001564639702656","Catalog Record")</f>
        <v>Catalog Record</v>
      </c>
      <c r="AV456" s="5" t="str">
        <f>HYPERLINK("http://www.worldcat.org/oclc/32051619","WorldCat Record")</f>
        <v>WorldCat Record</v>
      </c>
      <c r="AW456" s="2" t="s">
        <v>5884</v>
      </c>
      <c r="AX456" s="2" t="s">
        <v>5885</v>
      </c>
      <c r="AY456" s="2" t="s">
        <v>5886</v>
      </c>
      <c r="AZ456" s="2" t="s">
        <v>5886</v>
      </c>
      <c r="BA456" s="2" t="s">
        <v>5887</v>
      </c>
      <c r="BB456" s="2" t="s">
        <v>21</v>
      </c>
      <c r="BD456" s="2" t="s">
        <v>5888</v>
      </c>
      <c r="BE456" s="2" t="s">
        <v>5889</v>
      </c>
      <c r="BF456" s="2" t="s">
        <v>5890</v>
      </c>
    </row>
    <row r="457" spans="1:58" ht="42.75" customHeight="1" x14ac:dyDescent="0.25">
      <c r="A457" s="8" t="s">
        <v>8</v>
      </c>
      <c r="B457" s="1" t="s">
        <v>0</v>
      </c>
      <c r="C457" s="1" t="s">
        <v>1</v>
      </c>
      <c r="D457" s="1" t="s">
        <v>5891</v>
      </c>
      <c r="E457" s="1" t="s">
        <v>5892</v>
      </c>
      <c r="F457" s="1" t="s">
        <v>5893</v>
      </c>
      <c r="H457" s="2" t="s">
        <v>8</v>
      </c>
      <c r="I457" s="2" t="s">
        <v>7</v>
      </c>
      <c r="J457" s="2" t="s">
        <v>8</v>
      </c>
      <c r="K457" s="2" t="s">
        <v>6</v>
      </c>
      <c r="L457" s="2" t="s">
        <v>9</v>
      </c>
      <c r="N457" s="1" t="s">
        <v>5894</v>
      </c>
      <c r="O457" s="2" t="s">
        <v>907</v>
      </c>
      <c r="P457" s="1" t="s">
        <v>1537</v>
      </c>
      <c r="Q457" s="2" t="s">
        <v>12</v>
      </c>
      <c r="R457" s="2" t="s">
        <v>1170</v>
      </c>
      <c r="T457" s="2" t="s">
        <v>14</v>
      </c>
      <c r="U457" s="3">
        <v>8</v>
      </c>
      <c r="V457" s="3">
        <v>8</v>
      </c>
      <c r="W457" s="4" t="s">
        <v>5895</v>
      </c>
      <c r="X457" s="4" t="s">
        <v>5895</v>
      </c>
      <c r="Y457" s="4" t="s">
        <v>3462</v>
      </c>
      <c r="Z457" s="4" t="s">
        <v>3462</v>
      </c>
      <c r="AA457" s="3">
        <v>228</v>
      </c>
      <c r="AB457" s="3">
        <v>180</v>
      </c>
      <c r="AC457" s="3">
        <v>934</v>
      </c>
      <c r="AD457" s="3">
        <v>2</v>
      </c>
      <c r="AE457" s="3">
        <v>9</v>
      </c>
      <c r="AF457" s="3">
        <v>14</v>
      </c>
      <c r="AG457" s="3">
        <v>49</v>
      </c>
      <c r="AH457" s="3">
        <v>4</v>
      </c>
      <c r="AI457" s="3">
        <v>17</v>
      </c>
      <c r="AJ457" s="3">
        <v>5</v>
      </c>
      <c r="AK457" s="3">
        <v>10</v>
      </c>
      <c r="AL457" s="3">
        <v>7</v>
      </c>
      <c r="AM457" s="3">
        <v>23</v>
      </c>
      <c r="AN457" s="3">
        <v>1</v>
      </c>
      <c r="AO457" s="3">
        <v>6</v>
      </c>
      <c r="AP457" s="3">
        <v>1</v>
      </c>
      <c r="AQ457" s="3">
        <v>4</v>
      </c>
      <c r="AR457" s="2" t="s">
        <v>8</v>
      </c>
      <c r="AS457" s="2" t="s">
        <v>6</v>
      </c>
      <c r="AT457" s="5" t="str">
        <f>HYPERLINK("http://catalog.hathitrust.org/Record/003619549","HathiTrust Record")</f>
        <v>HathiTrust Record</v>
      </c>
      <c r="AU457" s="5" t="str">
        <f>HYPERLINK("https://creighton-primo.hosted.exlibrisgroup.com/primo-explore/search?tab=default_tab&amp;search_scope=EVERYTHING&amp;vid=01CRU&amp;lang=en_US&amp;offset=0&amp;query=any,contains,991000342539702656","Catalog Record")</f>
        <v>Catalog Record</v>
      </c>
      <c r="AV457" s="5" t="str">
        <f>HYPERLINK("http://www.worldcat.org/oclc/40869749","WorldCat Record")</f>
        <v>WorldCat Record</v>
      </c>
      <c r="AW457" s="2" t="s">
        <v>5896</v>
      </c>
      <c r="AX457" s="2" t="s">
        <v>5897</v>
      </c>
      <c r="AY457" s="2" t="s">
        <v>5898</v>
      </c>
      <c r="AZ457" s="2" t="s">
        <v>5898</v>
      </c>
      <c r="BA457" s="2" t="s">
        <v>5899</v>
      </c>
      <c r="BB457" s="2" t="s">
        <v>21</v>
      </c>
      <c r="BD457" s="2" t="s">
        <v>5900</v>
      </c>
      <c r="BE457" s="2" t="s">
        <v>5901</v>
      </c>
      <c r="BF457" s="2" t="s">
        <v>5902</v>
      </c>
    </row>
    <row r="458" spans="1:58" ht="42.75" customHeight="1" x14ac:dyDescent="0.25">
      <c r="A458" s="8" t="s">
        <v>8</v>
      </c>
      <c r="B458" s="1" t="s">
        <v>0</v>
      </c>
      <c r="C458" s="1" t="s">
        <v>1</v>
      </c>
      <c r="D458" s="1" t="s">
        <v>5903</v>
      </c>
      <c r="E458" s="1" t="s">
        <v>5904</v>
      </c>
      <c r="F458" s="1" t="s">
        <v>5905</v>
      </c>
      <c r="H458" s="2" t="s">
        <v>8</v>
      </c>
      <c r="I458" s="2" t="s">
        <v>7</v>
      </c>
      <c r="J458" s="2" t="s">
        <v>8</v>
      </c>
      <c r="K458" s="2" t="s">
        <v>8</v>
      </c>
      <c r="L458" s="2" t="s">
        <v>9</v>
      </c>
      <c r="N458" s="1" t="s">
        <v>5906</v>
      </c>
      <c r="O458" s="2" t="s">
        <v>874</v>
      </c>
      <c r="P458" s="1" t="s">
        <v>83</v>
      </c>
      <c r="Q458" s="2" t="s">
        <v>12</v>
      </c>
      <c r="R458" s="2" t="s">
        <v>815</v>
      </c>
      <c r="T458" s="2" t="s">
        <v>14</v>
      </c>
      <c r="U458" s="3">
        <v>84</v>
      </c>
      <c r="V458" s="3">
        <v>84</v>
      </c>
      <c r="W458" s="4" t="s">
        <v>3182</v>
      </c>
      <c r="X458" s="4" t="s">
        <v>3182</v>
      </c>
      <c r="Y458" s="4" t="s">
        <v>4180</v>
      </c>
      <c r="Z458" s="4" t="s">
        <v>4180</v>
      </c>
      <c r="AA458" s="3">
        <v>85</v>
      </c>
      <c r="AB458" s="3">
        <v>77</v>
      </c>
      <c r="AC458" s="3">
        <v>122</v>
      </c>
      <c r="AD458" s="3">
        <v>1</v>
      </c>
      <c r="AE458" s="3">
        <v>1</v>
      </c>
      <c r="AF458" s="3">
        <v>2</v>
      </c>
      <c r="AG458" s="3">
        <v>3</v>
      </c>
      <c r="AH458" s="3">
        <v>1</v>
      </c>
      <c r="AI458" s="3">
        <v>1</v>
      </c>
      <c r="AJ458" s="3">
        <v>0</v>
      </c>
      <c r="AK458" s="3">
        <v>0</v>
      </c>
      <c r="AL458" s="3">
        <v>1</v>
      </c>
      <c r="AM458" s="3">
        <v>2</v>
      </c>
      <c r="AN458" s="3">
        <v>0</v>
      </c>
      <c r="AO458" s="3">
        <v>0</v>
      </c>
      <c r="AP458" s="3">
        <v>0</v>
      </c>
      <c r="AQ458" s="3">
        <v>0</v>
      </c>
      <c r="AR458" s="2" t="s">
        <v>8</v>
      </c>
      <c r="AS458" s="2" t="s">
        <v>8</v>
      </c>
      <c r="AU458" s="5" t="str">
        <f>HYPERLINK("https://creighton-primo.hosted.exlibrisgroup.com/primo-explore/search?tab=default_tab&amp;search_scope=EVERYTHING&amp;vid=01CRU&amp;lang=en_US&amp;offset=0&amp;query=any,contains,991000749809702656","Catalog Record")</f>
        <v>Catalog Record</v>
      </c>
      <c r="AV458" s="5" t="str">
        <f>HYPERLINK("http://www.worldcat.org/oclc/38889388","WorldCat Record")</f>
        <v>WorldCat Record</v>
      </c>
      <c r="AW458" s="2" t="s">
        <v>5907</v>
      </c>
      <c r="AX458" s="2" t="s">
        <v>5908</v>
      </c>
      <c r="AY458" s="2" t="s">
        <v>5909</v>
      </c>
      <c r="AZ458" s="2" t="s">
        <v>5909</v>
      </c>
      <c r="BA458" s="2" t="s">
        <v>5910</v>
      </c>
      <c r="BB458" s="2" t="s">
        <v>21</v>
      </c>
      <c r="BD458" s="2" t="s">
        <v>5911</v>
      </c>
      <c r="BE458" s="2" t="s">
        <v>5912</v>
      </c>
      <c r="BF458" s="2" t="s">
        <v>5913</v>
      </c>
    </row>
    <row r="459" spans="1:58" ht="42.75" customHeight="1" x14ac:dyDescent="0.25">
      <c r="A459" s="8" t="s">
        <v>8</v>
      </c>
      <c r="B459" s="1" t="s">
        <v>0</v>
      </c>
      <c r="C459" s="1" t="s">
        <v>1</v>
      </c>
      <c r="D459" s="1" t="s">
        <v>5914</v>
      </c>
      <c r="E459" s="1" t="s">
        <v>5915</v>
      </c>
      <c r="F459" s="1" t="s">
        <v>5916</v>
      </c>
      <c r="H459" s="2" t="s">
        <v>8</v>
      </c>
      <c r="I459" s="2" t="s">
        <v>7</v>
      </c>
      <c r="J459" s="2" t="s">
        <v>8</v>
      </c>
      <c r="K459" s="2" t="s">
        <v>8</v>
      </c>
      <c r="L459" s="2" t="s">
        <v>9</v>
      </c>
      <c r="M459" s="1" t="s">
        <v>5917</v>
      </c>
      <c r="N459" s="1" t="s">
        <v>5918</v>
      </c>
      <c r="O459" s="2" t="s">
        <v>51</v>
      </c>
      <c r="Q459" s="2" t="s">
        <v>12</v>
      </c>
      <c r="R459" s="2" t="s">
        <v>13</v>
      </c>
      <c r="T459" s="2" t="s">
        <v>14</v>
      </c>
      <c r="U459" s="3">
        <v>7</v>
      </c>
      <c r="V459" s="3">
        <v>7</v>
      </c>
      <c r="W459" s="4" t="s">
        <v>4548</v>
      </c>
      <c r="X459" s="4" t="s">
        <v>4548</v>
      </c>
      <c r="Y459" s="4" t="s">
        <v>5919</v>
      </c>
      <c r="Z459" s="4" t="s">
        <v>5919</v>
      </c>
      <c r="AA459" s="3">
        <v>99</v>
      </c>
      <c r="AB459" s="3">
        <v>80</v>
      </c>
      <c r="AC459" s="3">
        <v>80</v>
      </c>
      <c r="AD459" s="3">
        <v>1</v>
      </c>
      <c r="AE459" s="3">
        <v>1</v>
      </c>
      <c r="AF459" s="3">
        <v>1</v>
      </c>
      <c r="AG459" s="3">
        <v>1</v>
      </c>
      <c r="AH459" s="3">
        <v>0</v>
      </c>
      <c r="AI459" s="3">
        <v>0</v>
      </c>
      <c r="AJ459" s="3">
        <v>0</v>
      </c>
      <c r="AK459" s="3">
        <v>0</v>
      </c>
      <c r="AL459" s="3">
        <v>1</v>
      </c>
      <c r="AM459" s="3">
        <v>1</v>
      </c>
      <c r="AN459" s="3">
        <v>0</v>
      </c>
      <c r="AO459" s="3">
        <v>0</v>
      </c>
      <c r="AP459" s="3">
        <v>0</v>
      </c>
      <c r="AQ459" s="3">
        <v>0</v>
      </c>
      <c r="AR459" s="2" t="s">
        <v>8</v>
      </c>
      <c r="AS459" s="2" t="s">
        <v>8</v>
      </c>
      <c r="AU459" s="5" t="str">
        <f>HYPERLINK("https://creighton-primo.hosted.exlibrisgroup.com/primo-explore/search?tab=default_tab&amp;search_scope=EVERYTHING&amp;vid=01CRU&amp;lang=en_US&amp;offset=0&amp;query=any,contains,991001309109702656","Catalog Record")</f>
        <v>Catalog Record</v>
      </c>
      <c r="AV459" s="5" t="str">
        <f>HYPERLINK("http://www.worldcat.org/oclc/18835885","WorldCat Record")</f>
        <v>WorldCat Record</v>
      </c>
      <c r="AW459" s="2" t="s">
        <v>5920</v>
      </c>
      <c r="AX459" s="2" t="s">
        <v>5921</v>
      </c>
      <c r="AY459" s="2" t="s">
        <v>5922</v>
      </c>
      <c r="AZ459" s="2" t="s">
        <v>5922</v>
      </c>
      <c r="BA459" s="2" t="s">
        <v>5923</v>
      </c>
      <c r="BB459" s="2" t="s">
        <v>21</v>
      </c>
      <c r="BD459" s="2" t="s">
        <v>5924</v>
      </c>
      <c r="BE459" s="2" t="s">
        <v>5925</v>
      </c>
      <c r="BF459" s="2" t="s">
        <v>5926</v>
      </c>
    </row>
    <row r="460" spans="1:58" ht="42.75" customHeight="1" x14ac:dyDescent="0.25">
      <c r="A460" s="8" t="s">
        <v>8</v>
      </c>
      <c r="B460" s="1" t="s">
        <v>0</v>
      </c>
      <c r="C460" s="1" t="s">
        <v>1</v>
      </c>
      <c r="D460" s="1" t="s">
        <v>5927</v>
      </c>
      <c r="E460" s="1" t="s">
        <v>5928</v>
      </c>
      <c r="F460" s="1" t="s">
        <v>5929</v>
      </c>
      <c r="H460" s="2" t="s">
        <v>8</v>
      </c>
      <c r="I460" s="2" t="s">
        <v>7</v>
      </c>
      <c r="J460" s="2" t="s">
        <v>8</v>
      </c>
      <c r="K460" s="2" t="s">
        <v>8</v>
      </c>
      <c r="L460" s="2" t="s">
        <v>9</v>
      </c>
      <c r="M460" s="1" t="s">
        <v>5930</v>
      </c>
      <c r="N460" s="1" t="s">
        <v>5931</v>
      </c>
      <c r="O460" s="2" t="s">
        <v>51</v>
      </c>
      <c r="Q460" s="2" t="s">
        <v>12</v>
      </c>
      <c r="R460" s="2" t="s">
        <v>643</v>
      </c>
      <c r="T460" s="2" t="s">
        <v>14</v>
      </c>
      <c r="U460" s="3">
        <v>4</v>
      </c>
      <c r="V460" s="3">
        <v>4</v>
      </c>
      <c r="W460" s="4" t="s">
        <v>5932</v>
      </c>
      <c r="X460" s="4" t="s">
        <v>5932</v>
      </c>
      <c r="Y460" s="4" t="s">
        <v>5933</v>
      </c>
      <c r="Z460" s="4" t="s">
        <v>5933</v>
      </c>
      <c r="AA460" s="3">
        <v>284</v>
      </c>
      <c r="AB460" s="3">
        <v>182</v>
      </c>
      <c r="AC460" s="3">
        <v>945</v>
      </c>
      <c r="AD460" s="3">
        <v>1</v>
      </c>
      <c r="AE460" s="3">
        <v>2</v>
      </c>
      <c r="AF460" s="3">
        <v>14</v>
      </c>
      <c r="AG460" s="3">
        <v>30</v>
      </c>
      <c r="AH460" s="3">
        <v>4</v>
      </c>
      <c r="AI460" s="3">
        <v>13</v>
      </c>
      <c r="AJ460" s="3">
        <v>4</v>
      </c>
      <c r="AK460" s="3">
        <v>7</v>
      </c>
      <c r="AL460" s="3">
        <v>4</v>
      </c>
      <c r="AM460" s="3">
        <v>12</v>
      </c>
      <c r="AN460" s="3">
        <v>0</v>
      </c>
      <c r="AO460" s="3">
        <v>0</v>
      </c>
      <c r="AP460" s="3">
        <v>6</v>
      </c>
      <c r="AQ460" s="3">
        <v>7</v>
      </c>
      <c r="AR460" s="2" t="s">
        <v>8</v>
      </c>
      <c r="AS460" s="2" t="s">
        <v>6</v>
      </c>
      <c r="AT460" s="5" t="str">
        <f>HYPERLINK("http://catalog.hathitrust.org/Record/000928365","HathiTrust Record")</f>
        <v>HathiTrust Record</v>
      </c>
      <c r="AU460" s="5" t="str">
        <f>HYPERLINK("https://creighton-primo.hosted.exlibrisgroup.com/primo-explore/search?tab=default_tab&amp;search_scope=EVERYTHING&amp;vid=01CRU&amp;lang=en_US&amp;offset=0&amp;query=any,contains,991001314319702656","Catalog Record")</f>
        <v>Catalog Record</v>
      </c>
      <c r="AV460" s="5" t="str">
        <f>HYPERLINK("http://www.worldcat.org/oclc/17412436","WorldCat Record")</f>
        <v>WorldCat Record</v>
      </c>
      <c r="AW460" s="2" t="s">
        <v>5934</v>
      </c>
      <c r="AX460" s="2" t="s">
        <v>5935</v>
      </c>
      <c r="AY460" s="2" t="s">
        <v>5936</v>
      </c>
      <c r="AZ460" s="2" t="s">
        <v>5936</v>
      </c>
      <c r="BA460" s="2" t="s">
        <v>5937</v>
      </c>
      <c r="BB460" s="2" t="s">
        <v>21</v>
      </c>
      <c r="BD460" s="2" t="s">
        <v>5938</v>
      </c>
      <c r="BE460" s="2" t="s">
        <v>5939</v>
      </c>
      <c r="BF460" s="2" t="s">
        <v>5940</v>
      </c>
    </row>
    <row r="461" spans="1:58" ht="42.75" customHeight="1" x14ac:dyDescent="0.25">
      <c r="A461" s="8" t="s">
        <v>8</v>
      </c>
      <c r="B461" s="1" t="s">
        <v>0</v>
      </c>
      <c r="C461" s="1" t="s">
        <v>1</v>
      </c>
      <c r="D461" s="1" t="s">
        <v>5941</v>
      </c>
      <c r="E461" s="1" t="s">
        <v>5942</v>
      </c>
      <c r="F461" s="1" t="s">
        <v>5943</v>
      </c>
      <c r="H461" s="2" t="s">
        <v>8</v>
      </c>
      <c r="I461" s="2" t="s">
        <v>7</v>
      </c>
      <c r="J461" s="2" t="s">
        <v>8</v>
      </c>
      <c r="K461" s="2" t="s">
        <v>8</v>
      </c>
      <c r="L461" s="2" t="s">
        <v>9</v>
      </c>
      <c r="N461" s="1" t="s">
        <v>5944</v>
      </c>
      <c r="O461" s="2" t="s">
        <v>1034</v>
      </c>
      <c r="Q461" s="2" t="s">
        <v>12</v>
      </c>
      <c r="R461" s="2" t="s">
        <v>13</v>
      </c>
      <c r="T461" s="2" t="s">
        <v>14</v>
      </c>
      <c r="U461" s="3">
        <v>4</v>
      </c>
      <c r="V461" s="3">
        <v>4</v>
      </c>
      <c r="W461" s="4" t="s">
        <v>5945</v>
      </c>
      <c r="X461" s="4" t="s">
        <v>5945</v>
      </c>
      <c r="Y461" s="4" t="s">
        <v>4443</v>
      </c>
      <c r="Z461" s="4" t="s">
        <v>4443</v>
      </c>
      <c r="AA461" s="3">
        <v>235</v>
      </c>
      <c r="AB461" s="3">
        <v>210</v>
      </c>
      <c r="AC461" s="3">
        <v>288</v>
      </c>
      <c r="AD461" s="3">
        <v>1</v>
      </c>
      <c r="AE461" s="3">
        <v>2</v>
      </c>
      <c r="AF461" s="3">
        <v>10</v>
      </c>
      <c r="AG461" s="3">
        <v>18</v>
      </c>
      <c r="AH461" s="3">
        <v>1</v>
      </c>
      <c r="AI461" s="3">
        <v>3</v>
      </c>
      <c r="AJ461" s="3">
        <v>1</v>
      </c>
      <c r="AK461" s="3">
        <v>3</v>
      </c>
      <c r="AL461" s="3">
        <v>6</v>
      </c>
      <c r="AM461" s="3">
        <v>10</v>
      </c>
      <c r="AN461" s="3">
        <v>0</v>
      </c>
      <c r="AO461" s="3">
        <v>1</v>
      </c>
      <c r="AP461" s="3">
        <v>2</v>
      </c>
      <c r="AQ461" s="3">
        <v>4</v>
      </c>
      <c r="AR461" s="2" t="s">
        <v>8</v>
      </c>
      <c r="AS461" s="2" t="s">
        <v>6</v>
      </c>
      <c r="AT461" s="5" t="str">
        <f>HYPERLINK("http://catalog.hathitrust.org/Record/000084144","HathiTrust Record")</f>
        <v>HathiTrust Record</v>
      </c>
      <c r="AU461" s="5" t="str">
        <f>HYPERLINK("https://creighton-primo.hosted.exlibrisgroup.com/primo-explore/search?tab=default_tab&amp;search_scope=EVERYTHING&amp;vid=01CRU&amp;lang=en_US&amp;offset=0&amp;query=any,contains,991001206559702656","Catalog Record")</f>
        <v>Catalog Record</v>
      </c>
      <c r="AV461" s="5" t="str">
        <f>HYPERLINK("http://www.worldcat.org/oclc/5674857","WorldCat Record")</f>
        <v>WorldCat Record</v>
      </c>
      <c r="AW461" s="2" t="s">
        <v>5946</v>
      </c>
      <c r="AX461" s="2" t="s">
        <v>5947</v>
      </c>
      <c r="AY461" s="2" t="s">
        <v>5948</v>
      </c>
      <c r="AZ461" s="2" t="s">
        <v>5948</v>
      </c>
      <c r="BA461" s="2" t="s">
        <v>5949</v>
      </c>
      <c r="BB461" s="2" t="s">
        <v>21</v>
      </c>
      <c r="BD461" s="2" t="s">
        <v>5950</v>
      </c>
      <c r="BE461" s="2" t="s">
        <v>5951</v>
      </c>
      <c r="BF461" s="2" t="s">
        <v>5952</v>
      </c>
    </row>
    <row r="462" spans="1:58" ht="42.75" customHeight="1" x14ac:dyDescent="0.25">
      <c r="A462" s="8" t="s">
        <v>8</v>
      </c>
      <c r="B462" s="1" t="s">
        <v>0</v>
      </c>
      <c r="C462" s="1" t="s">
        <v>1</v>
      </c>
      <c r="D462" s="1" t="s">
        <v>5953</v>
      </c>
      <c r="E462" s="1" t="s">
        <v>5954</v>
      </c>
      <c r="F462" s="1" t="s">
        <v>5955</v>
      </c>
      <c r="H462" s="2" t="s">
        <v>8</v>
      </c>
      <c r="I462" s="2" t="s">
        <v>7</v>
      </c>
      <c r="J462" s="2" t="s">
        <v>8</v>
      </c>
      <c r="K462" s="2" t="s">
        <v>8</v>
      </c>
      <c r="L462" s="2" t="s">
        <v>9</v>
      </c>
      <c r="N462" s="1" t="s">
        <v>5956</v>
      </c>
      <c r="O462" s="2" t="s">
        <v>1327</v>
      </c>
      <c r="Q462" s="2" t="s">
        <v>12</v>
      </c>
      <c r="R462" s="2" t="s">
        <v>34</v>
      </c>
      <c r="T462" s="2" t="s">
        <v>14</v>
      </c>
      <c r="U462" s="3">
        <v>12</v>
      </c>
      <c r="V462" s="3">
        <v>12</v>
      </c>
      <c r="W462" s="4" t="s">
        <v>5957</v>
      </c>
      <c r="X462" s="4" t="s">
        <v>5957</v>
      </c>
      <c r="Y462" s="4" t="s">
        <v>5958</v>
      </c>
      <c r="Z462" s="4" t="s">
        <v>5958</v>
      </c>
      <c r="AA462" s="3">
        <v>337</v>
      </c>
      <c r="AB462" s="3">
        <v>294</v>
      </c>
      <c r="AC462" s="3">
        <v>296</v>
      </c>
      <c r="AD462" s="3">
        <v>2</v>
      </c>
      <c r="AE462" s="3">
        <v>2</v>
      </c>
      <c r="AF462" s="3">
        <v>19</v>
      </c>
      <c r="AG462" s="3">
        <v>19</v>
      </c>
      <c r="AH462" s="3">
        <v>6</v>
      </c>
      <c r="AI462" s="3">
        <v>6</v>
      </c>
      <c r="AJ462" s="3">
        <v>4</v>
      </c>
      <c r="AK462" s="3">
        <v>4</v>
      </c>
      <c r="AL462" s="3">
        <v>10</v>
      </c>
      <c r="AM462" s="3">
        <v>10</v>
      </c>
      <c r="AN462" s="3">
        <v>1</v>
      </c>
      <c r="AO462" s="3">
        <v>1</v>
      </c>
      <c r="AP462" s="3">
        <v>2</v>
      </c>
      <c r="AQ462" s="3">
        <v>2</v>
      </c>
      <c r="AR462" s="2" t="s">
        <v>8</v>
      </c>
      <c r="AS462" s="2" t="s">
        <v>6</v>
      </c>
      <c r="AT462" s="5" t="str">
        <f>HYPERLINK("http://catalog.hathitrust.org/Record/000829559","HathiTrust Record")</f>
        <v>HathiTrust Record</v>
      </c>
      <c r="AU462" s="5" t="str">
        <f>HYPERLINK("https://creighton-primo.hosted.exlibrisgroup.com/primo-explore/search?tab=default_tab&amp;search_scope=EVERYTHING&amp;vid=01CRU&amp;lang=en_US&amp;offset=0&amp;query=any,contains,991001252349702656","Catalog Record")</f>
        <v>Catalog Record</v>
      </c>
      <c r="AV462" s="5" t="str">
        <f>HYPERLINK("http://www.worldcat.org/oclc/13760307","WorldCat Record")</f>
        <v>WorldCat Record</v>
      </c>
      <c r="AW462" s="2" t="s">
        <v>5959</v>
      </c>
      <c r="AX462" s="2" t="s">
        <v>5960</v>
      </c>
      <c r="AY462" s="2" t="s">
        <v>5961</v>
      </c>
      <c r="AZ462" s="2" t="s">
        <v>5961</v>
      </c>
      <c r="BA462" s="2" t="s">
        <v>5962</v>
      </c>
      <c r="BB462" s="2" t="s">
        <v>21</v>
      </c>
      <c r="BD462" s="2" t="s">
        <v>5963</v>
      </c>
      <c r="BE462" s="2" t="s">
        <v>5964</v>
      </c>
      <c r="BF462" s="2" t="s">
        <v>5965</v>
      </c>
    </row>
    <row r="463" spans="1:58" ht="42.75" customHeight="1" x14ac:dyDescent="0.25">
      <c r="A463" s="8" t="s">
        <v>8</v>
      </c>
      <c r="B463" s="1" t="s">
        <v>0</v>
      </c>
      <c r="C463" s="1" t="s">
        <v>1</v>
      </c>
      <c r="D463" s="1" t="s">
        <v>5966</v>
      </c>
      <c r="E463" s="1" t="s">
        <v>5967</v>
      </c>
      <c r="F463" s="1" t="s">
        <v>5968</v>
      </c>
      <c r="H463" s="2" t="s">
        <v>8</v>
      </c>
      <c r="I463" s="2" t="s">
        <v>7</v>
      </c>
      <c r="J463" s="2" t="s">
        <v>8</v>
      </c>
      <c r="K463" s="2" t="s">
        <v>6</v>
      </c>
      <c r="L463" s="2" t="s">
        <v>885</v>
      </c>
      <c r="M463" s="1" t="s">
        <v>5969</v>
      </c>
      <c r="N463" s="1" t="s">
        <v>5970</v>
      </c>
      <c r="O463" s="2" t="s">
        <v>731</v>
      </c>
      <c r="P463" s="1" t="s">
        <v>761</v>
      </c>
      <c r="Q463" s="2" t="s">
        <v>12</v>
      </c>
      <c r="R463" s="2" t="s">
        <v>13</v>
      </c>
      <c r="T463" s="2" t="s">
        <v>14</v>
      </c>
      <c r="U463" s="3">
        <v>33</v>
      </c>
      <c r="V463" s="3">
        <v>33</v>
      </c>
      <c r="W463" s="4" t="s">
        <v>5971</v>
      </c>
      <c r="X463" s="4" t="s">
        <v>5971</v>
      </c>
      <c r="Y463" s="4" t="s">
        <v>3538</v>
      </c>
      <c r="Z463" s="4" t="s">
        <v>3538</v>
      </c>
      <c r="AA463" s="3">
        <v>385</v>
      </c>
      <c r="AB463" s="3">
        <v>315</v>
      </c>
      <c r="AC463" s="3">
        <v>1521</v>
      </c>
      <c r="AD463" s="3">
        <v>1</v>
      </c>
      <c r="AE463" s="3">
        <v>17</v>
      </c>
      <c r="AF463" s="3">
        <v>10</v>
      </c>
      <c r="AG463" s="3">
        <v>62</v>
      </c>
      <c r="AH463" s="3">
        <v>2</v>
      </c>
      <c r="AI463" s="3">
        <v>17</v>
      </c>
      <c r="AJ463" s="3">
        <v>3</v>
      </c>
      <c r="AK463" s="3">
        <v>10</v>
      </c>
      <c r="AL463" s="3">
        <v>8</v>
      </c>
      <c r="AM463" s="3">
        <v>22</v>
      </c>
      <c r="AN463" s="3">
        <v>0</v>
      </c>
      <c r="AO463" s="3">
        <v>13</v>
      </c>
      <c r="AP463" s="3">
        <v>0</v>
      </c>
      <c r="AQ463" s="3">
        <v>10</v>
      </c>
      <c r="AR463" s="2" t="s">
        <v>8</v>
      </c>
      <c r="AS463" s="2" t="s">
        <v>6</v>
      </c>
      <c r="AT463" s="5" t="str">
        <f>HYPERLINK("http://catalog.hathitrust.org/Record/003188538","HathiTrust Record")</f>
        <v>HathiTrust Record</v>
      </c>
      <c r="AU463" s="5" t="str">
        <f>HYPERLINK("https://creighton-primo.hosted.exlibrisgroup.com/primo-explore/search?tab=default_tab&amp;search_scope=EVERYTHING&amp;vid=01CRU&amp;lang=en_US&amp;offset=0&amp;query=any,contains,991001137439702656","Catalog Record")</f>
        <v>Catalog Record</v>
      </c>
      <c r="AV463" s="5" t="str">
        <f>HYPERLINK("http://www.worldcat.org/oclc/37647058","WorldCat Record")</f>
        <v>WorldCat Record</v>
      </c>
      <c r="AW463" s="2" t="s">
        <v>5972</v>
      </c>
      <c r="AX463" s="2" t="s">
        <v>5973</v>
      </c>
      <c r="AY463" s="2" t="s">
        <v>5974</v>
      </c>
      <c r="AZ463" s="2" t="s">
        <v>5974</v>
      </c>
      <c r="BA463" s="2" t="s">
        <v>5975</v>
      </c>
      <c r="BB463" s="2" t="s">
        <v>21</v>
      </c>
      <c r="BD463" s="2" t="s">
        <v>5976</v>
      </c>
      <c r="BE463" s="2" t="s">
        <v>5977</v>
      </c>
      <c r="BF463" s="2" t="s">
        <v>5978</v>
      </c>
    </row>
    <row r="464" spans="1:58" ht="42.75" customHeight="1" x14ac:dyDescent="0.25">
      <c r="A464" s="8" t="s">
        <v>8</v>
      </c>
      <c r="B464" s="1" t="s">
        <v>0</v>
      </c>
      <c r="C464" s="1" t="s">
        <v>1</v>
      </c>
      <c r="D464" s="1" t="s">
        <v>5979</v>
      </c>
      <c r="E464" s="1" t="s">
        <v>5980</v>
      </c>
      <c r="F464" s="1" t="s">
        <v>5968</v>
      </c>
      <c r="H464" s="2" t="s">
        <v>8</v>
      </c>
      <c r="I464" s="2" t="s">
        <v>7</v>
      </c>
      <c r="J464" s="2" t="s">
        <v>8</v>
      </c>
      <c r="K464" s="2" t="s">
        <v>6</v>
      </c>
      <c r="L464" s="2" t="s">
        <v>885</v>
      </c>
      <c r="M464" s="1" t="s">
        <v>5969</v>
      </c>
      <c r="N464" s="1" t="s">
        <v>5981</v>
      </c>
      <c r="O464" s="2" t="s">
        <v>2044</v>
      </c>
      <c r="P464" s="1" t="s">
        <v>2031</v>
      </c>
      <c r="Q464" s="2" t="s">
        <v>12</v>
      </c>
      <c r="R464" s="2" t="s">
        <v>13</v>
      </c>
      <c r="T464" s="2" t="s">
        <v>14</v>
      </c>
      <c r="U464" s="3">
        <v>21</v>
      </c>
      <c r="V464" s="3">
        <v>21</v>
      </c>
      <c r="W464" s="4" t="s">
        <v>4765</v>
      </c>
      <c r="X464" s="4" t="s">
        <v>4765</v>
      </c>
      <c r="Y464" s="4" t="s">
        <v>2472</v>
      </c>
      <c r="Z464" s="4" t="s">
        <v>2472</v>
      </c>
      <c r="AA464" s="3">
        <v>328</v>
      </c>
      <c r="AB464" s="3">
        <v>262</v>
      </c>
      <c r="AC464" s="3">
        <v>1521</v>
      </c>
      <c r="AD464" s="3">
        <v>2</v>
      </c>
      <c r="AE464" s="3">
        <v>17</v>
      </c>
      <c r="AF464" s="3">
        <v>15</v>
      </c>
      <c r="AG464" s="3">
        <v>62</v>
      </c>
      <c r="AH464" s="3">
        <v>5</v>
      </c>
      <c r="AI464" s="3">
        <v>17</v>
      </c>
      <c r="AJ464" s="3">
        <v>3</v>
      </c>
      <c r="AK464" s="3">
        <v>10</v>
      </c>
      <c r="AL464" s="3">
        <v>9</v>
      </c>
      <c r="AM464" s="3">
        <v>22</v>
      </c>
      <c r="AN464" s="3">
        <v>1</v>
      </c>
      <c r="AO464" s="3">
        <v>13</v>
      </c>
      <c r="AP464" s="3">
        <v>0</v>
      </c>
      <c r="AQ464" s="3">
        <v>10</v>
      </c>
      <c r="AR464" s="2" t="s">
        <v>8</v>
      </c>
      <c r="AS464" s="2" t="s">
        <v>6</v>
      </c>
      <c r="AT464" s="5" t="str">
        <f>HYPERLINK("http://catalog.hathitrust.org/Record/004268824","HathiTrust Record")</f>
        <v>HathiTrust Record</v>
      </c>
      <c r="AU464" s="5" t="str">
        <f>HYPERLINK("https://creighton-primo.hosted.exlibrisgroup.com/primo-explore/search?tab=default_tab&amp;search_scope=EVERYTHING&amp;vid=01CRU&amp;lang=en_US&amp;offset=0&amp;query=any,contains,991000338129702656","Catalog Record")</f>
        <v>Catalog Record</v>
      </c>
      <c r="AV464" s="5" t="str">
        <f>HYPERLINK("http://www.worldcat.org/oclc/49619614","WorldCat Record")</f>
        <v>WorldCat Record</v>
      </c>
      <c r="AW464" s="2" t="s">
        <v>5972</v>
      </c>
      <c r="AX464" s="2" t="s">
        <v>5982</v>
      </c>
      <c r="AY464" s="2" t="s">
        <v>5983</v>
      </c>
      <c r="AZ464" s="2" t="s">
        <v>5983</v>
      </c>
      <c r="BA464" s="2" t="s">
        <v>5984</v>
      </c>
      <c r="BB464" s="2" t="s">
        <v>21</v>
      </c>
      <c r="BD464" s="2" t="s">
        <v>5985</v>
      </c>
      <c r="BE464" s="2" t="s">
        <v>5986</v>
      </c>
      <c r="BF464" s="2" t="s">
        <v>5987</v>
      </c>
    </row>
    <row r="465" spans="1:58" ht="42.75" customHeight="1" x14ac:dyDescent="0.25">
      <c r="A465" s="8" t="s">
        <v>8</v>
      </c>
      <c r="B465" s="1" t="s">
        <v>0</v>
      </c>
      <c r="C465" s="1" t="s">
        <v>1</v>
      </c>
      <c r="D465" s="1" t="s">
        <v>5988</v>
      </c>
      <c r="E465" s="1" t="s">
        <v>5989</v>
      </c>
      <c r="F465" s="1" t="s">
        <v>5990</v>
      </c>
      <c r="H465" s="2" t="s">
        <v>8</v>
      </c>
      <c r="I465" s="2" t="s">
        <v>7</v>
      </c>
      <c r="J465" s="2" t="s">
        <v>8</v>
      </c>
      <c r="K465" s="2" t="s">
        <v>8</v>
      </c>
      <c r="L465" s="2" t="s">
        <v>9</v>
      </c>
      <c r="N465" s="1" t="s">
        <v>5991</v>
      </c>
      <c r="O465" s="2" t="s">
        <v>51</v>
      </c>
      <c r="Q465" s="2" t="s">
        <v>12</v>
      </c>
      <c r="R465" s="2" t="s">
        <v>5992</v>
      </c>
      <c r="T465" s="2" t="s">
        <v>14</v>
      </c>
      <c r="U465" s="3">
        <v>5</v>
      </c>
      <c r="V465" s="3">
        <v>5</v>
      </c>
      <c r="W465" s="4" t="s">
        <v>5023</v>
      </c>
      <c r="X465" s="4" t="s">
        <v>5023</v>
      </c>
      <c r="Y465" s="4" t="s">
        <v>5993</v>
      </c>
      <c r="Z465" s="4" t="s">
        <v>5993</v>
      </c>
      <c r="AA465" s="3">
        <v>5</v>
      </c>
      <c r="AB465" s="3">
        <v>5</v>
      </c>
      <c r="AC465" s="3">
        <v>5</v>
      </c>
      <c r="AD465" s="3">
        <v>1</v>
      </c>
      <c r="AE465" s="3">
        <v>1</v>
      </c>
      <c r="AF465" s="3">
        <v>0</v>
      </c>
      <c r="AG465" s="3">
        <v>0</v>
      </c>
      <c r="AH465" s="3">
        <v>0</v>
      </c>
      <c r="AI465" s="3">
        <v>0</v>
      </c>
      <c r="AJ465" s="3">
        <v>0</v>
      </c>
      <c r="AK465" s="3">
        <v>0</v>
      </c>
      <c r="AL465" s="3">
        <v>0</v>
      </c>
      <c r="AM465" s="3">
        <v>0</v>
      </c>
      <c r="AN465" s="3">
        <v>0</v>
      </c>
      <c r="AO465" s="3">
        <v>0</v>
      </c>
      <c r="AP465" s="3">
        <v>0</v>
      </c>
      <c r="AQ465" s="3">
        <v>0</v>
      </c>
      <c r="AR465" s="2" t="s">
        <v>8</v>
      </c>
      <c r="AS465" s="2" t="s">
        <v>8</v>
      </c>
      <c r="AU465" s="5" t="str">
        <f>HYPERLINK("https://creighton-primo.hosted.exlibrisgroup.com/primo-explore/search?tab=default_tab&amp;search_scope=EVERYTHING&amp;vid=01CRU&amp;lang=en_US&amp;offset=0&amp;query=any,contains,991001251589702656","Catalog Record")</f>
        <v>Catalog Record</v>
      </c>
      <c r="AV465" s="5" t="str">
        <f>HYPERLINK("http://www.worldcat.org/oclc/19090381","WorldCat Record")</f>
        <v>WorldCat Record</v>
      </c>
      <c r="AW465" s="2" t="s">
        <v>5994</v>
      </c>
      <c r="AX465" s="2" t="s">
        <v>5995</v>
      </c>
      <c r="AY465" s="2" t="s">
        <v>5996</v>
      </c>
      <c r="AZ465" s="2" t="s">
        <v>5996</v>
      </c>
      <c r="BA465" s="2" t="s">
        <v>5997</v>
      </c>
      <c r="BB465" s="2" t="s">
        <v>21</v>
      </c>
      <c r="BE465" s="2" t="s">
        <v>5998</v>
      </c>
      <c r="BF465" s="2" t="s">
        <v>5999</v>
      </c>
    </row>
    <row r="466" spans="1:58" ht="42.75" customHeight="1" x14ac:dyDescent="0.25">
      <c r="A466" s="8" t="s">
        <v>8</v>
      </c>
      <c r="B466" s="1" t="s">
        <v>0</v>
      </c>
      <c r="C466" s="1" t="s">
        <v>1</v>
      </c>
      <c r="D466" s="1" t="s">
        <v>6000</v>
      </c>
      <c r="E466" s="1" t="s">
        <v>6001</v>
      </c>
      <c r="F466" s="1" t="s">
        <v>6002</v>
      </c>
      <c r="H466" s="2" t="s">
        <v>8</v>
      </c>
      <c r="I466" s="2" t="s">
        <v>7</v>
      </c>
      <c r="J466" s="2" t="s">
        <v>6</v>
      </c>
      <c r="K466" s="2" t="s">
        <v>8</v>
      </c>
      <c r="L466" s="2" t="s">
        <v>9</v>
      </c>
      <c r="M466" s="1" t="s">
        <v>6003</v>
      </c>
      <c r="N466" s="1" t="s">
        <v>6004</v>
      </c>
      <c r="O466" s="2" t="s">
        <v>627</v>
      </c>
      <c r="Q466" s="2" t="s">
        <v>12</v>
      </c>
      <c r="R466" s="2" t="s">
        <v>34</v>
      </c>
      <c r="T466" s="2" t="s">
        <v>14</v>
      </c>
      <c r="U466" s="3">
        <v>21</v>
      </c>
      <c r="V466" s="3">
        <v>21</v>
      </c>
      <c r="W466" s="4" t="s">
        <v>3742</v>
      </c>
      <c r="X466" s="4" t="s">
        <v>3742</v>
      </c>
      <c r="Y466" s="4" t="s">
        <v>2755</v>
      </c>
      <c r="Z466" s="4" t="s">
        <v>2755</v>
      </c>
      <c r="AA466" s="3">
        <v>736</v>
      </c>
      <c r="AB466" s="3">
        <v>592</v>
      </c>
      <c r="AC466" s="3">
        <v>702</v>
      </c>
      <c r="AD466" s="3">
        <v>4</v>
      </c>
      <c r="AE466" s="3">
        <v>5</v>
      </c>
      <c r="AF466" s="3">
        <v>27</v>
      </c>
      <c r="AG466" s="3">
        <v>31</v>
      </c>
      <c r="AH466" s="3">
        <v>12</v>
      </c>
      <c r="AI466" s="3">
        <v>14</v>
      </c>
      <c r="AJ466" s="3">
        <v>8</v>
      </c>
      <c r="AK466" s="3">
        <v>10</v>
      </c>
      <c r="AL466" s="3">
        <v>16</v>
      </c>
      <c r="AM466" s="3">
        <v>16</v>
      </c>
      <c r="AN466" s="3">
        <v>1</v>
      </c>
      <c r="AO466" s="3">
        <v>2</v>
      </c>
      <c r="AP466" s="3">
        <v>0</v>
      </c>
      <c r="AQ466" s="3">
        <v>0</v>
      </c>
      <c r="AR466" s="2" t="s">
        <v>8</v>
      </c>
      <c r="AS466" s="2" t="s">
        <v>6</v>
      </c>
      <c r="AT466" s="5" t="str">
        <f>HYPERLINK("http://catalog.hathitrust.org/Record/001835447","HathiTrust Record")</f>
        <v>HathiTrust Record</v>
      </c>
      <c r="AU466" s="5" t="str">
        <f>HYPERLINK("https://creighton-primo.hosted.exlibrisgroup.com/primo-explore/search?tab=default_tab&amp;search_scope=EVERYTHING&amp;vid=01CRU&amp;lang=en_US&amp;offset=0&amp;query=any,contains,991001449559702656","Catalog Record")</f>
        <v>Catalog Record</v>
      </c>
      <c r="AV466" s="5" t="str">
        <f>HYPERLINK("http://www.worldcat.org/oclc/19264823","WorldCat Record")</f>
        <v>WorldCat Record</v>
      </c>
      <c r="AW466" s="2" t="s">
        <v>6005</v>
      </c>
      <c r="AX466" s="2" t="s">
        <v>6006</v>
      </c>
      <c r="AY466" s="2" t="s">
        <v>6007</v>
      </c>
      <c r="AZ466" s="2" t="s">
        <v>6007</v>
      </c>
      <c r="BA466" s="2" t="s">
        <v>6008</v>
      </c>
      <c r="BB466" s="2" t="s">
        <v>21</v>
      </c>
      <c r="BD466" s="2" t="s">
        <v>6009</v>
      </c>
      <c r="BE466" s="2" t="s">
        <v>6010</v>
      </c>
      <c r="BF466" s="2" t="s">
        <v>6011</v>
      </c>
    </row>
    <row r="467" spans="1:58" ht="42.75" customHeight="1" x14ac:dyDescent="0.25">
      <c r="A467" s="8" t="s">
        <v>8</v>
      </c>
      <c r="B467" s="1" t="s">
        <v>0</v>
      </c>
      <c r="C467" s="1" t="s">
        <v>1</v>
      </c>
      <c r="D467" s="1" t="s">
        <v>6012</v>
      </c>
      <c r="E467" s="1" t="s">
        <v>6013</v>
      </c>
      <c r="F467" s="1" t="s">
        <v>6014</v>
      </c>
      <c r="H467" s="2" t="s">
        <v>8</v>
      </c>
      <c r="I467" s="2" t="s">
        <v>7</v>
      </c>
      <c r="J467" s="2" t="s">
        <v>8</v>
      </c>
      <c r="K467" s="2" t="s">
        <v>8</v>
      </c>
      <c r="L467" s="2" t="s">
        <v>9</v>
      </c>
      <c r="M467" s="1" t="s">
        <v>6015</v>
      </c>
      <c r="N467" s="1" t="s">
        <v>6016</v>
      </c>
      <c r="O467" s="2" t="s">
        <v>252</v>
      </c>
      <c r="Q467" s="2" t="s">
        <v>12</v>
      </c>
      <c r="R467" s="2" t="s">
        <v>34</v>
      </c>
      <c r="T467" s="2" t="s">
        <v>14</v>
      </c>
      <c r="U467" s="3">
        <v>5</v>
      </c>
      <c r="V467" s="3">
        <v>5</v>
      </c>
      <c r="W467" s="4" t="s">
        <v>6017</v>
      </c>
      <c r="X467" s="4" t="s">
        <v>6017</v>
      </c>
      <c r="Y467" s="4" t="s">
        <v>4443</v>
      </c>
      <c r="Z467" s="4" t="s">
        <v>4443</v>
      </c>
      <c r="AA467" s="3">
        <v>230</v>
      </c>
      <c r="AB467" s="3">
        <v>194</v>
      </c>
      <c r="AC467" s="3">
        <v>201</v>
      </c>
      <c r="AD467" s="3">
        <v>3</v>
      </c>
      <c r="AE467" s="3">
        <v>3</v>
      </c>
      <c r="AF467" s="3">
        <v>8</v>
      </c>
      <c r="AG467" s="3">
        <v>8</v>
      </c>
      <c r="AH467" s="3">
        <v>0</v>
      </c>
      <c r="AI467" s="3">
        <v>0</v>
      </c>
      <c r="AJ467" s="3">
        <v>0</v>
      </c>
      <c r="AK467" s="3">
        <v>0</v>
      </c>
      <c r="AL467" s="3">
        <v>6</v>
      </c>
      <c r="AM467" s="3">
        <v>6</v>
      </c>
      <c r="AN467" s="3">
        <v>1</v>
      </c>
      <c r="AO467" s="3">
        <v>1</v>
      </c>
      <c r="AP467" s="3">
        <v>1</v>
      </c>
      <c r="AQ467" s="3">
        <v>1</v>
      </c>
      <c r="AR467" s="2" t="s">
        <v>8</v>
      </c>
      <c r="AS467" s="2" t="s">
        <v>6</v>
      </c>
      <c r="AT467" s="5" t="str">
        <f>HYPERLINK("http://catalog.hathitrust.org/Record/000191260","HathiTrust Record")</f>
        <v>HathiTrust Record</v>
      </c>
      <c r="AU467" s="5" t="str">
        <f>HYPERLINK("https://creighton-primo.hosted.exlibrisgroup.com/primo-explore/search?tab=default_tab&amp;search_scope=EVERYTHING&amp;vid=01CRU&amp;lang=en_US&amp;offset=0&amp;query=any,contains,991001256029702656","Catalog Record")</f>
        <v>Catalog Record</v>
      </c>
      <c r="AV467" s="5" t="str">
        <f>HYPERLINK("http://www.worldcat.org/oclc/6890100","WorldCat Record")</f>
        <v>WorldCat Record</v>
      </c>
      <c r="AW467" s="2" t="s">
        <v>6018</v>
      </c>
      <c r="AX467" s="2" t="s">
        <v>6019</v>
      </c>
      <c r="AY467" s="2" t="s">
        <v>6020</v>
      </c>
      <c r="AZ467" s="2" t="s">
        <v>6020</v>
      </c>
      <c r="BA467" s="2" t="s">
        <v>6021</v>
      </c>
      <c r="BB467" s="2" t="s">
        <v>21</v>
      </c>
      <c r="BD467" s="2" t="s">
        <v>6022</v>
      </c>
      <c r="BE467" s="2" t="s">
        <v>6023</v>
      </c>
      <c r="BF467" s="2" t="s">
        <v>6024</v>
      </c>
    </row>
    <row r="468" spans="1:58" ht="42.75" customHeight="1" x14ac:dyDescent="0.25">
      <c r="A468" s="8" t="s">
        <v>8</v>
      </c>
      <c r="B468" s="1" t="s">
        <v>0</v>
      </c>
      <c r="C468" s="1" t="s">
        <v>1</v>
      </c>
      <c r="D468" s="1" t="s">
        <v>6025</v>
      </c>
      <c r="E468" s="1" t="s">
        <v>6026</v>
      </c>
      <c r="F468" s="1" t="s">
        <v>6027</v>
      </c>
      <c r="H468" s="2" t="s">
        <v>8</v>
      </c>
      <c r="I468" s="2" t="s">
        <v>7</v>
      </c>
      <c r="J468" s="2" t="s">
        <v>8</v>
      </c>
      <c r="K468" s="2" t="s">
        <v>8</v>
      </c>
      <c r="L468" s="2" t="s">
        <v>9</v>
      </c>
      <c r="M468" s="1" t="s">
        <v>6028</v>
      </c>
      <c r="N468" s="1" t="s">
        <v>6029</v>
      </c>
      <c r="O468" s="2" t="s">
        <v>589</v>
      </c>
      <c r="Q468" s="2" t="s">
        <v>12</v>
      </c>
      <c r="R468" s="2" t="s">
        <v>34</v>
      </c>
      <c r="T468" s="2" t="s">
        <v>14</v>
      </c>
      <c r="U468" s="3">
        <v>14</v>
      </c>
      <c r="V468" s="3">
        <v>14</v>
      </c>
      <c r="W468" s="4" t="s">
        <v>6030</v>
      </c>
      <c r="X468" s="4" t="s">
        <v>6030</v>
      </c>
      <c r="Y468" s="4" t="s">
        <v>458</v>
      </c>
      <c r="Z468" s="4" t="s">
        <v>458</v>
      </c>
      <c r="AA468" s="3">
        <v>1068</v>
      </c>
      <c r="AB468" s="3">
        <v>937</v>
      </c>
      <c r="AC468" s="3">
        <v>950</v>
      </c>
      <c r="AD468" s="3">
        <v>6</v>
      </c>
      <c r="AE468" s="3">
        <v>6</v>
      </c>
      <c r="AF468" s="3">
        <v>52</v>
      </c>
      <c r="AG468" s="3">
        <v>52</v>
      </c>
      <c r="AH468" s="3">
        <v>18</v>
      </c>
      <c r="AI468" s="3">
        <v>18</v>
      </c>
      <c r="AJ468" s="3">
        <v>8</v>
      </c>
      <c r="AK468" s="3">
        <v>8</v>
      </c>
      <c r="AL468" s="3">
        <v>20</v>
      </c>
      <c r="AM468" s="3">
        <v>20</v>
      </c>
      <c r="AN468" s="3">
        <v>4</v>
      </c>
      <c r="AO468" s="3">
        <v>4</v>
      </c>
      <c r="AP468" s="3">
        <v>12</v>
      </c>
      <c r="AQ468" s="3">
        <v>12</v>
      </c>
      <c r="AR468" s="2" t="s">
        <v>8</v>
      </c>
      <c r="AS468" s="2" t="s">
        <v>6</v>
      </c>
      <c r="AT468" s="5" t="str">
        <f>HYPERLINK("http://catalog.hathitrust.org/Record/001948388","HathiTrust Record")</f>
        <v>HathiTrust Record</v>
      </c>
      <c r="AU468" s="5" t="str">
        <f>HYPERLINK("https://creighton-primo.hosted.exlibrisgroup.com/primo-explore/search?tab=default_tab&amp;search_scope=EVERYTHING&amp;vid=01CRU&amp;lang=en_US&amp;offset=0&amp;query=any,contains,991001450089702656","Catalog Record")</f>
        <v>Catalog Record</v>
      </c>
      <c r="AV468" s="5" t="str">
        <f>HYPERLINK("http://www.worldcat.org/oclc/20013150","WorldCat Record")</f>
        <v>WorldCat Record</v>
      </c>
      <c r="AW468" s="2" t="s">
        <v>6031</v>
      </c>
      <c r="AX468" s="2" t="s">
        <v>6032</v>
      </c>
      <c r="AY468" s="2" t="s">
        <v>6033</v>
      </c>
      <c r="AZ468" s="2" t="s">
        <v>6033</v>
      </c>
      <c r="BA468" s="2" t="s">
        <v>6034</v>
      </c>
      <c r="BB468" s="2" t="s">
        <v>21</v>
      </c>
      <c r="BD468" s="2" t="s">
        <v>6035</v>
      </c>
      <c r="BE468" s="2" t="s">
        <v>6036</v>
      </c>
      <c r="BF468" s="2" t="s">
        <v>6037</v>
      </c>
    </row>
    <row r="469" spans="1:58" ht="42.75" customHeight="1" x14ac:dyDescent="0.25">
      <c r="A469" s="8" t="s">
        <v>8</v>
      </c>
      <c r="B469" s="1" t="s">
        <v>0</v>
      </c>
      <c r="C469" s="1" t="s">
        <v>1</v>
      </c>
      <c r="D469" s="1" t="s">
        <v>6038</v>
      </c>
      <c r="E469" s="1" t="s">
        <v>6039</v>
      </c>
      <c r="F469" s="1" t="s">
        <v>6040</v>
      </c>
      <c r="H469" s="2" t="s">
        <v>8</v>
      </c>
      <c r="I469" s="2" t="s">
        <v>7</v>
      </c>
      <c r="J469" s="2" t="s">
        <v>6</v>
      </c>
      <c r="K469" s="2" t="s">
        <v>8</v>
      </c>
      <c r="L469" s="2" t="s">
        <v>7</v>
      </c>
      <c r="M469" s="1" t="s">
        <v>6041</v>
      </c>
      <c r="N469" s="1" t="s">
        <v>6042</v>
      </c>
      <c r="O469" s="2" t="s">
        <v>602</v>
      </c>
      <c r="Q469" s="2" t="s">
        <v>12</v>
      </c>
      <c r="R469" s="2" t="s">
        <v>145</v>
      </c>
      <c r="S469" s="1" t="s">
        <v>6043</v>
      </c>
      <c r="T469" s="2" t="s">
        <v>14</v>
      </c>
      <c r="U469" s="3">
        <v>12</v>
      </c>
      <c r="V469" s="3">
        <v>16</v>
      </c>
      <c r="W469" s="4" t="s">
        <v>4127</v>
      </c>
      <c r="X469" s="4" t="s">
        <v>6044</v>
      </c>
      <c r="Y469" s="4" t="s">
        <v>6045</v>
      </c>
      <c r="Z469" s="4" t="s">
        <v>6046</v>
      </c>
      <c r="AA469" s="3">
        <v>176</v>
      </c>
      <c r="AB469" s="3">
        <v>134</v>
      </c>
      <c r="AC469" s="3">
        <v>1373</v>
      </c>
      <c r="AD469" s="3">
        <v>2</v>
      </c>
      <c r="AE469" s="3">
        <v>16</v>
      </c>
      <c r="AF469" s="3">
        <v>9</v>
      </c>
      <c r="AG469" s="3">
        <v>70</v>
      </c>
      <c r="AH469" s="3">
        <v>1</v>
      </c>
      <c r="AI469" s="3">
        <v>20</v>
      </c>
      <c r="AJ469" s="3">
        <v>2</v>
      </c>
      <c r="AK469" s="3">
        <v>8</v>
      </c>
      <c r="AL469" s="3">
        <v>3</v>
      </c>
      <c r="AM469" s="3">
        <v>21</v>
      </c>
      <c r="AN469" s="3">
        <v>0</v>
      </c>
      <c r="AO469" s="3">
        <v>13</v>
      </c>
      <c r="AP469" s="3">
        <v>4</v>
      </c>
      <c r="AQ469" s="3">
        <v>18</v>
      </c>
      <c r="AR469" s="2" t="s">
        <v>8</v>
      </c>
      <c r="AS469" s="2" t="s">
        <v>8</v>
      </c>
      <c r="AU469" s="5" t="str">
        <f>HYPERLINK("https://creighton-primo.hosted.exlibrisgroup.com/primo-explore/search?tab=default_tab&amp;search_scope=EVERYTHING&amp;vid=01CRU&amp;lang=en_US&amp;offset=0&amp;query=any,contains,991001648139702656","Catalog Record")</f>
        <v>Catalog Record</v>
      </c>
      <c r="AV469" s="5" t="str">
        <f>HYPERLINK("http://www.worldcat.org/oclc/23140438","WorldCat Record")</f>
        <v>WorldCat Record</v>
      </c>
      <c r="AW469" s="2" t="s">
        <v>6047</v>
      </c>
      <c r="AX469" s="2" t="s">
        <v>6048</v>
      </c>
      <c r="AY469" s="2" t="s">
        <v>6049</v>
      </c>
      <c r="AZ469" s="2" t="s">
        <v>6049</v>
      </c>
      <c r="BA469" s="2" t="s">
        <v>6050</v>
      </c>
      <c r="BB469" s="2" t="s">
        <v>21</v>
      </c>
      <c r="BD469" s="2" t="s">
        <v>6051</v>
      </c>
      <c r="BE469" s="2" t="s">
        <v>6052</v>
      </c>
      <c r="BF469" s="2" t="s">
        <v>6053</v>
      </c>
    </row>
    <row r="470" spans="1:58" ht="42.75" customHeight="1" x14ac:dyDescent="0.25">
      <c r="A470" s="8" t="s">
        <v>8</v>
      </c>
      <c r="B470" s="1" t="s">
        <v>0</v>
      </c>
      <c r="C470" s="1" t="s">
        <v>1</v>
      </c>
      <c r="D470" s="1" t="s">
        <v>6054</v>
      </c>
      <c r="E470" s="1" t="s">
        <v>6055</v>
      </c>
      <c r="F470" s="1" t="s">
        <v>6056</v>
      </c>
      <c r="H470" s="2" t="s">
        <v>8</v>
      </c>
      <c r="I470" s="2" t="s">
        <v>7</v>
      </c>
      <c r="J470" s="2" t="s">
        <v>8</v>
      </c>
      <c r="K470" s="2" t="s">
        <v>8</v>
      </c>
      <c r="L470" s="2" t="s">
        <v>9</v>
      </c>
      <c r="M470" s="1" t="s">
        <v>6057</v>
      </c>
      <c r="N470" s="1" t="s">
        <v>6058</v>
      </c>
      <c r="O470" s="2" t="s">
        <v>2919</v>
      </c>
      <c r="Q470" s="2" t="s">
        <v>12</v>
      </c>
      <c r="R470" s="2" t="s">
        <v>628</v>
      </c>
      <c r="T470" s="2" t="s">
        <v>14</v>
      </c>
      <c r="U470" s="3">
        <v>7</v>
      </c>
      <c r="V470" s="3">
        <v>7</v>
      </c>
      <c r="W470" s="4" t="s">
        <v>6059</v>
      </c>
      <c r="X470" s="4" t="s">
        <v>6059</v>
      </c>
      <c r="Y470" s="4" t="s">
        <v>1254</v>
      </c>
      <c r="Z470" s="4" t="s">
        <v>1254</v>
      </c>
      <c r="AA470" s="3">
        <v>850</v>
      </c>
      <c r="AB470" s="3">
        <v>706</v>
      </c>
      <c r="AC470" s="3">
        <v>706</v>
      </c>
      <c r="AD470" s="3">
        <v>5</v>
      </c>
      <c r="AE470" s="3">
        <v>5</v>
      </c>
      <c r="AF470" s="3">
        <v>32</v>
      </c>
      <c r="AG470" s="3">
        <v>32</v>
      </c>
      <c r="AH470" s="3">
        <v>10</v>
      </c>
      <c r="AI470" s="3">
        <v>10</v>
      </c>
      <c r="AJ470" s="3">
        <v>6</v>
      </c>
      <c r="AK470" s="3">
        <v>6</v>
      </c>
      <c r="AL470" s="3">
        <v>15</v>
      </c>
      <c r="AM470" s="3">
        <v>15</v>
      </c>
      <c r="AN470" s="3">
        <v>4</v>
      </c>
      <c r="AO470" s="3">
        <v>4</v>
      </c>
      <c r="AP470" s="3">
        <v>4</v>
      </c>
      <c r="AQ470" s="3">
        <v>4</v>
      </c>
      <c r="AR470" s="2" t="s">
        <v>8</v>
      </c>
      <c r="AS470" s="2" t="s">
        <v>8</v>
      </c>
      <c r="AU470" s="5" t="str">
        <f>HYPERLINK("https://creighton-primo.hosted.exlibrisgroup.com/primo-explore/search?tab=default_tab&amp;search_scope=EVERYTHING&amp;vid=01CRU&amp;lang=en_US&amp;offset=0&amp;query=any,contains,991001433829702656","Catalog Record")</f>
        <v>Catalog Record</v>
      </c>
      <c r="AV470" s="5" t="str">
        <f>HYPERLINK("http://www.worldcat.org/oclc/1229464","WorldCat Record")</f>
        <v>WorldCat Record</v>
      </c>
      <c r="AW470" s="2" t="s">
        <v>6060</v>
      </c>
      <c r="AX470" s="2" t="s">
        <v>6061</v>
      </c>
      <c r="AY470" s="2" t="s">
        <v>6062</v>
      </c>
      <c r="AZ470" s="2" t="s">
        <v>6062</v>
      </c>
      <c r="BA470" s="2" t="s">
        <v>6063</v>
      </c>
      <c r="BB470" s="2" t="s">
        <v>21</v>
      </c>
      <c r="BD470" s="2" t="s">
        <v>6064</v>
      </c>
      <c r="BE470" s="2" t="s">
        <v>6065</v>
      </c>
      <c r="BF470" s="2" t="s">
        <v>6066</v>
      </c>
    </row>
    <row r="471" spans="1:58" ht="42.75" customHeight="1" x14ac:dyDescent="0.25">
      <c r="A471" s="8" t="s">
        <v>8</v>
      </c>
      <c r="B471" s="1" t="s">
        <v>0</v>
      </c>
      <c r="C471" s="1" t="s">
        <v>1</v>
      </c>
      <c r="D471" s="1" t="s">
        <v>6067</v>
      </c>
      <c r="E471" s="1" t="s">
        <v>6068</v>
      </c>
      <c r="F471" s="1" t="s">
        <v>6069</v>
      </c>
      <c r="H471" s="2" t="s">
        <v>8</v>
      </c>
      <c r="I471" s="2" t="s">
        <v>7</v>
      </c>
      <c r="J471" s="2" t="s">
        <v>8</v>
      </c>
      <c r="K471" s="2" t="s">
        <v>8</v>
      </c>
      <c r="L471" s="2" t="s">
        <v>9</v>
      </c>
      <c r="N471" s="1" t="s">
        <v>6070</v>
      </c>
      <c r="O471" s="2" t="s">
        <v>224</v>
      </c>
      <c r="Q471" s="2" t="s">
        <v>12</v>
      </c>
      <c r="R471" s="2" t="s">
        <v>13</v>
      </c>
      <c r="S471" s="1" t="s">
        <v>6071</v>
      </c>
      <c r="T471" s="2" t="s">
        <v>14</v>
      </c>
      <c r="U471" s="3">
        <v>4</v>
      </c>
      <c r="V471" s="3">
        <v>4</v>
      </c>
      <c r="W471" s="4" t="s">
        <v>6072</v>
      </c>
      <c r="X471" s="4" t="s">
        <v>6072</v>
      </c>
      <c r="Y471" s="4" t="s">
        <v>4443</v>
      </c>
      <c r="Z471" s="4" t="s">
        <v>4443</v>
      </c>
      <c r="AA471" s="3">
        <v>562</v>
      </c>
      <c r="AB471" s="3">
        <v>509</v>
      </c>
      <c r="AC471" s="3">
        <v>511</v>
      </c>
      <c r="AD471" s="3">
        <v>4</v>
      </c>
      <c r="AE471" s="3">
        <v>4</v>
      </c>
      <c r="AF471" s="3">
        <v>32</v>
      </c>
      <c r="AG471" s="3">
        <v>32</v>
      </c>
      <c r="AH471" s="3">
        <v>10</v>
      </c>
      <c r="AI471" s="3">
        <v>10</v>
      </c>
      <c r="AJ471" s="3">
        <v>8</v>
      </c>
      <c r="AK471" s="3">
        <v>8</v>
      </c>
      <c r="AL471" s="3">
        <v>18</v>
      </c>
      <c r="AM471" s="3">
        <v>18</v>
      </c>
      <c r="AN471" s="3">
        <v>3</v>
      </c>
      <c r="AO471" s="3">
        <v>3</v>
      </c>
      <c r="AP471" s="3">
        <v>1</v>
      </c>
      <c r="AQ471" s="3">
        <v>1</v>
      </c>
      <c r="AR471" s="2" t="s">
        <v>8</v>
      </c>
      <c r="AS471" s="2" t="s">
        <v>6</v>
      </c>
      <c r="AT471" s="5" t="str">
        <f>HYPERLINK("http://catalog.hathitrust.org/Record/000699249","HathiTrust Record")</f>
        <v>HathiTrust Record</v>
      </c>
      <c r="AU471" s="5" t="str">
        <f>HYPERLINK("https://creighton-primo.hosted.exlibrisgroup.com/primo-explore/search?tab=default_tab&amp;search_scope=EVERYTHING&amp;vid=01CRU&amp;lang=en_US&amp;offset=0&amp;query=any,contains,991001256069702656","Catalog Record")</f>
        <v>Catalog Record</v>
      </c>
      <c r="AV471" s="5" t="str">
        <f>HYPERLINK("http://www.worldcat.org/oclc/5675747","WorldCat Record")</f>
        <v>WorldCat Record</v>
      </c>
      <c r="AW471" s="2" t="s">
        <v>6073</v>
      </c>
      <c r="AX471" s="2" t="s">
        <v>6074</v>
      </c>
      <c r="AY471" s="2" t="s">
        <v>6075</v>
      </c>
      <c r="AZ471" s="2" t="s">
        <v>6075</v>
      </c>
      <c r="BA471" s="2" t="s">
        <v>6076</v>
      </c>
      <c r="BB471" s="2" t="s">
        <v>21</v>
      </c>
      <c r="BD471" s="2" t="s">
        <v>6077</v>
      </c>
      <c r="BE471" s="2" t="s">
        <v>6078</v>
      </c>
      <c r="BF471" s="2" t="s">
        <v>6079</v>
      </c>
    </row>
    <row r="472" spans="1:58" ht="42.75" customHeight="1" x14ac:dyDescent="0.25">
      <c r="A472" s="8" t="s">
        <v>8</v>
      </c>
      <c r="B472" s="1" t="s">
        <v>0</v>
      </c>
      <c r="C472" s="1" t="s">
        <v>1</v>
      </c>
      <c r="D472" s="1" t="s">
        <v>6080</v>
      </c>
      <c r="E472" s="1" t="s">
        <v>6081</v>
      </c>
      <c r="F472" s="1" t="s">
        <v>6082</v>
      </c>
      <c r="H472" s="2" t="s">
        <v>8</v>
      </c>
      <c r="I472" s="2" t="s">
        <v>7</v>
      </c>
      <c r="J472" s="2" t="s">
        <v>6</v>
      </c>
      <c r="K472" s="2" t="s">
        <v>6</v>
      </c>
      <c r="L472" s="2" t="s">
        <v>9</v>
      </c>
      <c r="M472" s="1" t="s">
        <v>6083</v>
      </c>
      <c r="N472" s="1" t="s">
        <v>6084</v>
      </c>
      <c r="O472" s="2" t="s">
        <v>688</v>
      </c>
      <c r="P472" s="1" t="s">
        <v>1225</v>
      </c>
      <c r="Q472" s="2" t="s">
        <v>12</v>
      </c>
      <c r="R472" s="2" t="s">
        <v>1170</v>
      </c>
      <c r="T472" s="2" t="s">
        <v>14</v>
      </c>
      <c r="U472" s="3">
        <v>0</v>
      </c>
      <c r="V472" s="3">
        <v>6</v>
      </c>
      <c r="X472" s="4" t="s">
        <v>6085</v>
      </c>
      <c r="Y472" s="4" t="s">
        <v>1847</v>
      </c>
      <c r="Z472" s="4" t="s">
        <v>1847</v>
      </c>
      <c r="AA472" s="3">
        <v>404</v>
      </c>
      <c r="AB472" s="3">
        <v>360</v>
      </c>
      <c r="AC472" s="3">
        <v>647</v>
      </c>
      <c r="AD472" s="3">
        <v>7</v>
      </c>
      <c r="AE472" s="3">
        <v>9</v>
      </c>
      <c r="AF472" s="3">
        <v>32</v>
      </c>
      <c r="AG472" s="3">
        <v>48</v>
      </c>
      <c r="AH472" s="3">
        <v>10</v>
      </c>
      <c r="AI472" s="3">
        <v>16</v>
      </c>
      <c r="AJ472" s="3">
        <v>6</v>
      </c>
      <c r="AK472" s="3">
        <v>10</v>
      </c>
      <c r="AL472" s="3">
        <v>16</v>
      </c>
      <c r="AM472" s="3">
        <v>21</v>
      </c>
      <c r="AN472" s="3">
        <v>3</v>
      </c>
      <c r="AO472" s="3">
        <v>4</v>
      </c>
      <c r="AP472" s="3">
        <v>6</v>
      </c>
      <c r="AQ472" s="3">
        <v>9</v>
      </c>
      <c r="AR472" s="2" t="s">
        <v>8</v>
      </c>
      <c r="AS472" s="2" t="s">
        <v>6</v>
      </c>
      <c r="AT472" s="5" t="str">
        <f>HYPERLINK("http://catalog.hathitrust.org/Record/003071057","HathiTrust Record")</f>
        <v>HathiTrust Record</v>
      </c>
      <c r="AU472" s="5" t="str">
        <f>HYPERLINK("https://creighton-primo.hosted.exlibrisgroup.com/primo-explore/search?tab=default_tab&amp;search_scope=EVERYTHING&amp;vid=01CRU&amp;lang=en_US&amp;offset=0&amp;query=any,contains,991001663269702656","Catalog Record")</f>
        <v>Catalog Record</v>
      </c>
      <c r="AV472" s="5" t="str">
        <f>HYPERLINK("http://www.worldcat.org/oclc/30812112","WorldCat Record")</f>
        <v>WorldCat Record</v>
      </c>
      <c r="AW472" s="2" t="s">
        <v>6086</v>
      </c>
      <c r="AX472" s="2" t="s">
        <v>6087</v>
      </c>
      <c r="AY472" s="2" t="s">
        <v>6088</v>
      </c>
      <c r="AZ472" s="2" t="s">
        <v>6088</v>
      </c>
      <c r="BA472" s="2" t="s">
        <v>6089</v>
      </c>
      <c r="BB472" s="2" t="s">
        <v>21</v>
      </c>
      <c r="BD472" s="2" t="s">
        <v>6090</v>
      </c>
      <c r="BE472" s="2" t="s">
        <v>6091</v>
      </c>
      <c r="BF472" s="2" t="s">
        <v>6092</v>
      </c>
    </row>
    <row r="473" spans="1:58" ht="42.75" customHeight="1" x14ac:dyDescent="0.25">
      <c r="A473" s="8" t="s">
        <v>8</v>
      </c>
      <c r="B473" s="1" t="s">
        <v>0</v>
      </c>
      <c r="C473" s="1" t="s">
        <v>1</v>
      </c>
      <c r="D473" s="1" t="s">
        <v>6093</v>
      </c>
      <c r="E473" s="1" t="s">
        <v>6094</v>
      </c>
      <c r="F473" s="1" t="s">
        <v>6095</v>
      </c>
      <c r="H473" s="2" t="s">
        <v>8</v>
      </c>
      <c r="I473" s="2" t="s">
        <v>7</v>
      </c>
      <c r="J473" s="2" t="s">
        <v>8</v>
      </c>
      <c r="K473" s="2" t="s">
        <v>8</v>
      </c>
      <c r="L473" s="2" t="s">
        <v>9</v>
      </c>
      <c r="M473" s="1" t="s">
        <v>6096</v>
      </c>
      <c r="N473" s="1" t="s">
        <v>6097</v>
      </c>
      <c r="O473" s="2" t="s">
        <v>67</v>
      </c>
      <c r="Q473" s="2" t="s">
        <v>12</v>
      </c>
      <c r="R473" s="2" t="s">
        <v>1170</v>
      </c>
      <c r="T473" s="2" t="s">
        <v>14</v>
      </c>
      <c r="U473" s="3">
        <v>15</v>
      </c>
      <c r="V473" s="3">
        <v>15</v>
      </c>
      <c r="W473" s="4" t="s">
        <v>6098</v>
      </c>
      <c r="X473" s="4" t="s">
        <v>6098</v>
      </c>
      <c r="Y473" s="4" t="s">
        <v>4443</v>
      </c>
      <c r="Z473" s="4" t="s">
        <v>4443</v>
      </c>
      <c r="AA473" s="3">
        <v>1000</v>
      </c>
      <c r="AB473" s="3">
        <v>924</v>
      </c>
      <c r="AC473" s="3">
        <v>937</v>
      </c>
      <c r="AD473" s="3">
        <v>8</v>
      </c>
      <c r="AE473" s="3">
        <v>8</v>
      </c>
      <c r="AF473" s="3">
        <v>32</v>
      </c>
      <c r="AG473" s="3">
        <v>33</v>
      </c>
      <c r="AH473" s="3">
        <v>12</v>
      </c>
      <c r="AI473" s="3">
        <v>13</v>
      </c>
      <c r="AJ473" s="3">
        <v>6</v>
      </c>
      <c r="AK473" s="3">
        <v>6</v>
      </c>
      <c r="AL473" s="3">
        <v>14</v>
      </c>
      <c r="AM473" s="3">
        <v>14</v>
      </c>
      <c r="AN473" s="3">
        <v>4</v>
      </c>
      <c r="AO473" s="3">
        <v>4</v>
      </c>
      <c r="AP473" s="3">
        <v>2</v>
      </c>
      <c r="AQ473" s="3">
        <v>2</v>
      </c>
      <c r="AR473" s="2" t="s">
        <v>8</v>
      </c>
      <c r="AS473" s="2" t="s">
        <v>6</v>
      </c>
      <c r="AT473" s="5" t="str">
        <f>HYPERLINK("http://catalog.hathitrust.org/Record/000349727","HathiTrust Record")</f>
        <v>HathiTrust Record</v>
      </c>
      <c r="AU473" s="5" t="str">
        <f>HYPERLINK("https://creighton-primo.hosted.exlibrisgroup.com/primo-explore/search?tab=default_tab&amp;search_scope=EVERYTHING&amp;vid=01CRU&amp;lang=en_US&amp;offset=0&amp;query=any,contains,991001256209702656","Catalog Record")</f>
        <v>Catalog Record</v>
      </c>
      <c r="AV473" s="5" t="str">
        <f>HYPERLINK("http://www.worldcat.org/oclc/12009130","WorldCat Record")</f>
        <v>WorldCat Record</v>
      </c>
      <c r="AW473" s="2" t="s">
        <v>6099</v>
      </c>
      <c r="AX473" s="2" t="s">
        <v>6100</v>
      </c>
      <c r="AY473" s="2" t="s">
        <v>6101</v>
      </c>
      <c r="AZ473" s="2" t="s">
        <v>6101</v>
      </c>
      <c r="BA473" s="2" t="s">
        <v>6102</v>
      </c>
      <c r="BB473" s="2" t="s">
        <v>21</v>
      </c>
      <c r="BD473" s="2" t="s">
        <v>6103</v>
      </c>
      <c r="BE473" s="2" t="s">
        <v>6104</v>
      </c>
      <c r="BF473" s="2" t="s">
        <v>6105</v>
      </c>
    </row>
    <row r="474" spans="1:58" ht="42.75" customHeight="1" x14ac:dyDescent="0.25">
      <c r="A474" s="8" t="s">
        <v>8</v>
      </c>
      <c r="B474" s="1" t="s">
        <v>0</v>
      </c>
      <c r="C474" s="1" t="s">
        <v>1</v>
      </c>
      <c r="D474" s="1" t="s">
        <v>6106</v>
      </c>
      <c r="E474" s="1" t="s">
        <v>6107</v>
      </c>
      <c r="F474" s="1" t="s">
        <v>6108</v>
      </c>
      <c r="H474" s="2" t="s">
        <v>8</v>
      </c>
      <c r="I474" s="2" t="s">
        <v>7</v>
      </c>
      <c r="J474" s="2" t="s">
        <v>6</v>
      </c>
      <c r="K474" s="2" t="s">
        <v>8</v>
      </c>
      <c r="L474" s="2" t="s">
        <v>9</v>
      </c>
      <c r="M474" s="1" t="s">
        <v>6109</v>
      </c>
      <c r="N474" s="1" t="s">
        <v>6110</v>
      </c>
      <c r="O474" s="2" t="s">
        <v>1327</v>
      </c>
      <c r="Q474" s="2" t="s">
        <v>12</v>
      </c>
      <c r="R474" s="2" t="s">
        <v>34</v>
      </c>
      <c r="T474" s="2" t="s">
        <v>14</v>
      </c>
      <c r="U474" s="3">
        <v>28</v>
      </c>
      <c r="V474" s="3">
        <v>28</v>
      </c>
      <c r="W474" s="4" t="s">
        <v>6111</v>
      </c>
      <c r="X474" s="4" t="s">
        <v>6111</v>
      </c>
      <c r="Y474" s="4" t="s">
        <v>4443</v>
      </c>
      <c r="Z474" s="4" t="s">
        <v>4443</v>
      </c>
      <c r="AA474" s="3">
        <v>401</v>
      </c>
      <c r="AB474" s="3">
        <v>314</v>
      </c>
      <c r="AC474" s="3">
        <v>777</v>
      </c>
      <c r="AD474" s="3">
        <v>3</v>
      </c>
      <c r="AE474" s="3">
        <v>4</v>
      </c>
      <c r="AF474" s="3">
        <v>18</v>
      </c>
      <c r="AG474" s="3">
        <v>47</v>
      </c>
      <c r="AH474" s="3">
        <v>3</v>
      </c>
      <c r="AI474" s="3">
        <v>15</v>
      </c>
      <c r="AJ474" s="3">
        <v>3</v>
      </c>
      <c r="AK474" s="3">
        <v>7</v>
      </c>
      <c r="AL474" s="3">
        <v>7</v>
      </c>
      <c r="AM474" s="3">
        <v>19</v>
      </c>
      <c r="AN474" s="3">
        <v>0</v>
      </c>
      <c r="AO474" s="3">
        <v>1</v>
      </c>
      <c r="AP474" s="3">
        <v>8</v>
      </c>
      <c r="AQ474" s="3">
        <v>17</v>
      </c>
      <c r="AR474" s="2" t="s">
        <v>8</v>
      </c>
      <c r="AS474" s="2" t="s">
        <v>8</v>
      </c>
      <c r="AU474" s="5" t="str">
        <f>HYPERLINK("https://creighton-primo.hosted.exlibrisgroup.com/primo-explore/search?tab=default_tab&amp;search_scope=EVERYTHING&amp;vid=01CRU&amp;lang=en_US&amp;offset=0&amp;query=any,contains,991001256309702656","Catalog Record")</f>
        <v>Catalog Record</v>
      </c>
      <c r="AV474" s="5" t="str">
        <f>HYPERLINK("http://www.worldcat.org/oclc/13426443","WorldCat Record")</f>
        <v>WorldCat Record</v>
      </c>
      <c r="AW474" s="2" t="s">
        <v>6112</v>
      </c>
      <c r="AX474" s="2" t="s">
        <v>6113</v>
      </c>
      <c r="AY474" s="2" t="s">
        <v>6114</v>
      </c>
      <c r="AZ474" s="2" t="s">
        <v>6114</v>
      </c>
      <c r="BA474" s="2" t="s">
        <v>6115</v>
      </c>
      <c r="BB474" s="2" t="s">
        <v>21</v>
      </c>
      <c r="BD474" s="2" t="s">
        <v>6116</v>
      </c>
      <c r="BE474" s="2" t="s">
        <v>6117</v>
      </c>
      <c r="BF474" s="2" t="s">
        <v>6118</v>
      </c>
    </row>
    <row r="475" spans="1:58" ht="42.75" customHeight="1" x14ac:dyDescent="0.25">
      <c r="A475" s="8" t="s">
        <v>8</v>
      </c>
      <c r="B475" s="1" t="s">
        <v>0</v>
      </c>
      <c r="C475" s="1" t="s">
        <v>1</v>
      </c>
      <c r="D475" s="1" t="s">
        <v>6119</v>
      </c>
      <c r="E475" s="1" t="s">
        <v>6120</v>
      </c>
      <c r="F475" s="1" t="s">
        <v>6121</v>
      </c>
      <c r="H475" s="2" t="s">
        <v>8</v>
      </c>
      <c r="I475" s="2" t="s">
        <v>7</v>
      </c>
      <c r="J475" s="2" t="s">
        <v>8</v>
      </c>
      <c r="K475" s="2" t="s">
        <v>8</v>
      </c>
      <c r="L475" s="2" t="s">
        <v>9</v>
      </c>
      <c r="M475" s="1" t="s">
        <v>6122</v>
      </c>
      <c r="N475" s="1" t="s">
        <v>6123</v>
      </c>
      <c r="O475" s="2" t="s">
        <v>33</v>
      </c>
      <c r="Q475" s="2" t="s">
        <v>12</v>
      </c>
      <c r="R475" s="2" t="s">
        <v>643</v>
      </c>
      <c r="T475" s="2" t="s">
        <v>14</v>
      </c>
      <c r="U475" s="3">
        <v>20</v>
      </c>
      <c r="V475" s="3">
        <v>20</v>
      </c>
      <c r="W475" s="4" t="s">
        <v>6124</v>
      </c>
      <c r="X475" s="4" t="s">
        <v>6124</v>
      </c>
      <c r="Y475" s="4" t="s">
        <v>6125</v>
      </c>
      <c r="Z475" s="4" t="s">
        <v>6125</v>
      </c>
      <c r="AA475" s="3">
        <v>101</v>
      </c>
      <c r="AB475" s="3">
        <v>44</v>
      </c>
      <c r="AC475" s="3">
        <v>45</v>
      </c>
      <c r="AD475" s="3">
        <v>1</v>
      </c>
      <c r="AE475" s="3">
        <v>1</v>
      </c>
      <c r="AF475" s="3">
        <v>5</v>
      </c>
      <c r="AG475" s="3">
        <v>5</v>
      </c>
      <c r="AH475" s="3">
        <v>1</v>
      </c>
      <c r="AI475" s="3">
        <v>1</v>
      </c>
      <c r="AJ475" s="3">
        <v>0</v>
      </c>
      <c r="AK475" s="3">
        <v>0</v>
      </c>
      <c r="AL475" s="3">
        <v>5</v>
      </c>
      <c r="AM475" s="3">
        <v>5</v>
      </c>
      <c r="AN475" s="3">
        <v>0</v>
      </c>
      <c r="AO475" s="3">
        <v>0</v>
      </c>
      <c r="AP475" s="3">
        <v>0</v>
      </c>
      <c r="AQ475" s="3">
        <v>0</v>
      </c>
      <c r="AR475" s="2" t="s">
        <v>8</v>
      </c>
      <c r="AS475" s="2" t="s">
        <v>8</v>
      </c>
      <c r="AU475" s="5" t="str">
        <f>HYPERLINK("https://creighton-primo.hosted.exlibrisgroup.com/primo-explore/search?tab=default_tab&amp;search_scope=EVERYTHING&amp;vid=01CRU&amp;lang=en_US&amp;offset=0&amp;query=any,contains,991001476439702656","Catalog Record")</f>
        <v>Catalog Record</v>
      </c>
      <c r="AV475" s="5" t="str">
        <f>HYPERLINK("http://www.worldcat.org/oclc/10017726","WorldCat Record")</f>
        <v>WorldCat Record</v>
      </c>
      <c r="AW475" s="2" t="s">
        <v>6126</v>
      </c>
      <c r="AX475" s="2" t="s">
        <v>6127</v>
      </c>
      <c r="AY475" s="2" t="s">
        <v>6128</v>
      </c>
      <c r="AZ475" s="2" t="s">
        <v>6128</v>
      </c>
      <c r="BA475" s="2" t="s">
        <v>6129</v>
      </c>
      <c r="BB475" s="2" t="s">
        <v>21</v>
      </c>
      <c r="BD475" s="2" t="s">
        <v>6130</v>
      </c>
      <c r="BE475" s="2" t="s">
        <v>6131</v>
      </c>
      <c r="BF475" s="2" t="s">
        <v>6132</v>
      </c>
    </row>
    <row r="476" spans="1:58" ht="42.75" customHeight="1" x14ac:dyDescent="0.25">
      <c r="A476" s="8" t="s">
        <v>8</v>
      </c>
      <c r="B476" s="1" t="s">
        <v>0</v>
      </c>
      <c r="C476" s="1" t="s">
        <v>1</v>
      </c>
      <c r="D476" s="1" t="s">
        <v>6133</v>
      </c>
      <c r="E476" s="1" t="s">
        <v>6134</v>
      </c>
      <c r="F476" s="1" t="s">
        <v>6135</v>
      </c>
      <c r="H476" s="2" t="s">
        <v>8</v>
      </c>
      <c r="I476" s="2" t="s">
        <v>7</v>
      </c>
      <c r="J476" s="2" t="s">
        <v>8</v>
      </c>
      <c r="K476" s="2" t="s">
        <v>6</v>
      </c>
      <c r="L476" s="2" t="s">
        <v>7</v>
      </c>
      <c r="M476" s="1" t="s">
        <v>6136</v>
      </c>
      <c r="N476" s="1" t="s">
        <v>6137</v>
      </c>
      <c r="O476" s="2" t="s">
        <v>907</v>
      </c>
      <c r="P476" s="1" t="s">
        <v>83</v>
      </c>
      <c r="Q476" s="2" t="s">
        <v>12</v>
      </c>
      <c r="R476" s="2" t="s">
        <v>456</v>
      </c>
      <c r="T476" s="2" t="s">
        <v>14</v>
      </c>
      <c r="U476" s="3">
        <v>26</v>
      </c>
      <c r="V476" s="3">
        <v>26</v>
      </c>
      <c r="W476" s="4" t="s">
        <v>6138</v>
      </c>
      <c r="X476" s="4" t="s">
        <v>6138</v>
      </c>
      <c r="Y476" s="4" t="s">
        <v>6139</v>
      </c>
      <c r="Z476" s="4" t="s">
        <v>6139</v>
      </c>
      <c r="AA476" s="3">
        <v>281</v>
      </c>
      <c r="AB476" s="3">
        <v>229</v>
      </c>
      <c r="AC476" s="3">
        <v>741</v>
      </c>
      <c r="AD476" s="3">
        <v>1</v>
      </c>
      <c r="AE476" s="3">
        <v>4</v>
      </c>
      <c r="AF476" s="3">
        <v>8</v>
      </c>
      <c r="AG476" s="3">
        <v>33</v>
      </c>
      <c r="AH476" s="3">
        <v>1</v>
      </c>
      <c r="AI476" s="3">
        <v>10</v>
      </c>
      <c r="AJ476" s="3">
        <v>3</v>
      </c>
      <c r="AK476" s="3">
        <v>8</v>
      </c>
      <c r="AL476" s="3">
        <v>5</v>
      </c>
      <c r="AM476" s="3">
        <v>16</v>
      </c>
      <c r="AN476" s="3">
        <v>0</v>
      </c>
      <c r="AO476" s="3">
        <v>3</v>
      </c>
      <c r="AP476" s="3">
        <v>1</v>
      </c>
      <c r="AQ476" s="3">
        <v>3</v>
      </c>
      <c r="AR476" s="2" t="s">
        <v>8</v>
      </c>
      <c r="AS476" s="2" t="s">
        <v>6</v>
      </c>
      <c r="AT476" s="5" t="str">
        <f>HYPERLINK("http://catalog.hathitrust.org/Record/004097891","HathiTrust Record")</f>
        <v>HathiTrust Record</v>
      </c>
      <c r="AU476" s="5" t="str">
        <f>HYPERLINK("https://creighton-primo.hosted.exlibrisgroup.com/primo-explore/search?tab=default_tab&amp;search_scope=EVERYTHING&amp;vid=01CRU&amp;lang=en_US&amp;offset=0&amp;query=any,contains,991000276129702656","Catalog Record")</f>
        <v>Catalog Record</v>
      </c>
      <c r="AV476" s="5" t="str">
        <f>HYPERLINK("http://www.worldcat.org/oclc/42925708","WorldCat Record")</f>
        <v>WorldCat Record</v>
      </c>
      <c r="AW476" s="2" t="s">
        <v>6140</v>
      </c>
      <c r="AX476" s="2" t="s">
        <v>6141</v>
      </c>
      <c r="AY476" s="2" t="s">
        <v>6142</v>
      </c>
      <c r="AZ476" s="2" t="s">
        <v>6142</v>
      </c>
      <c r="BA476" s="2" t="s">
        <v>6143</v>
      </c>
      <c r="BB476" s="2" t="s">
        <v>21</v>
      </c>
      <c r="BD476" s="2" t="s">
        <v>6144</v>
      </c>
      <c r="BE476" s="2" t="s">
        <v>6145</v>
      </c>
      <c r="BF476" s="2" t="s">
        <v>6146</v>
      </c>
    </row>
    <row r="477" spans="1:58" ht="42.75" customHeight="1" x14ac:dyDescent="0.25">
      <c r="A477" s="8" t="s">
        <v>8</v>
      </c>
      <c r="B477" s="1" t="s">
        <v>0</v>
      </c>
      <c r="C477" s="1" t="s">
        <v>1</v>
      </c>
      <c r="D477" s="1" t="s">
        <v>6147</v>
      </c>
      <c r="E477" s="1" t="s">
        <v>6148</v>
      </c>
      <c r="F477" s="1" t="s">
        <v>6149</v>
      </c>
      <c r="H477" s="2" t="s">
        <v>8</v>
      </c>
      <c r="I477" s="2" t="s">
        <v>7</v>
      </c>
      <c r="J477" s="2" t="s">
        <v>8</v>
      </c>
      <c r="K477" s="2" t="s">
        <v>8</v>
      </c>
      <c r="L477" s="2" t="s">
        <v>7</v>
      </c>
      <c r="M477" s="1" t="s">
        <v>6150</v>
      </c>
      <c r="N477" s="1" t="s">
        <v>6151</v>
      </c>
      <c r="O477" s="2" t="s">
        <v>1060</v>
      </c>
      <c r="Q477" s="2" t="s">
        <v>12</v>
      </c>
      <c r="R477" s="2" t="s">
        <v>13</v>
      </c>
      <c r="T477" s="2" t="s">
        <v>14</v>
      </c>
      <c r="U477" s="3">
        <v>28</v>
      </c>
      <c r="V477" s="3">
        <v>28</v>
      </c>
      <c r="W477" s="4" t="s">
        <v>6152</v>
      </c>
      <c r="X477" s="4" t="s">
        <v>6152</v>
      </c>
      <c r="Y477" s="4" t="s">
        <v>6153</v>
      </c>
      <c r="Z477" s="4" t="s">
        <v>6153</v>
      </c>
      <c r="AA477" s="3">
        <v>319</v>
      </c>
      <c r="AB477" s="3">
        <v>240</v>
      </c>
      <c r="AC477" s="3">
        <v>1136</v>
      </c>
      <c r="AD477" s="3">
        <v>1</v>
      </c>
      <c r="AE477" s="3">
        <v>30</v>
      </c>
      <c r="AF477" s="3">
        <v>14</v>
      </c>
      <c r="AG477" s="3">
        <v>36</v>
      </c>
      <c r="AH477" s="3">
        <v>3</v>
      </c>
      <c r="AI477" s="3">
        <v>10</v>
      </c>
      <c r="AJ477" s="3">
        <v>4</v>
      </c>
      <c r="AK477" s="3">
        <v>6</v>
      </c>
      <c r="AL477" s="3">
        <v>9</v>
      </c>
      <c r="AM477" s="3">
        <v>14</v>
      </c>
      <c r="AN477" s="3">
        <v>0</v>
      </c>
      <c r="AO477" s="3">
        <v>10</v>
      </c>
      <c r="AP477" s="3">
        <v>2</v>
      </c>
      <c r="AQ477" s="3">
        <v>3</v>
      </c>
      <c r="AR477" s="2" t="s">
        <v>8</v>
      </c>
      <c r="AS477" s="2" t="s">
        <v>6</v>
      </c>
      <c r="AT477" s="5" t="str">
        <f>HYPERLINK("http://catalog.hathitrust.org/Record/003076276","HathiTrust Record")</f>
        <v>HathiTrust Record</v>
      </c>
      <c r="AU477" s="5" t="str">
        <f>HYPERLINK("https://creighton-primo.hosted.exlibrisgroup.com/primo-explore/search?tab=default_tab&amp;search_scope=EVERYTHING&amp;vid=01CRU&amp;lang=en_US&amp;offset=0&amp;query=any,contains,991001552109702656","Catalog Record")</f>
        <v>Catalog Record</v>
      </c>
      <c r="AV477" s="5" t="str">
        <f>HYPERLINK("http://www.worldcat.org/oclc/34724048","WorldCat Record")</f>
        <v>WorldCat Record</v>
      </c>
      <c r="AW477" s="2" t="s">
        <v>6154</v>
      </c>
      <c r="AX477" s="2" t="s">
        <v>6155</v>
      </c>
      <c r="AY477" s="2" t="s">
        <v>6156</v>
      </c>
      <c r="AZ477" s="2" t="s">
        <v>6156</v>
      </c>
      <c r="BA477" s="2" t="s">
        <v>6157</v>
      </c>
      <c r="BB477" s="2" t="s">
        <v>21</v>
      </c>
      <c r="BD477" s="2" t="s">
        <v>6158</v>
      </c>
      <c r="BE477" s="2" t="s">
        <v>6159</v>
      </c>
      <c r="BF477" s="2" t="s">
        <v>6160</v>
      </c>
    </row>
    <row r="478" spans="1:58" ht="42.75" customHeight="1" x14ac:dyDescent="0.25">
      <c r="A478" s="8" t="s">
        <v>8</v>
      </c>
      <c r="B478" s="1" t="s">
        <v>0</v>
      </c>
      <c r="C478" s="1" t="s">
        <v>1</v>
      </c>
      <c r="D478" s="1" t="s">
        <v>6161</v>
      </c>
      <c r="E478" s="1" t="s">
        <v>6162</v>
      </c>
      <c r="F478" s="1" t="s">
        <v>6163</v>
      </c>
      <c r="H478" s="2" t="s">
        <v>8</v>
      </c>
      <c r="I478" s="2" t="s">
        <v>7</v>
      </c>
      <c r="J478" s="2" t="s">
        <v>8</v>
      </c>
      <c r="K478" s="2" t="s">
        <v>8</v>
      </c>
      <c r="L478" s="2" t="s">
        <v>9</v>
      </c>
      <c r="M478" s="1" t="s">
        <v>6164</v>
      </c>
      <c r="N478" s="1" t="s">
        <v>6165</v>
      </c>
      <c r="O478" s="2" t="s">
        <v>627</v>
      </c>
      <c r="P478" s="1" t="s">
        <v>6166</v>
      </c>
      <c r="Q478" s="2" t="s">
        <v>12</v>
      </c>
      <c r="R478" s="2" t="s">
        <v>1211</v>
      </c>
      <c r="S478" s="1" t="s">
        <v>6167</v>
      </c>
      <c r="T478" s="2" t="s">
        <v>14</v>
      </c>
      <c r="U478" s="3">
        <v>10</v>
      </c>
      <c r="V478" s="3">
        <v>10</v>
      </c>
      <c r="W478" s="4" t="s">
        <v>6168</v>
      </c>
      <c r="X478" s="4" t="s">
        <v>6168</v>
      </c>
      <c r="Y478" s="4" t="s">
        <v>6169</v>
      </c>
      <c r="Z478" s="4" t="s">
        <v>6169</v>
      </c>
      <c r="AA478" s="3">
        <v>12</v>
      </c>
      <c r="AB478" s="3">
        <v>12</v>
      </c>
      <c r="AC478" s="3">
        <v>23</v>
      </c>
      <c r="AD478" s="3">
        <v>1</v>
      </c>
      <c r="AE478" s="3">
        <v>1</v>
      </c>
      <c r="AF478" s="3">
        <v>0</v>
      </c>
      <c r="AG478" s="3">
        <v>1</v>
      </c>
      <c r="AH478" s="3">
        <v>0</v>
      </c>
      <c r="AI478" s="3">
        <v>0</v>
      </c>
      <c r="AJ478" s="3">
        <v>0</v>
      </c>
      <c r="AK478" s="3">
        <v>0</v>
      </c>
      <c r="AL478" s="3">
        <v>0</v>
      </c>
      <c r="AM478" s="3">
        <v>1</v>
      </c>
      <c r="AN478" s="3">
        <v>0</v>
      </c>
      <c r="AO478" s="3">
        <v>0</v>
      </c>
      <c r="AP478" s="3">
        <v>0</v>
      </c>
      <c r="AQ478" s="3">
        <v>0</v>
      </c>
      <c r="AR478" s="2" t="s">
        <v>8</v>
      </c>
      <c r="AS478" s="2" t="s">
        <v>8</v>
      </c>
      <c r="AU478" s="5" t="str">
        <f>HYPERLINK("https://creighton-primo.hosted.exlibrisgroup.com/primo-explore/search?tab=default_tab&amp;search_scope=EVERYTHING&amp;vid=01CRU&amp;lang=en_US&amp;offset=0&amp;query=any,contains,991001295699702656","Catalog Record")</f>
        <v>Catalog Record</v>
      </c>
      <c r="AV478" s="5" t="str">
        <f>HYPERLINK("http://www.worldcat.org/oclc/17234863","WorldCat Record")</f>
        <v>WorldCat Record</v>
      </c>
      <c r="AW478" s="2" t="s">
        <v>6170</v>
      </c>
      <c r="AX478" s="2" t="s">
        <v>6171</v>
      </c>
      <c r="AY478" s="2" t="s">
        <v>6172</v>
      </c>
      <c r="AZ478" s="2" t="s">
        <v>6172</v>
      </c>
      <c r="BA478" s="2" t="s">
        <v>6173</v>
      </c>
      <c r="BB478" s="2" t="s">
        <v>21</v>
      </c>
      <c r="BE478" s="2" t="s">
        <v>6174</v>
      </c>
      <c r="BF478" s="2" t="s">
        <v>6175</v>
      </c>
    </row>
    <row r="479" spans="1:58" ht="42.75" customHeight="1" x14ac:dyDescent="0.25">
      <c r="A479" s="8" t="s">
        <v>8</v>
      </c>
      <c r="B479" s="1" t="s">
        <v>0</v>
      </c>
      <c r="C479" s="1" t="s">
        <v>1</v>
      </c>
      <c r="D479" s="1" t="s">
        <v>6176</v>
      </c>
      <c r="E479" s="1" t="s">
        <v>6177</v>
      </c>
      <c r="F479" s="1" t="s">
        <v>6178</v>
      </c>
      <c r="H479" s="2" t="s">
        <v>8</v>
      </c>
      <c r="I479" s="2" t="s">
        <v>7</v>
      </c>
      <c r="J479" s="2" t="s">
        <v>8</v>
      </c>
      <c r="K479" s="2" t="s">
        <v>8</v>
      </c>
      <c r="L479" s="2" t="s">
        <v>9</v>
      </c>
      <c r="M479" s="1" t="s">
        <v>6164</v>
      </c>
      <c r="N479" s="1" t="s">
        <v>6179</v>
      </c>
      <c r="O479" s="2" t="s">
        <v>1327</v>
      </c>
      <c r="Q479" s="2" t="s">
        <v>12</v>
      </c>
      <c r="R479" s="2" t="s">
        <v>1211</v>
      </c>
      <c r="S479" s="1" t="s">
        <v>6180</v>
      </c>
      <c r="T479" s="2" t="s">
        <v>14</v>
      </c>
      <c r="U479" s="3">
        <v>7</v>
      </c>
      <c r="V479" s="3">
        <v>7</v>
      </c>
      <c r="W479" s="4" t="s">
        <v>6181</v>
      </c>
      <c r="X479" s="4" t="s">
        <v>6181</v>
      </c>
      <c r="Y479" s="4" t="s">
        <v>1766</v>
      </c>
      <c r="Z479" s="4" t="s">
        <v>1766</v>
      </c>
      <c r="AA479" s="3">
        <v>9</v>
      </c>
      <c r="AB479" s="3">
        <v>9</v>
      </c>
      <c r="AC479" s="3">
        <v>13</v>
      </c>
      <c r="AD479" s="3">
        <v>1</v>
      </c>
      <c r="AE479" s="3">
        <v>1</v>
      </c>
      <c r="AF479" s="3">
        <v>3</v>
      </c>
      <c r="AG479" s="3">
        <v>3</v>
      </c>
      <c r="AH479" s="3">
        <v>0</v>
      </c>
      <c r="AI479" s="3">
        <v>0</v>
      </c>
      <c r="AJ479" s="3">
        <v>0</v>
      </c>
      <c r="AK479" s="3">
        <v>0</v>
      </c>
      <c r="AL479" s="3">
        <v>0</v>
      </c>
      <c r="AM479" s="3">
        <v>0</v>
      </c>
      <c r="AN479" s="3">
        <v>0</v>
      </c>
      <c r="AO479" s="3">
        <v>0</v>
      </c>
      <c r="AP479" s="3">
        <v>3</v>
      </c>
      <c r="AQ479" s="3">
        <v>3</v>
      </c>
      <c r="AR479" s="2" t="s">
        <v>8</v>
      </c>
      <c r="AS479" s="2" t="s">
        <v>8</v>
      </c>
      <c r="AU479" s="5" t="str">
        <f>HYPERLINK("https://creighton-primo.hosted.exlibrisgroup.com/primo-explore/search?tab=default_tab&amp;search_scope=EVERYTHING&amp;vid=01CRU&amp;lang=en_US&amp;offset=0&amp;query=any,contains,991001266819702656","Catalog Record")</f>
        <v>Catalog Record</v>
      </c>
      <c r="AV479" s="5" t="str">
        <f>HYPERLINK("http://www.worldcat.org/oclc/15466443","WorldCat Record")</f>
        <v>WorldCat Record</v>
      </c>
      <c r="AW479" s="2" t="s">
        <v>6182</v>
      </c>
      <c r="AX479" s="2" t="s">
        <v>6183</v>
      </c>
      <c r="AY479" s="2" t="s">
        <v>6184</v>
      </c>
      <c r="AZ479" s="2" t="s">
        <v>6184</v>
      </c>
      <c r="BA479" s="2" t="s">
        <v>6185</v>
      </c>
      <c r="BB479" s="2" t="s">
        <v>21</v>
      </c>
      <c r="BE479" s="2" t="s">
        <v>6186</v>
      </c>
      <c r="BF479" s="2" t="s">
        <v>6187</v>
      </c>
    </row>
    <row r="480" spans="1:58" ht="42.75" customHeight="1" x14ac:dyDescent="0.25">
      <c r="A480" s="8" t="s">
        <v>8</v>
      </c>
      <c r="B480" s="1" t="s">
        <v>0</v>
      </c>
      <c r="C480" s="1" t="s">
        <v>1</v>
      </c>
      <c r="D480" s="1" t="s">
        <v>6188</v>
      </c>
      <c r="E480" s="1" t="s">
        <v>6189</v>
      </c>
      <c r="F480" s="1" t="s">
        <v>6190</v>
      </c>
      <c r="H480" s="2" t="s">
        <v>8</v>
      </c>
      <c r="I480" s="2" t="s">
        <v>7</v>
      </c>
      <c r="J480" s="2" t="s">
        <v>8</v>
      </c>
      <c r="K480" s="2" t="s">
        <v>8</v>
      </c>
      <c r="L480" s="2" t="s">
        <v>9</v>
      </c>
      <c r="M480" s="1" t="s">
        <v>6191</v>
      </c>
      <c r="N480" s="1" t="s">
        <v>6192</v>
      </c>
      <c r="O480" s="2" t="s">
        <v>830</v>
      </c>
      <c r="Q480" s="2" t="s">
        <v>12</v>
      </c>
      <c r="R480" s="2" t="s">
        <v>1211</v>
      </c>
      <c r="S480" s="1" t="s">
        <v>6193</v>
      </c>
      <c r="T480" s="2" t="s">
        <v>14</v>
      </c>
      <c r="U480" s="3">
        <v>4</v>
      </c>
      <c r="V480" s="3">
        <v>4</v>
      </c>
      <c r="W480" s="4" t="s">
        <v>4728</v>
      </c>
      <c r="X480" s="4" t="s">
        <v>4728</v>
      </c>
      <c r="Y480" s="4" t="s">
        <v>6194</v>
      </c>
      <c r="Z480" s="4" t="s">
        <v>6194</v>
      </c>
      <c r="AA480" s="3">
        <v>491</v>
      </c>
      <c r="AB480" s="3">
        <v>429</v>
      </c>
      <c r="AC480" s="3">
        <v>430</v>
      </c>
      <c r="AD480" s="3">
        <v>1</v>
      </c>
      <c r="AE480" s="3">
        <v>1</v>
      </c>
      <c r="AF480" s="3">
        <v>35</v>
      </c>
      <c r="AG480" s="3">
        <v>35</v>
      </c>
      <c r="AH480" s="3">
        <v>12</v>
      </c>
      <c r="AI480" s="3">
        <v>12</v>
      </c>
      <c r="AJ480" s="3">
        <v>8</v>
      </c>
      <c r="AK480" s="3">
        <v>8</v>
      </c>
      <c r="AL480" s="3">
        <v>18</v>
      </c>
      <c r="AM480" s="3">
        <v>18</v>
      </c>
      <c r="AN480" s="3">
        <v>0</v>
      </c>
      <c r="AO480" s="3">
        <v>0</v>
      </c>
      <c r="AP480" s="3">
        <v>6</v>
      </c>
      <c r="AQ480" s="3">
        <v>6</v>
      </c>
      <c r="AR480" s="2" t="s">
        <v>8</v>
      </c>
      <c r="AS480" s="2" t="s">
        <v>8</v>
      </c>
      <c r="AU480" s="5" t="str">
        <f>HYPERLINK("https://creighton-primo.hosted.exlibrisgroup.com/primo-explore/search?tab=default_tab&amp;search_scope=EVERYTHING&amp;vid=01CRU&amp;lang=en_US&amp;offset=0&amp;query=any,contains,991000424829702656","Catalog Record")</f>
        <v>Catalog Record</v>
      </c>
      <c r="AV480" s="5" t="str">
        <f>HYPERLINK("http://www.worldcat.org/oclc/51977846","WorldCat Record")</f>
        <v>WorldCat Record</v>
      </c>
      <c r="AW480" s="2" t="s">
        <v>6195</v>
      </c>
      <c r="AX480" s="2" t="s">
        <v>6196</v>
      </c>
      <c r="AY480" s="2" t="s">
        <v>6197</v>
      </c>
      <c r="AZ480" s="2" t="s">
        <v>6197</v>
      </c>
      <c r="BA480" s="2" t="s">
        <v>6198</v>
      </c>
      <c r="BB480" s="2" t="s">
        <v>21</v>
      </c>
      <c r="BD480" s="2" t="s">
        <v>6199</v>
      </c>
      <c r="BE480" s="2" t="s">
        <v>6200</v>
      </c>
      <c r="BF480" s="2" t="s">
        <v>6201</v>
      </c>
    </row>
    <row r="481" spans="1:58" ht="42.75" customHeight="1" x14ac:dyDescent="0.25">
      <c r="A481" s="8" t="s">
        <v>8</v>
      </c>
      <c r="B481" s="1" t="s">
        <v>0</v>
      </c>
      <c r="C481" s="1" t="s">
        <v>1</v>
      </c>
      <c r="D481" s="1" t="s">
        <v>6202</v>
      </c>
      <c r="E481" s="1" t="s">
        <v>6203</v>
      </c>
      <c r="F481" s="1" t="s">
        <v>6204</v>
      </c>
      <c r="H481" s="2" t="s">
        <v>8</v>
      </c>
      <c r="I481" s="2" t="s">
        <v>7</v>
      </c>
      <c r="J481" s="2" t="s">
        <v>8</v>
      </c>
      <c r="K481" s="2" t="s">
        <v>8</v>
      </c>
      <c r="L481" s="2" t="s">
        <v>9</v>
      </c>
      <c r="M481" s="1" t="s">
        <v>6205</v>
      </c>
      <c r="N481" s="1" t="s">
        <v>6206</v>
      </c>
      <c r="O481" s="2" t="s">
        <v>51</v>
      </c>
      <c r="Q481" s="2" t="s">
        <v>12</v>
      </c>
      <c r="R481" s="2" t="s">
        <v>13</v>
      </c>
      <c r="T481" s="2" t="s">
        <v>14</v>
      </c>
      <c r="U481" s="3">
        <v>8</v>
      </c>
      <c r="V481" s="3">
        <v>8</v>
      </c>
      <c r="W481" s="4" t="s">
        <v>6207</v>
      </c>
      <c r="X481" s="4" t="s">
        <v>6207</v>
      </c>
      <c r="Y481" s="4" t="s">
        <v>6208</v>
      </c>
      <c r="Z481" s="4" t="s">
        <v>6208</v>
      </c>
      <c r="AA481" s="3">
        <v>11</v>
      </c>
      <c r="AB481" s="3">
        <v>8</v>
      </c>
      <c r="AC481" s="3">
        <v>8</v>
      </c>
      <c r="AD481" s="3">
        <v>1</v>
      </c>
      <c r="AE481" s="3">
        <v>1</v>
      </c>
      <c r="AF481" s="3">
        <v>0</v>
      </c>
      <c r="AG481" s="3">
        <v>0</v>
      </c>
      <c r="AH481" s="3">
        <v>0</v>
      </c>
      <c r="AI481" s="3">
        <v>0</v>
      </c>
      <c r="AJ481" s="3">
        <v>0</v>
      </c>
      <c r="AK481" s="3">
        <v>0</v>
      </c>
      <c r="AL481" s="3">
        <v>0</v>
      </c>
      <c r="AM481" s="3">
        <v>0</v>
      </c>
      <c r="AN481" s="3">
        <v>0</v>
      </c>
      <c r="AO481" s="3">
        <v>0</v>
      </c>
      <c r="AP481" s="3">
        <v>0</v>
      </c>
      <c r="AQ481" s="3">
        <v>0</v>
      </c>
      <c r="AR481" s="2" t="s">
        <v>8</v>
      </c>
      <c r="AS481" s="2" t="s">
        <v>8</v>
      </c>
      <c r="AU481" s="5" t="str">
        <f>HYPERLINK("https://creighton-primo.hosted.exlibrisgroup.com/primo-explore/search?tab=default_tab&amp;search_scope=EVERYTHING&amp;vid=01CRU&amp;lang=en_US&amp;offset=0&amp;query=any,contains,991001362319702656","Catalog Record")</f>
        <v>Catalog Record</v>
      </c>
      <c r="AV481" s="5" t="str">
        <f>HYPERLINK("http://www.worldcat.org/oclc/20761841","WorldCat Record")</f>
        <v>WorldCat Record</v>
      </c>
      <c r="AW481" s="2" t="s">
        <v>6209</v>
      </c>
      <c r="AX481" s="2" t="s">
        <v>6210</v>
      </c>
      <c r="AY481" s="2" t="s">
        <v>6211</v>
      </c>
      <c r="AZ481" s="2" t="s">
        <v>6211</v>
      </c>
      <c r="BA481" s="2" t="s">
        <v>6212</v>
      </c>
      <c r="BB481" s="2" t="s">
        <v>21</v>
      </c>
      <c r="BE481" s="2" t="s">
        <v>6213</v>
      </c>
      <c r="BF481" s="2" t="s">
        <v>6214</v>
      </c>
    </row>
    <row r="482" spans="1:58" ht="42.75" customHeight="1" x14ac:dyDescent="0.25">
      <c r="A482" s="8" t="s">
        <v>8</v>
      </c>
      <c r="B482" s="1" t="s">
        <v>0</v>
      </c>
      <c r="C482" s="1" t="s">
        <v>1</v>
      </c>
      <c r="D482" s="1" t="s">
        <v>6215</v>
      </c>
      <c r="E482" s="1" t="s">
        <v>6216</v>
      </c>
      <c r="F482" s="1" t="s">
        <v>6217</v>
      </c>
      <c r="H482" s="2" t="s">
        <v>8</v>
      </c>
      <c r="I482" s="2" t="s">
        <v>7</v>
      </c>
      <c r="J482" s="2" t="s">
        <v>8</v>
      </c>
      <c r="K482" s="2" t="s">
        <v>8</v>
      </c>
      <c r="L482" s="2" t="s">
        <v>9</v>
      </c>
      <c r="M482" s="1" t="s">
        <v>6218</v>
      </c>
      <c r="N482" s="1" t="s">
        <v>6219</v>
      </c>
      <c r="O482" s="2" t="s">
        <v>814</v>
      </c>
      <c r="Q482" s="2" t="s">
        <v>12</v>
      </c>
      <c r="R482" s="2" t="s">
        <v>13</v>
      </c>
      <c r="T482" s="2" t="s">
        <v>14</v>
      </c>
      <c r="U482" s="3">
        <v>4</v>
      </c>
      <c r="V482" s="3">
        <v>4</v>
      </c>
      <c r="W482" s="4" t="s">
        <v>2539</v>
      </c>
      <c r="X482" s="4" t="s">
        <v>2539</v>
      </c>
      <c r="Y482" s="4" t="s">
        <v>1806</v>
      </c>
      <c r="Z482" s="4" t="s">
        <v>1806</v>
      </c>
      <c r="AA482" s="3">
        <v>408</v>
      </c>
      <c r="AB482" s="3">
        <v>308</v>
      </c>
      <c r="AC482" s="3">
        <v>311</v>
      </c>
      <c r="AD482" s="3">
        <v>3</v>
      </c>
      <c r="AE482" s="3">
        <v>3</v>
      </c>
      <c r="AF482" s="3">
        <v>23</v>
      </c>
      <c r="AG482" s="3">
        <v>23</v>
      </c>
      <c r="AH482" s="3">
        <v>5</v>
      </c>
      <c r="AI482" s="3">
        <v>5</v>
      </c>
      <c r="AJ482" s="3">
        <v>6</v>
      </c>
      <c r="AK482" s="3">
        <v>6</v>
      </c>
      <c r="AL482" s="3">
        <v>12</v>
      </c>
      <c r="AM482" s="3">
        <v>12</v>
      </c>
      <c r="AN482" s="3">
        <v>2</v>
      </c>
      <c r="AO482" s="3">
        <v>2</v>
      </c>
      <c r="AP482" s="3">
        <v>4</v>
      </c>
      <c r="AQ482" s="3">
        <v>4</v>
      </c>
      <c r="AR482" s="2" t="s">
        <v>8</v>
      </c>
      <c r="AS482" s="2" t="s">
        <v>6</v>
      </c>
      <c r="AT482" s="5" t="str">
        <f>HYPERLINK("http://catalog.hathitrust.org/Record/004024876","HathiTrust Record")</f>
        <v>HathiTrust Record</v>
      </c>
      <c r="AU482" s="5" t="str">
        <f>HYPERLINK("https://creighton-primo.hosted.exlibrisgroup.com/primo-explore/search?tab=default_tab&amp;search_scope=EVERYTHING&amp;vid=01CRU&amp;lang=en_US&amp;offset=0&amp;query=any,contains,991000371979702656","Catalog Record")</f>
        <v>Catalog Record</v>
      </c>
      <c r="AV482" s="5" t="str">
        <f>HYPERLINK("http://www.worldcat.org/oclc/39810974","WorldCat Record")</f>
        <v>WorldCat Record</v>
      </c>
      <c r="AW482" s="2" t="s">
        <v>6220</v>
      </c>
      <c r="AX482" s="2" t="s">
        <v>6221</v>
      </c>
      <c r="AY482" s="2" t="s">
        <v>6222</v>
      </c>
      <c r="AZ482" s="2" t="s">
        <v>6222</v>
      </c>
      <c r="BA482" s="2" t="s">
        <v>6223</v>
      </c>
      <c r="BB482" s="2" t="s">
        <v>21</v>
      </c>
      <c r="BD482" s="2" t="s">
        <v>6224</v>
      </c>
      <c r="BE482" s="2" t="s">
        <v>6225</v>
      </c>
      <c r="BF482" s="2" t="s">
        <v>6226</v>
      </c>
    </row>
    <row r="483" spans="1:58" ht="42.75" customHeight="1" x14ac:dyDescent="0.25">
      <c r="A483" s="8" t="s">
        <v>8</v>
      </c>
      <c r="B483" s="1" t="s">
        <v>0</v>
      </c>
      <c r="C483" s="1" t="s">
        <v>1</v>
      </c>
      <c r="D483" s="1" t="s">
        <v>6227</v>
      </c>
      <c r="E483" s="1" t="s">
        <v>6228</v>
      </c>
      <c r="F483" s="1" t="s">
        <v>6229</v>
      </c>
      <c r="H483" s="2" t="s">
        <v>8</v>
      </c>
      <c r="I483" s="2" t="s">
        <v>7</v>
      </c>
      <c r="J483" s="2" t="s">
        <v>8</v>
      </c>
      <c r="K483" s="2" t="s">
        <v>8</v>
      </c>
      <c r="L483" s="2" t="s">
        <v>9</v>
      </c>
      <c r="M483" s="1" t="s">
        <v>6230</v>
      </c>
      <c r="N483" s="1" t="s">
        <v>6231</v>
      </c>
      <c r="O483" s="2" t="s">
        <v>67</v>
      </c>
      <c r="Q483" s="2" t="s">
        <v>12</v>
      </c>
      <c r="R483" s="2" t="s">
        <v>6232</v>
      </c>
      <c r="T483" s="2" t="s">
        <v>14</v>
      </c>
      <c r="U483" s="3">
        <v>7</v>
      </c>
      <c r="V483" s="3">
        <v>7</v>
      </c>
      <c r="W483" s="4" t="s">
        <v>2867</v>
      </c>
      <c r="X483" s="4" t="s">
        <v>2867</v>
      </c>
      <c r="Y483" s="4" t="s">
        <v>523</v>
      </c>
      <c r="Z483" s="4" t="s">
        <v>523</v>
      </c>
      <c r="AA483" s="3">
        <v>261</v>
      </c>
      <c r="AB483" s="3">
        <v>173</v>
      </c>
      <c r="AC483" s="3">
        <v>175</v>
      </c>
      <c r="AD483" s="3">
        <v>1</v>
      </c>
      <c r="AE483" s="3">
        <v>1</v>
      </c>
      <c r="AF483" s="3">
        <v>12</v>
      </c>
      <c r="AG483" s="3">
        <v>12</v>
      </c>
      <c r="AH483" s="3">
        <v>0</v>
      </c>
      <c r="AI483" s="3">
        <v>0</v>
      </c>
      <c r="AJ483" s="3">
        <v>0</v>
      </c>
      <c r="AK483" s="3">
        <v>0</v>
      </c>
      <c r="AL483" s="3">
        <v>5</v>
      </c>
      <c r="AM483" s="3">
        <v>5</v>
      </c>
      <c r="AN483" s="3">
        <v>0</v>
      </c>
      <c r="AO483" s="3">
        <v>0</v>
      </c>
      <c r="AP483" s="3">
        <v>7</v>
      </c>
      <c r="AQ483" s="3">
        <v>7</v>
      </c>
      <c r="AR483" s="2" t="s">
        <v>8</v>
      </c>
      <c r="AS483" s="2" t="s">
        <v>6</v>
      </c>
      <c r="AT483" s="5" t="str">
        <f>HYPERLINK("http://catalog.hathitrust.org/Record/000629014","HathiTrust Record")</f>
        <v>HathiTrust Record</v>
      </c>
      <c r="AU483" s="5" t="str">
        <f>HYPERLINK("https://creighton-primo.hosted.exlibrisgroup.com/primo-explore/search?tab=default_tab&amp;search_scope=EVERYTHING&amp;vid=01CRU&amp;lang=en_US&amp;offset=0&amp;query=any,contains,991000689359702656","Catalog Record")</f>
        <v>Catalog Record</v>
      </c>
      <c r="AV483" s="5" t="str">
        <f>HYPERLINK("http://www.worldcat.org/oclc/13067687","WorldCat Record")</f>
        <v>WorldCat Record</v>
      </c>
      <c r="AW483" s="2" t="s">
        <v>6233</v>
      </c>
      <c r="AX483" s="2" t="s">
        <v>6234</v>
      </c>
      <c r="AY483" s="2" t="s">
        <v>6235</v>
      </c>
      <c r="AZ483" s="2" t="s">
        <v>6235</v>
      </c>
      <c r="BA483" s="2" t="s">
        <v>6236</v>
      </c>
      <c r="BB483" s="2" t="s">
        <v>21</v>
      </c>
      <c r="BD483" s="2" t="s">
        <v>6237</v>
      </c>
      <c r="BE483" s="2" t="s">
        <v>6238</v>
      </c>
      <c r="BF483" s="2" t="s">
        <v>6239</v>
      </c>
    </row>
    <row r="484" spans="1:58" ht="42.75" customHeight="1" x14ac:dyDescent="0.25">
      <c r="A484" s="8" t="s">
        <v>8</v>
      </c>
      <c r="B484" s="1" t="s">
        <v>0</v>
      </c>
      <c r="C484" s="1" t="s">
        <v>1</v>
      </c>
      <c r="D484" s="1" t="s">
        <v>6240</v>
      </c>
      <c r="E484" s="1" t="s">
        <v>6241</v>
      </c>
      <c r="F484" s="1" t="s">
        <v>6242</v>
      </c>
      <c r="H484" s="2" t="s">
        <v>8</v>
      </c>
      <c r="I484" s="2" t="s">
        <v>7</v>
      </c>
      <c r="J484" s="2" t="s">
        <v>8</v>
      </c>
      <c r="K484" s="2" t="s">
        <v>8</v>
      </c>
      <c r="L484" s="2" t="s">
        <v>9</v>
      </c>
      <c r="N484" s="1" t="s">
        <v>6243</v>
      </c>
      <c r="O484" s="2" t="s">
        <v>1327</v>
      </c>
      <c r="Q484" s="2" t="s">
        <v>12</v>
      </c>
      <c r="R484" s="2" t="s">
        <v>520</v>
      </c>
      <c r="T484" s="2" t="s">
        <v>14</v>
      </c>
      <c r="U484" s="3">
        <v>19</v>
      </c>
      <c r="V484" s="3">
        <v>19</v>
      </c>
      <c r="W484" s="4" t="s">
        <v>6244</v>
      </c>
      <c r="X484" s="4" t="s">
        <v>6244</v>
      </c>
      <c r="Y484" s="4" t="s">
        <v>4443</v>
      </c>
      <c r="Z484" s="4" t="s">
        <v>4443</v>
      </c>
      <c r="AA484" s="3">
        <v>553</v>
      </c>
      <c r="AB484" s="3">
        <v>492</v>
      </c>
      <c r="AC484" s="3">
        <v>498</v>
      </c>
      <c r="AD484" s="3">
        <v>5</v>
      </c>
      <c r="AE484" s="3">
        <v>5</v>
      </c>
      <c r="AF484" s="3">
        <v>26</v>
      </c>
      <c r="AG484" s="3">
        <v>26</v>
      </c>
      <c r="AH484" s="3">
        <v>4</v>
      </c>
      <c r="AI484" s="3">
        <v>4</v>
      </c>
      <c r="AJ484" s="3">
        <v>5</v>
      </c>
      <c r="AK484" s="3">
        <v>5</v>
      </c>
      <c r="AL484" s="3">
        <v>13</v>
      </c>
      <c r="AM484" s="3">
        <v>13</v>
      </c>
      <c r="AN484" s="3">
        <v>3</v>
      </c>
      <c r="AO484" s="3">
        <v>3</v>
      </c>
      <c r="AP484" s="3">
        <v>7</v>
      </c>
      <c r="AQ484" s="3">
        <v>7</v>
      </c>
      <c r="AR484" s="2" t="s">
        <v>8</v>
      </c>
      <c r="AS484" s="2" t="s">
        <v>6</v>
      </c>
      <c r="AT484" s="5" t="str">
        <f>HYPERLINK("http://catalog.hathitrust.org/Record/000587880","HathiTrust Record")</f>
        <v>HathiTrust Record</v>
      </c>
      <c r="AU484" s="5" t="str">
        <f>HYPERLINK("https://creighton-primo.hosted.exlibrisgroup.com/primo-explore/search?tab=default_tab&amp;search_scope=EVERYTHING&amp;vid=01CRU&amp;lang=en_US&amp;offset=0&amp;query=any,contains,991001256349702656","Catalog Record")</f>
        <v>Catalog Record</v>
      </c>
      <c r="AV484" s="5" t="str">
        <f>HYPERLINK("http://www.worldcat.org/oclc/13003435","WorldCat Record")</f>
        <v>WorldCat Record</v>
      </c>
      <c r="AW484" s="2" t="s">
        <v>6245</v>
      </c>
      <c r="AX484" s="2" t="s">
        <v>6246</v>
      </c>
      <c r="AY484" s="2" t="s">
        <v>6247</v>
      </c>
      <c r="AZ484" s="2" t="s">
        <v>6247</v>
      </c>
      <c r="BA484" s="2" t="s">
        <v>6248</v>
      </c>
      <c r="BB484" s="2" t="s">
        <v>21</v>
      </c>
      <c r="BD484" s="2" t="s">
        <v>6249</v>
      </c>
      <c r="BE484" s="2" t="s">
        <v>6250</v>
      </c>
      <c r="BF484" s="2" t="s">
        <v>6251</v>
      </c>
    </row>
    <row r="485" spans="1:58" ht="42.75" customHeight="1" x14ac:dyDescent="0.25">
      <c r="A485" s="8" t="s">
        <v>8</v>
      </c>
      <c r="B485" s="1" t="s">
        <v>0</v>
      </c>
      <c r="C485" s="1" t="s">
        <v>1</v>
      </c>
      <c r="D485" s="1" t="s">
        <v>6252</v>
      </c>
      <c r="E485" s="1" t="s">
        <v>6253</v>
      </c>
      <c r="F485" s="1" t="s">
        <v>6254</v>
      </c>
      <c r="H485" s="2" t="s">
        <v>8</v>
      </c>
      <c r="I485" s="2" t="s">
        <v>7</v>
      </c>
      <c r="J485" s="2" t="s">
        <v>8</v>
      </c>
      <c r="K485" s="2" t="s">
        <v>8</v>
      </c>
      <c r="L485" s="2" t="s">
        <v>9</v>
      </c>
      <c r="N485" s="1" t="s">
        <v>6255</v>
      </c>
      <c r="O485" s="2" t="s">
        <v>688</v>
      </c>
      <c r="Q485" s="2" t="s">
        <v>12</v>
      </c>
      <c r="R485" s="2" t="s">
        <v>456</v>
      </c>
      <c r="T485" s="2" t="s">
        <v>14</v>
      </c>
      <c r="U485" s="3">
        <v>15</v>
      </c>
      <c r="V485" s="3">
        <v>15</v>
      </c>
      <c r="W485" s="4" t="s">
        <v>3794</v>
      </c>
      <c r="X485" s="4" t="s">
        <v>3794</v>
      </c>
      <c r="Y485" s="4" t="s">
        <v>6256</v>
      </c>
      <c r="Z485" s="4" t="s">
        <v>6256</v>
      </c>
      <c r="AA485" s="3">
        <v>351</v>
      </c>
      <c r="AB485" s="3">
        <v>300</v>
      </c>
      <c r="AC485" s="3">
        <v>302</v>
      </c>
      <c r="AD485" s="3">
        <v>2</v>
      </c>
      <c r="AE485" s="3">
        <v>2</v>
      </c>
      <c r="AF485" s="3">
        <v>27</v>
      </c>
      <c r="AG485" s="3">
        <v>27</v>
      </c>
      <c r="AH485" s="3">
        <v>7</v>
      </c>
      <c r="AI485" s="3">
        <v>7</v>
      </c>
      <c r="AJ485" s="3">
        <v>9</v>
      </c>
      <c r="AK485" s="3">
        <v>9</v>
      </c>
      <c r="AL485" s="3">
        <v>18</v>
      </c>
      <c r="AM485" s="3">
        <v>18</v>
      </c>
      <c r="AN485" s="3">
        <v>1</v>
      </c>
      <c r="AO485" s="3">
        <v>1</v>
      </c>
      <c r="AP485" s="3">
        <v>1</v>
      </c>
      <c r="AQ485" s="3">
        <v>1</v>
      </c>
      <c r="AR485" s="2" t="s">
        <v>8</v>
      </c>
      <c r="AS485" s="2" t="s">
        <v>6</v>
      </c>
      <c r="AT485" s="5" t="str">
        <f>HYPERLINK("http://catalog.hathitrust.org/Record/101963460","HathiTrust Record")</f>
        <v>HathiTrust Record</v>
      </c>
      <c r="AU485" s="5" t="str">
        <f>HYPERLINK("https://creighton-primo.hosted.exlibrisgroup.com/primo-explore/search?tab=default_tab&amp;search_scope=EVERYTHING&amp;vid=01CRU&amp;lang=en_US&amp;offset=0&amp;query=any,contains,991000671509702656","Catalog Record")</f>
        <v>Catalog Record</v>
      </c>
      <c r="AV485" s="5" t="str">
        <f>HYPERLINK("http://www.worldcat.org/oclc/29702329","WorldCat Record")</f>
        <v>WorldCat Record</v>
      </c>
      <c r="AW485" s="2" t="s">
        <v>6257</v>
      </c>
      <c r="AX485" s="2" t="s">
        <v>6258</v>
      </c>
      <c r="AY485" s="2" t="s">
        <v>6259</v>
      </c>
      <c r="AZ485" s="2" t="s">
        <v>6259</v>
      </c>
      <c r="BA485" s="2" t="s">
        <v>6260</v>
      </c>
      <c r="BB485" s="2" t="s">
        <v>21</v>
      </c>
      <c r="BD485" s="2" t="s">
        <v>6261</v>
      </c>
      <c r="BE485" s="2" t="s">
        <v>6262</v>
      </c>
      <c r="BF485" s="2" t="s">
        <v>6263</v>
      </c>
    </row>
    <row r="486" spans="1:58" ht="42.75" customHeight="1" x14ac:dyDescent="0.25">
      <c r="A486" s="8" t="s">
        <v>8</v>
      </c>
      <c r="B486" s="1" t="s">
        <v>0</v>
      </c>
      <c r="C486" s="1" t="s">
        <v>1</v>
      </c>
      <c r="D486" s="1" t="s">
        <v>6264</v>
      </c>
      <c r="E486" s="1" t="s">
        <v>6265</v>
      </c>
      <c r="F486" s="1" t="s">
        <v>6266</v>
      </c>
      <c r="H486" s="2" t="s">
        <v>8</v>
      </c>
      <c r="I486" s="2" t="s">
        <v>7</v>
      </c>
      <c r="J486" s="2" t="s">
        <v>8</v>
      </c>
      <c r="K486" s="2" t="s">
        <v>6</v>
      </c>
      <c r="L486" s="2" t="s">
        <v>9</v>
      </c>
      <c r="N486" s="1" t="s">
        <v>6267</v>
      </c>
      <c r="O486" s="2" t="s">
        <v>874</v>
      </c>
      <c r="P486" s="1" t="s">
        <v>83</v>
      </c>
      <c r="Q486" s="2" t="s">
        <v>12</v>
      </c>
      <c r="R486" s="2" t="s">
        <v>1340</v>
      </c>
      <c r="S486" s="1" t="s">
        <v>6268</v>
      </c>
      <c r="T486" s="2" t="s">
        <v>14</v>
      </c>
      <c r="U486" s="3">
        <v>30</v>
      </c>
      <c r="V486" s="3">
        <v>30</v>
      </c>
      <c r="W486" s="4" t="s">
        <v>5712</v>
      </c>
      <c r="X486" s="4" t="s">
        <v>5712</v>
      </c>
      <c r="Y486" s="4" t="s">
        <v>6269</v>
      </c>
      <c r="Z486" s="4" t="s">
        <v>6269</v>
      </c>
      <c r="AA486" s="3">
        <v>550</v>
      </c>
      <c r="AB486" s="3">
        <v>458</v>
      </c>
      <c r="AC486" s="3">
        <v>1634</v>
      </c>
      <c r="AD486" s="3">
        <v>2</v>
      </c>
      <c r="AE486" s="3">
        <v>7</v>
      </c>
      <c r="AF486" s="3">
        <v>24</v>
      </c>
      <c r="AG486" s="3">
        <v>54</v>
      </c>
      <c r="AH486" s="3">
        <v>10</v>
      </c>
      <c r="AI486" s="3">
        <v>25</v>
      </c>
      <c r="AJ486" s="3">
        <v>6</v>
      </c>
      <c r="AK486" s="3">
        <v>11</v>
      </c>
      <c r="AL486" s="3">
        <v>15</v>
      </c>
      <c r="AM486" s="3">
        <v>25</v>
      </c>
      <c r="AN486" s="3">
        <v>1</v>
      </c>
      <c r="AO486" s="3">
        <v>5</v>
      </c>
      <c r="AP486" s="3">
        <v>1</v>
      </c>
      <c r="AQ486" s="3">
        <v>2</v>
      </c>
      <c r="AR486" s="2" t="s">
        <v>8</v>
      </c>
      <c r="AS486" s="2" t="s">
        <v>6</v>
      </c>
      <c r="AT486" s="5" t="str">
        <f>HYPERLINK("http://catalog.hathitrust.org/Record/003093122","HathiTrust Record")</f>
        <v>HathiTrust Record</v>
      </c>
      <c r="AU486" s="5" t="str">
        <f>HYPERLINK("https://creighton-primo.hosted.exlibrisgroup.com/primo-explore/search?tab=default_tab&amp;search_scope=EVERYTHING&amp;vid=01CRU&amp;lang=en_US&amp;offset=0&amp;query=any,contains,991001338059702656","Catalog Record")</f>
        <v>Catalog Record</v>
      </c>
      <c r="AV486" s="5" t="str">
        <f>HYPERLINK("http://www.worldcat.org/oclc/34772350","WorldCat Record")</f>
        <v>WorldCat Record</v>
      </c>
      <c r="AW486" s="2" t="s">
        <v>6270</v>
      </c>
      <c r="AX486" s="2" t="s">
        <v>6271</v>
      </c>
      <c r="AY486" s="2" t="s">
        <v>6272</v>
      </c>
      <c r="AZ486" s="2" t="s">
        <v>6272</v>
      </c>
      <c r="BA486" s="2" t="s">
        <v>6273</v>
      </c>
      <c r="BB486" s="2" t="s">
        <v>21</v>
      </c>
      <c r="BD486" s="2" t="s">
        <v>6274</v>
      </c>
      <c r="BE486" s="2" t="s">
        <v>6275</v>
      </c>
      <c r="BF486" s="2" t="s">
        <v>6276</v>
      </c>
    </row>
    <row r="487" spans="1:58" ht="42.75" customHeight="1" x14ac:dyDescent="0.25">
      <c r="A487" s="8" t="s">
        <v>8</v>
      </c>
      <c r="B487" s="1" t="s">
        <v>0</v>
      </c>
      <c r="C487" s="1" t="s">
        <v>1</v>
      </c>
      <c r="D487" s="1" t="s">
        <v>6277</v>
      </c>
      <c r="E487" s="1" t="s">
        <v>6278</v>
      </c>
      <c r="F487" s="1" t="s">
        <v>6279</v>
      </c>
      <c r="H487" s="2" t="s">
        <v>8</v>
      </c>
      <c r="I487" s="2" t="s">
        <v>7</v>
      </c>
      <c r="J487" s="2" t="s">
        <v>8</v>
      </c>
      <c r="K487" s="2" t="s">
        <v>8</v>
      </c>
      <c r="L487" s="2" t="s">
        <v>9</v>
      </c>
      <c r="N487" s="1" t="s">
        <v>6280</v>
      </c>
      <c r="O487" s="2" t="s">
        <v>51</v>
      </c>
      <c r="Q487" s="2" t="s">
        <v>12</v>
      </c>
      <c r="R487" s="2" t="s">
        <v>34</v>
      </c>
      <c r="T487" s="2" t="s">
        <v>14</v>
      </c>
      <c r="U487" s="3">
        <v>36</v>
      </c>
      <c r="V487" s="3">
        <v>36</v>
      </c>
      <c r="W487" s="4" t="s">
        <v>4780</v>
      </c>
      <c r="X487" s="4" t="s">
        <v>4780</v>
      </c>
      <c r="Y487" s="4" t="s">
        <v>6281</v>
      </c>
      <c r="Z487" s="4" t="s">
        <v>6281</v>
      </c>
      <c r="AA487" s="3">
        <v>472</v>
      </c>
      <c r="AB487" s="3">
        <v>439</v>
      </c>
      <c r="AC487" s="3">
        <v>446</v>
      </c>
      <c r="AD487" s="3">
        <v>1</v>
      </c>
      <c r="AE487" s="3">
        <v>1</v>
      </c>
      <c r="AF487" s="3">
        <v>21</v>
      </c>
      <c r="AG487" s="3">
        <v>21</v>
      </c>
      <c r="AH487" s="3">
        <v>4</v>
      </c>
      <c r="AI487" s="3">
        <v>4</v>
      </c>
      <c r="AJ487" s="3">
        <v>5</v>
      </c>
      <c r="AK487" s="3">
        <v>5</v>
      </c>
      <c r="AL487" s="3">
        <v>12</v>
      </c>
      <c r="AM487" s="3">
        <v>12</v>
      </c>
      <c r="AN487" s="3">
        <v>0</v>
      </c>
      <c r="AO487" s="3">
        <v>0</v>
      </c>
      <c r="AP487" s="3">
        <v>4</v>
      </c>
      <c r="AQ487" s="3">
        <v>4</v>
      </c>
      <c r="AR487" s="2" t="s">
        <v>8</v>
      </c>
      <c r="AS487" s="2" t="s">
        <v>6</v>
      </c>
      <c r="AT487" s="5" t="str">
        <f>HYPERLINK("http://catalog.hathitrust.org/Record/001082386","HathiTrust Record")</f>
        <v>HathiTrust Record</v>
      </c>
      <c r="AU487" s="5" t="str">
        <f>HYPERLINK("https://creighton-primo.hosted.exlibrisgroup.com/primo-explore/search?tab=default_tab&amp;search_scope=EVERYTHING&amp;vid=01CRU&amp;lang=en_US&amp;offset=0&amp;query=any,contains,991001173539702656","Catalog Record")</f>
        <v>Catalog Record</v>
      </c>
      <c r="AV487" s="5" t="str">
        <f>HYPERLINK("http://www.worldcat.org/oclc/16579065","WorldCat Record")</f>
        <v>WorldCat Record</v>
      </c>
      <c r="AW487" s="2" t="s">
        <v>6282</v>
      </c>
      <c r="AX487" s="2" t="s">
        <v>6283</v>
      </c>
      <c r="AY487" s="2" t="s">
        <v>6284</v>
      </c>
      <c r="AZ487" s="2" t="s">
        <v>6284</v>
      </c>
      <c r="BA487" s="2" t="s">
        <v>6285</v>
      </c>
      <c r="BB487" s="2" t="s">
        <v>21</v>
      </c>
      <c r="BD487" s="2" t="s">
        <v>6286</v>
      </c>
      <c r="BE487" s="2" t="s">
        <v>6287</v>
      </c>
      <c r="BF487" s="2" t="s">
        <v>6288</v>
      </c>
    </row>
    <row r="488" spans="1:58" ht="42.75" customHeight="1" x14ac:dyDescent="0.25">
      <c r="A488" s="8" t="s">
        <v>8</v>
      </c>
      <c r="B488" s="1" t="s">
        <v>0</v>
      </c>
      <c r="C488" s="1" t="s">
        <v>1</v>
      </c>
      <c r="D488" s="1" t="s">
        <v>6289</v>
      </c>
      <c r="E488" s="1" t="s">
        <v>6290</v>
      </c>
      <c r="F488" s="1" t="s">
        <v>6291</v>
      </c>
      <c r="H488" s="2" t="s">
        <v>8</v>
      </c>
      <c r="I488" s="2" t="s">
        <v>7</v>
      </c>
      <c r="J488" s="2" t="s">
        <v>6</v>
      </c>
      <c r="K488" s="2" t="s">
        <v>8</v>
      </c>
      <c r="L488" s="2" t="s">
        <v>9</v>
      </c>
      <c r="N488" s="1" t="s">
        <v>6292</v>
      </c>
      <c r="O488" s="2" t="s">
        <v>252</v>
      </c>
      <c r="Q488" s="2" t="s">
        <v>12</v>
      </c>
      <c r="R488" s="2" t="s">
        <v>34</v>
      </c>
      <c r="T488" s="2" t="s">
        <v>14</v>
      </c>
      <c r="U488" s="3">
        <v>20</v>
      </c>
      <c r="V488" s="3">
        <v>20</v>
      </c>
      <c r="W488" s="4" t="s">
        <v>6293</v>
      </c>
      <c r="X488" s="4" t="s">
        <v>6293</v>
      </c>
      <c r="Y488" s="4" t="s">
        <v>4443</v>
      </c>
      <c r="Z488" s="4" t="s">
        <v>4443</v>
      </c>
      <c r="AA488" s="3">
        <v>485</v>
      </c>
      <c r="AB488" s="3">
        <v>422</v>
      </c>
      <c r="AC488" s="3">
        <v>431</v>
      </c>
      <c r="AD488" s="3">
        <v>4</v>
      </c>
      <c r="AE488" s="3">
        <v>4</v>
      </c>
      <c r="AF488" s="3">
        <v>32</v>
      </c>
      <c r="AG488" s="3">
        <v>32</v>
      </c>
      <c r="AH488" s="3">
        <v>7</v>
      </c>
      <c r="AI488" s="3">
        <v>7</v>
      </c>
      <c r="AJ488" s="3">
        <v>5</v>
      </c>
      <c r="AK488" s="3">
        <v>5</v>
      </c>
      <c r="AL488" s="3">
        <v>12</v>
      </c>
      <c r="AM488" s="3">
        <v>12</v>
      </c>
      <c r="AN488" s="3">
        <v>1</v>
      </c>
      <c r="AO488" s="3">
        <v>1</v>
      </c>
      <c r="AP488" s="3">
        <v>15</v>
      </c>
      <c r="AQ488" s="3">
        <v>15</v>
      </c>
      <c r="AR488" s="2" t="s">
        <v>8</v>
      </c>
      <c r="AS488" s="2" t="s">
        <v>6</v>
      </c>
      <c r="AT488" s="5" t="str">
        <f>HYPERLINK("http://catalog.hathitrust.org/Record/000186938","HathiTrust Record")</f>
        <v>HathiTrust Record</v>
      </c>
      <c r="AU488" s="5" t="str">
        <f>HYPERLINK("https://creighton-primo.hosted.exlibrisgroup.com/primo-explore/search?tab=default_tab&amp;search_scope=EVERYTHING&amp;vid=01CRU&amp;lang=en_US&amp;offset=0&amp;query=any,contains,991001256409702656","Catalog Record")</f>
        <v>Catalog Record</v>
      </c>
      <c r="AV488" s="5" t="str">
        <f>HYPERLINK("http://www.worldcat.org/oclc/7462112","WorldCat Record")</f>
        <v>WorldCat Record</v>
      </c>
      <c r="AW488" s="2" t="s">
        <v>6294</v>
      </c>
      <c r="AX488" s="2" t="s">
        <v>6295</v>
      </c>
      <c r="AY488" s="2" t="s">
        <v>6296</v>
      </c>
      <c r="AZ488" s="2" t="s">
        <v>6296</v>
      </c>
      <c r="BA488" s="2" t="s">
        <v>6297</v>
      </c>
      <c r="BB488" s="2" t="s">
        <v>21</v>
      </c>
      <c r="BD488" s="2" t="s">
        <v>6298</v>
      </c>
      <c r="BE488" s="2" t="s">
        <v>6299</v>
      </c>
      <c r="BF488" s="2" t="s">
        <v>6300</v>
      </c>
    </row>
    <row r="489" spans="1:58" ht="42.75" customHeight="1" x14ac:dyDescent="0.25">
      <c r="A489" s="8" t="s">
        <v>8</v>
      </c>
      <c r="B489" s="1" t="s">
        <v>0</v>
      </c>
      <c r="C489" s="1" t="s">
        <v>1</v>
      </c>
      <c r="D489" s="1" t="s">
        <v>6301</v>
      </c>
      <c r="E489" s="1" t="s">
        <v>6302</v>
      </c>
      <c r="F489" s="1" t="s">
        <v>6303</v>
      </c>
      <c r="H489" s="2" t="s">
        <v>8</v>
      </c>
      <c r="I489" s="2" t="s">
        <v>7</v>
      </c>
      <c r="J489" s="2" t="s">
        <v>8</v>
      </c>
      <c r="K489" s="2" t="s">
        <v>8</v>
      </c>
      <c r="L489" s="2" t="s">
        <v>9</v>
      </c>
      <c r="N489" s="1" t="s">
        <v>6304</v>
      </c>
      <c r="O489" s="2" t="s">
        <v>410</v>
      </c>
      <c r="P489" s="1" t="s">
        <v>1225</v>
      </c>
      <c r="Q489" s="2" t="s">
        <v>12</v>
      </c>
      <c r="R489" s="2" t="s">
        <v>6305</v>
      </c>
      <c r="T489" s="2" t="s">
        <v>14</v>
      </c>
      <c r="U489" s="3">
        <v>0</v>
      </c>
      <c r="V489" s="3">
        <v>0</v>
      </c>
      <c r="W489" s="4" t="s">
        <v>4262</v>
      </c>
      <c r="X489" s="4" t="s">
        <v>4262</v>
      </c>
      <c r="Y489" s="4" t="s">
        <v>4263</v>
      </c>
      <c r="Z489" s="4" t="s">
        <v>4263</v>
      </c>
      <c r="AA489" s="3">
        <v>11</v>
      </c>
      <c r="AB489" s="3">
        <v>8</v>
      </c>
      <c r="AC489" s="3">
        <v>9</v>
      </c>
      <c r="AD489" s="3">
        <v>1</v>
      </c>
      <c r="AE489" s="3">
        <v>1</v>
      </c>
      <c r="AF489" s="3">
        <v>0</v>
      </c>
      <c r="AG489" s="3">
        <v>0</v>
      </c>
      <c r="AH489" s="3">
        <v>0</v>
      </c>
      <c r="AI489" s="3">
        <v>0</v>
      </c>
      <c r="AJ489" s="3">
        <v>0</v>
      </c>
      <c r="AK489" s="3">
        <v>0</v>
      </c>
      <c r="AL489" s="3">
        <v>0</v>
      </c>
      <c r="AM489" s="3">
        <v>0</v>
      </c>
      <c r="AN489" s="3">
        <v>0</v>
      </c>
      <c r="AO489" s="3">
        <v>0</v>
      </c>
      <c r="AP489" s="3">
        <v>0</v>
      </c>
      <c r="AQ489" s="3">
        <v>0</v>
      </c>
      <c r="AR489" s="2" t="s">
        <v>8</v>
      </c>
      <c r="AS489" s="2" t="s">
        <v>8</v>
      </c>
      <c r="AU489" s="5" t="str">
        <f>HYPERLINK("https://creighton-primo.hosted.exlibrisgroup.com/primo-explore/search?tab=default_tab&amp;search_scope=EVERYTHING&amp;vid=01CRU&amp;lang=en_US&amp;offset=0&amp;query=any,contains,991000441179702656","Catalog Record")</f>
        <v>Catalog Record</v>
      </c>
      <c r="AV489" s="5" t="str">
        <f>HYPERLINK("http://www.worldcat.org/oclc/35990080","WorldCat Record")</f>
        <v>WorldCat Record</v>
      </c>
      <c r="AW489" s="2" t="s">
        <v>6306</v>
      </c>
      <c r="AX489" s="2" t="s">
        <v>6307</v>
      </c>
      <c r="AY489" s="2" t="s">
        <v>6308</v>
      </c>
      <c r="AZ489" s="2" t="s">
        <v>6308</v>
      </c>
      <c r="BA489" s="2" t="s">
        <v>6309</v>
      </c>
      <c r="BB489" s="2" t="s">
        <v>21</v>
      </c>
      <c r="BD489" s="2" t="s">
        <v>6310</v>
      </c>
      <c r="BE489" s="2" t="s">
        <v>6311</v>
      </c>
      <c r="BF489" s="2" t="s">
        <v>6312</v>
      </c>
    </row>
    <row r="490" spans="1:58" ht="42.75" customHeight="1" x14ac:dyDescent="0.25">
      <c r="A490" s="8" t="s">
        <v>8</v>
      </c>
      <c r="B490" s="1" t="s">
        <v>0</v>
      </c>
      <c r="C490" s="1" t="s">
        <v>1</v>
      </c>
      <c r="D490" s="1" t="s">
        <v>6313</v>
      </c>
      <c r="E490" s="1" t="s">
        <v>6314</v>
      </c>
      <c r="F490" s="1" t="s">
        <v>6315</v>
      </c>
      <c r="H490" s="2" t="s">
        <v>8</v>
      </c>
      <c r="I490" s="2" t="s">
        <v>7</v>
      </c>
      <c r="J490" s="2" t="s">
        <v>6</v>
      </c>
      <c r="K490" s="2" t="s">
        <v>8</v>
      </c>
      <c r="L490" s="2" t="s">
        <v>9</v>
      </c>
      <c r="N490" s="1" t="s">
        <v>6316</v>
      </c>
      <c r="O490" s="2" t="s">
        <v>224</v>
      </c>
      <c r="Q490" s="2" t="s">
        <v>12</v>
      </c>
      <c r="R490" s="2" t="s">
        <v>34</v>
      </c>
      <c r="S490" s="1" t="s">
        <v>6317</v>
      </c>
      <c r="T490" s="2" t="s">
        <v>14</v>
      </c>
      <c r="U490" s="3">
        <v>5</v>
      </c>
      <c r="V490" s="3">
        <v>5</v>
      </c>
      <c r="W490" s="4" t="s">
        <v>6318</v>
      </c>
      <c r="X490" s="4" t="s">
        <v>6318</v>
      </c>
      <c r="Y490" s="4" t="s">
        <v>4443</v>
      </c>
      <c r="Z490" s="4" t="s">
        <v>4443</v>
      </c>
      <c r="AA490" s="3">
        <v>367</v>
      </c>
      <c r="AB490" s="3">
        <v>322</v>
      </c>
      <c r="AC490" s="3">
        <v>342</v>
      </c>
      <c r="AD490" s="3">
        <v>2</v>
      </c>
      <c r="AE490" s="3">
        <v>2</v>
      </c>
      <c r="AF490" s="3">
        <v>14</v>
      </c>
      <c r="AG490" s="3">
        <v>14</v>
      </c>
      <c r="AH490" s="3">
        <v>5</v>
      </c>
      <c r="AI490" s="3">
        <v>5</v>
      </c>
      <c r="AJ490" s="3">
        <v>4</v>
      </c>
      <c r="AK490" s="3">
        <v>4</v>
      </c>
      <c r="AL490" s="3">
        <v>10</v>
      </c>
      <c r="AM490" s="3">
        <v>10</v>
      </c>
      <c r="AN490" s="3">
        <v>0</v>
      </c>
      <c r="AO490" s="3">
        <v>0</v>
      </c>
      <c r="AP490" s="3">
        <v>0</v>
      </c>
      <c r="AQ490" s="3">
        <v>0</v>
      </c>
      <c r="AR490" s="2" t="s">
        <v>8</v>
      </c>
      <c r="AS490" s="2" t="s">
        <v>6</v>
      </c>
      <c r="AT490" s="5" t="str">
        <f>HYPERLINK("http://catalog.hathitrust.org/Record/000698533","HathiTrust Record")</f>
        <v>HathiTrust Record</v>
      </c>
      <c r="AU490" s="5" t="str">
        <f>HYPERLINK("https://creighton-primo.hosted.exlibrisgroup.com/primo-explore/search?tab=default_tab&amp;search_scope=EVERYTHING&amp;vid=01CRU&amp;lang=en_US&amp;offset=0&amp;query=any,contains,991001168349702656","Catalog Record")</f>
        <v>Catalog Record</v>
      </c>
      <c r="AV490" s="5" t="str">
        <f>HYPERLINK("http://www.worldcat.org/oclc/5611625","WorldCat Record")</f>
        <v>WorldCat Record</v>
      </c>
      <c r="AW490" s="2" t="s">
        <v>6319</v>
      </c>
      <c r="AX490" s="2" t="s">
        <v>6320</v>
      </c>
      <c r="AY490" s="2" t="s">
        <v>6321</v>
      </c>
      <c r="AZ490" s="2" t="s">
        <v>6321</v>
      </c>
      <c r="BA490" s="2" t="s">
        <v>6322</v>
      </c>
      <c r="BB490" s="2" t="s">
        <v>21</v>
      </c>
      <c r="BD490" s="2" t="s">
        <v>6323</v>
      </c>
      <c r="BE490" s="2" t="s">
        <v>6324</v>
      </c>
      <c r="BF490" s="2" t="s">
        <v>6325</v>
      </c>
    </row>
    <row r="491" spans="1:58" ht="42.75" customHeight="1" x14ac:dyDescent="0.25">
      <c r="A491" s="8" t="s">
        <v>8</v>
      </c>
      <c r="B491" s="1" t="s">
        <v>0</v>
      </c>
      <c r="C491" s="1" t="s">
        <v>1</v>
      </c>
      <c r="D491" s="1" t="s">
        <v>6326</v>
      </c>
      <c r="E491" s="1" t="s">
        <v>6327</v>
      </c>
      <c r="F491" s="1" t="s">
        <v>6328</v>
      </c>
      <c r="H491" s="2" t="s">
        <v>8</v>
      </c>
      <c r="I491" s="2" t="s">
        <v>7</v>
      </c>
      <c r="J491" s="2" t="s">
        <v>8</v>
      </c>
      <c r="K491" s="2" t="s">
        <v>8</v>
      </c>
      <c r="L491" s="2" t="s">
        <v>9</v>
      </c>
      <c r="N491" s="1" t="s">
        <v>6329</v>
      </c>
      <c r="O491" s="2" t="s">
        <v>1034</v>
      </c>
      <c r="Q491" s="2" t="s">
        <v>12</v>
      </c>
      <c r="R491" s="2" t="s">
        <v>577</v>
      </c>
      <c r="S491" s="1" t="s">
        <v>6330</v>
      </c>
      <c r="T491" s="2" t="s">
        <v>14</v>
      </c>
      <c r="U491" s="3">
        <v>20</v>
      </c>
      <c r="V491" s="3">
        <v>20</v>
      </c>
      <c r="W491" s="4" t="s">
        <v>6331</v>
      </c>
      <c r="X491" s="4" t="s">
        <v>6331</v>
      </c>
      <c r="Y491" s="4" t="s">
        <v>4443</v>
      </c>
      <c r="Z491" s="4" t="s">
        <v>4443</v>
      </c>
      <c r="AA491" s="3">
        <v>327</v>
      </c>
      <c r="AB491" s="3">
        <v>258</v>
      </c>
      <c r="AC491" s="3">
        <v>265</v>
      </c>
      <c r="AD491" s="3">
        <v>1</v>
      </c>
      <c r="AE491" s="3">
        <v>1</v>
      </c>
      <c r="AF491" s="3">
        <v>11</v>
      </c>
      <c r="AG491" s="3">
        <v>11</v>
      </c>
      <c r="AH491" s="3">
        <v>1</v>
      </c>
      <c r="AI491" s="3">
        <v>1</v>
      </c>
      <c r="AJ491" s="3">
        <v>1</v>
      </c>
      <c r="AK491" s="3">
        <v>1</v>
      </c>
      <c r="AL491" s="3">
        <v>9</v>
      </c>
      <c r="AM491" s="3">
        <v>9</v>
      </c>
      <c r="AN491" s="3">
        <v>0</v>
      </c>
      <c r="AO491" s="3">
        <v>0</v>
      </c>
      <c r="AP491" s="3">
        <v>2</v>
      </c>
      <c r="AQ491" s="3">
        <v>2</v>
      </c>
      <c r="AR491" s="2" t="s">
        <v>8</v>
      </c>
      <c r="AS491" s="2" t="s">
        <v>6</v>
      </c>
      <c r="AT491" s="5" t="str">
        <f>HYPERLINK("http://catalog.hathitrust.org/Record/000022709","HathiTrust Record")</f>
        <v>HathiTrust Record</v>
      </c>
      <c r="AU491" s="5" t="str">
        <f>HYPERLINK("https://creighton-primo.hosted.exlibrisgroup.com/primo-explore/search?tab=default_tab&amp;search_scope=EVERYTHING&amp;vid=01CRU&amp;lang=en_US&amp;offset=0&amp;query=any,contains,991001256499702656","Catalog Record")</f>
        <v>Catalog Record</v>
      </c>
      <c r="AV491" s="5" t="str">
        <f>HYPERLINK("http://www.worldcat.org/oclc/5289330","WorldCat Record")</f>
        <v>WorldCat Record</v>
      </c>
      <c r="AW491" s="2" t="s">
        <v>6332</v>
      </c>
      <c r="AX491" s="2" t="s">
        <v>6333</v>
      </c>
      <c r="AY491" s="2" t="s">
        <v>6334</v>
      </c>
      <c r="AZ491" s="2" t="s">
        <v>6334</v>
      </c>
      <c r="BA491" s="2" t="s">
        <v>6335</v>
      </c>
      <c r="BB491" s="2" t="s">
        <v>21</v>
      </c>
      <c r="BD491" s="2" t="s">
        <v>6336</v>
      </c>
      <c r="BE491" s="2" t="s">
        <v>6337</v>
      </c>
      <c r="BF491" s="2" t="s">
        <v>6338</v>
      </c>
    </row>
    <row r="492" spans="1:58" ht="42.75" customHeight="1" x14ac:dyDescent="0.25">
      <c r="A492" s="8" t="s">
        <v>8</v>
      </c>
      <c r="B492" s="1" t="s">
        <v>0</v>
      </c>
      <c r="C492" s="1" t="s">
        <v>1</v>
      </c>
      <c r="D492" s="1" t="s">
        <v>6339</v>
      </c>
      <c r="E492" s="1" t="s">
        <v>6340</v>
      </c>
      <c r="F492" s="1" t="s">
        <v>6341</v>
      </c>
      <c r="H492" s="2" t="s">
        <v>8</v>
      </c>
      <c r="I492" s="2" t="s">
        <v>7</v>
      </c>
      <c r="J492" s="2" t="s">
        <v>8</v>
      </c>
      <c r="K492" s="2" t="s">
        <v>8</v>
      </c>
      <c r="L492" s="2" t="s">
        <v>9</v>
      </c>
      <c r="M492" s="1" t="s">
        <v>6342</v>
      </c>
      <c r="N492" s="1" t="s">
        <v>6343</v>
      </c>
      <c r="O492" s="2" t="s">
        <v>627</v>
      </c>
      <c r="Q492" s="2" t="s">
        <v>12</v>
      </c>
      <c r="R492" s="2" t="s">
        <v>1211</v>
      </c>
      <c r="S492" s="1" t="s">
        <v>6344</v>
      </c>
      <c r="T492" s="2" t="s">
        <v>14</v>
      </c>
      <c r="U492" s="3">
        <v>9</v>
      </c>
      <c r="V492" s="3">
        <v>9</v>
      </c>
      <c r="W492" s="4" t="s">
        <v>6168</v>
      </c>
      <c r="X492" s="4" t="s">
        <v>6168</v>
      </c>
      <c r="Y492" s="4" t="s">
        <v>6345</v>
      </c>
      <c r="Z492" s="4" t="s">
        <v>6345</v>
      </c>
      <c r="AA492" s="3">
        <v>14</v>
      </c>
      <c r="AB492" s="3">
        <v>13</v>
      </c>
      <c r="AC492" s="3">
        <v>13</v>
      </c>
      <c r="AD492" s="3">
        <v>1</v>
      </c>
      <c r="AE492" s="3">
        <v>1</v>
      </c>
      <c r="AF492" s="3">
        <v>3</v>
      </c>
      <c r="AG492" s="3">
        <v>3</v>
      </c>
      <c r="AH492" s="3">
        <v>0</v>
      </c>
      <c r="AI492" s="3">
        <v>0</v>
      </c>
      <c r="AJ492" s="3">
        <v>0</v>
      </c>
      <c r="AK492" s="3">
        <v>0</v>
      </c>
      <c r="AL492" s="3">
        <v>1</v>
      </c>
      <c r="AM492" s="3">
        <v>1</v>
      </c>
      <c r="AN492" s="3">
        <v>0</v>
      </c>
      <c r="AO492" s="3">
        <v>0</v>
      </c>
      <c r="AP492" s="3">
        <v>2</v>
      </c>
      <c r="AQ492" s="3">
        <v>2</v>
      </c>
      <c r="AR492" s="2" t="s">
        <v>8</v>
      </c>
      <c r="AS492" s="2" t="s">
        <v>8</v>
      </c>
      <c r="AU492" s="5" t="str">
        <f>HYPERLINK("https://creighton-primo.hosted.exlibrisgroup.com/primo-explore/search?tab=default_tab&amp;search_scope=EVERYTHING&amp;vid=01CRU&amp;lang=en_US&amp;offset=0&amp;query=any,contains,991001316129702656","Catalog Record")</f>
        <v>Catalog Record</v>
      </c>
      <c r="AV492" s="5" t="str">
        <f>HYPERLINK("http://www.worldcat.org/oclc/21942744","WorldCat Record")</f>
        <v>WorldCat Record</v>
      </c>
      <c r="AW492" s="2" t="s">
        <v>6346</v>
      </c>
      <c r="AX492" s="2" t="s">
        <v>6347</v>
      </c>
      <c r="AY492" s="2" t="s">
        <v>6348</v>
      </c>
      <c r="AZ492" s="2" t="s">
        <v>6348</v>
      </c>
      <c r="BA492" s="2" t="s">
        <v>6349</v>
      </c>
      <c r="BB492" s="2" t="s">
        <v>21</v>
      </c>
      <c r="BE492" s="2" t="s">
        <v>6350</v>
      </c>
      <c r="BF492" s="2" t="s">
        <v>6351</v>
      </c>
    </row>
    <row r="493" spans="1:58" ht="42.75" customHeight="1" x14ac:dyDescent="0.25">
      <c r="A493" s="8" t="s">
        <v>8</v>
      </c>
      <c r="B493" s="1" t="s">
        <v>0</v>
      </c>
      <c r="C493" s="1" t="s">
        <v>1</v>
      </c>
      <c r="D493" s="1" t="s">
        <v>6352</v>
      </c>
      <c r="E493" s="1" t="s">
        <v>6353</v>
      </c>
      <c r="F493" s="1" t="s">
        <v>6354</v>
      </c>
      <c r="H493" s="2" t="s">
        <v>8</v>
      </c>
      <c r="I493" s="2" t="s">
        <v>7</v>
      </c>
      <c r="J493" s="2" t="s">
        <v>8</v>
      </c>
      <c r="K493" s="2" t="s">
        <v>8</v>
      </c>
      <c r="L493" s="2" t="s">
        <v>9</v>
      </c>
      <c r="M493" s="1" t="s">
        <v>6355</v>
      </c>
      <c r="N493" s="1" t="s">
        <v>6356</v>
      </c>
      <c r="O493" s="2" t="s">
        <v>589</v>
      </c>
      <c r="Q493" s="2" t="s">
        <v>12</v>
      </c>
      <c r="R493" s="2" t="s">
        <v>34</v>
      </c>
      <c r="T493" s="2" t="s">
        <v>14</v>
      </c>
      <c r="U493" s="3">
        <v>10</v>
      </c>
      <c r="V493" s="3">
        <v>10</v>
      </c>
      <c r="W493" s="4" t="s">
        <v>4820</v>
      </c>
      <c r="X493" s="4" t="s">
        <v>4820</v>
      </c>
      <c r="Y493" s="4" t="s">
        <v>2196</v>
      </c>
      <c r="Z493" s="4" t="s">
        <v>2196</v>
      </c>
      <c r="AA493" s="3">
        <v>754</v>
      </c>
      <c r="AB493" s="3">
        <v>649</v>
      </c>
      <c r="AC493" s="3">
        <v>654</v>
      </c>
      <c r="AD493" s="3">
        <v>2</v>
      </c>
      <c r="AE493" s="3">
        <v>2</v>
      </c>
      <c r="AF493" s="3">
        <v>35</v>
      </c>
      <c r="AG493" s="3">
        <v>35</v>
      </c>
      <c r="AH493" s="3">
        <v>10</v>
      </c>
      <c r="AI493" s="3">
        <v>10</v>
      </c>
      <c r="AJ493" s="3">
        <v>5</v>
      </c>
      <c r="AK493" s="3">
        <v>5</v>
      </c>
      <c r="AL493" s="3">
        <v>18</v>
      </c>
      <c r="AM493" s="3">
        <v>18</v>
      </c>
      <c r="AN493" s="3">
        <v>1</v>
      </c>
      <c r="AO493" s="3">
        <v>1</v>
      </c>
      <c r="AP493" s="3">
        <v>10</v>
      </c>
      <c r="AQ493" s="3">
        <v>10</v>
      </c>
      <c r="AR493" s="2" t="s">
        <v>8</v>
      </c>
      <c r="AS493" s="2" t="s">
        <v>8</v>
      </c>
      <c r="AU493" s="5" t="str">
        <f>HYPERLINK("https://creighton-primo.hosted.exlibrisgroup.com/primo-explore/search?tab=default_tab&amp;search_scope=EVERYTHING&amp;vid=01CRU&amp;lang=en_US&amp;offset=0&amp;query=any,contains,991001381599702656","Catalog Record")</f>
        <v>Catalog Record</v>
      </c>
      <c r="AV493" s="5" t="str">
        <f>HYPERLINK("http://www.worldcat.org/oclc/19971510","WorldCat Record")</f>
        <v>WorldCat Record</v>
      </c>
      <c r="AW493" s="2" t="s">
        <v>6357</v>
      </c>
      <c r="AX493" s="2" t="s">
        <v>6358</v>
      </c>
      <c r="AY493" s="2" t="s">
        <v>6359</v>
      </c>
      <c r="AZ493" s="2" t="s">
        <v>6359</v>
      </c>
      <c r="BA493" s="2" t="s">
        <v>6360</v>
      </c>
      <c r="BB493" s="2" t="s">
        <v>21</v>
      </c>
      <c r="BD493" s="2" t="s">
        <v>6361</v>
      </c>
      <c r="BE493" s="2" t="s">
        <v>6362</v>
      </c>
      <c r="BF493" s="2" t="s">
        <v>6363</v>
      </c>
    </row>
    <row r="494" spans="1:58" ht="42.75" customHeight="1" x14ac:dyDescent="0.25">
      <c r="A494" s="8" t="s">
        <v>8</v>
      </c>
      <c r="B494" s="1" t="s">
        <v>0</v>
      </c>
      <c r="C494" s="1" t="s">
        <v>1</v>
      </c>
      <c r="D494" s="1" t="s">
        <v>6364</v>
      </c>
      <c r="E494" s="1" t="s">
        <v>6365</v>
      </c>
      <c r="F494" s="1" t="s">
        <v>6366</v>
      </c>
      <c r="H494" s="2" t="s">
        <v>8</v>
      </c>
      <c r="I494" s="2" t="s">
        <v>7</v>
      </c>
      <c r="J494" s="2" t="s">
        <v>8</v>
      </c>
      <c r="K494" s="2" t="s">
        <v>8</v>
      </c>
      <c r="L494" s="2" t="s">
        <v>9</v>
      </c>
      <c r="M494" s="1" t="s">
        <v>6367</v>
      </c>
      <c r="N494" s="1" t="s">
        <v>6368</v>
      </c>
      <c r="O494" s="2" t="s">
        <v>602</v>
      </c>
      <c r="Q494" s="2" t="s">
        <v>12</v>
      </c>
      <c r="R494" s="2" t="s">
        <v>13</v>
      </c>
      <c r="S494" s="1" t="s">
        <v>6369</v>
      </c>
      <c r="T494" s="2" t="s">
        <v>14</v>
      </c>
      <c r="U494" s="3">
        <v>5</v>
      </c>
      <c r="V494" s="3">
        <v>5</v>
      </c>
      <c r="W494" s="4" t="s">
        <v>5821</v>
      </c>
      <c r="X494" s="4" t="s">
        <v>5821</v>
      </c>
      <c r="Y494" s="4" t="s">
        <v>6370</v>
      </c>
      <c r="Z494" s="4" t="s">
        <v>6370</v>
      </c>
      <c r="AA494" s="3">
        <v>482</v>
      </c>
      <c r="AB494" s="3">
        <v>426</v>
      </c>
      <c r="AC494" s="3">
        <v>587</v>
      </c>
      <c r="AD494" s="3">
        <v>5</v>
      </c>
      <c r="AE494" s="3">
        <v>5</v>
      </c>
      <c r="AF494" s="3">
        <v>23</v>
      </c>
      <c r="AG494" s="3">
        <v>32</v>
      </c>
      <c r="AH494" s="3">
        <v>7</v>
      </c>
      <c r="AI494" s="3">
        <v>9</v>
      </c>
      <c r="AJ494" s="3">
        <v>8</v>
      </c>
      <c r="AK494" s="3">
        <v>11</v>
      </c>
      <c r="AL494" s="3">
        <v>11</v>
      </c>
      <c r="AM494" s="3">
        <v>17</v>
      </c>
      <c r="AN494" s="3">
        <v>4</v>
      </c>
      <c r="AO494" s="3">
        <v>4</v>
      </c>
      <c r="AP494" s="3">
        <v>0</v>
      </c>
      <c r="AQ494" s="3">
        <v>1</v>
      </c>
      <c r="AR494" s="2" t="s">
        <v>8</v>
      </c>
      <c r="AS494" s="2" t="s">
        <v>8</v>
      </c>
      <c r="AU494" s="5" t="str">
        <f>HYPERLINK("https://creighton-primo.hosted.exlibrisgroup.com/primo-explore/search?tab=default_tab&amp;search_scope=EVERYTHING&amp;vid=01CRU&amp;lang=en_US&amp;offset=0&amp;query=any,contains,991001012799702656","Catalog Record")</f>
        <v>Catalog Record</v>
      </c>
      <c r="AV494" s="5" t="str">
        <f>HYPERLINK("http://www.worldcat.org/oclc/22891711","WorldCat Record")</f>
        <v>WorldCat Record</v>
      </c>
      <c r="AW494" s="2" t="s">
        <v>6371</v>
      </c>
      <c r="AX494" s="2" t="s">
        <v>6372</v>
      </c>
      <c r="AY494" s="2" t="s">
        <v>6373</v>
      </c>
      <c r="AZ494" s="2" t="s">
        <v>6373</v>
      </c>
      <c r="BA494" s="2" t="s">
        <v>6374</v>
      </c>
      <c r="BB494" s="2" t="s">
        <v>21</v>
      </c>
      <c r="BD494" s="2" t="s">
        <v>6375</v>
      </c>
      <c r="BE494" s="2" t="s">
        <v>6376</v>
      </c>
      <c r="BF494" s="2" t="s">
        <v>6377</v>
      </c>
    </row>
    <row r="495" spans="1:58" ht="42.75" customHeight="1" x14ac:dyDescent="0.25">
      <c r="A495" s="8" t="s">
        <v>8</v>
      </c>
      <c r="B495" s="1" t="s">
        <v>0</v>
      </c>
      <c r="C495" s="1" t="s">
        <v>1</v>
      </c>
      <c r="D495" s="1" t="s">
        <v>6378</v>
      </c>
      <c r="E495" s="1" t="s">
        <v>6379</v>
      </c>
      <c r="F495" s="1" t="s">
        <v>6380</v>
      </c>
      <c r="H495" s="2" t="s">
        <v>8</v>
      </c>
      <c r="I495" s="2" t="s">
        <v>7</v>
      </c>
      <c r="J495" s="2" t="s">
        <v>8</v>
      </c>
      <c r="K495" s="2" t="s">
        <v>8</v>
      </c>
      <c r="L495" s="2" t="s">
        <v>9</v>
      </c>
      <c r="M495" s="1" t="s">
        <v>6381</v>
      </c>
      <c r="N495" s="1" t="s">
        <v>6382</v>
      </c>
      <c r="O495" s="2" t="s">
        <v>627</v>
      </c>
      <c r="Q495" s="2" t="s">
        <v>12</v>
      </c>
      <c r="R495" s="2" t="s">
        <v>34</v>
      </c>
      <c r="T495" s="2" t="s">
        <v>14</v>
      </c>
      <c r="U495" s="3">
        <v>4</v>
      </c>
      <c r="V495" s="3">
        <v>4</v>
      </c>
      <c r="W495" s="4" t="s">
        <v>5777</v>
      </c>
      <c r="X495" s="4" t="s">
        <v>5777</v>
      </c>
      <c r="Y495" s="4" t="s">
        <v>1019</v>
      </c>
      <c r="Z495" s="4" t="s">
        <v>1019</v>
      </c>
      <c r="AA495" s="3">
        <v>223</v>
      </c>
      <c r="AB495" s="3">
        <v>202</v>
      </c>
      <c r="AC495" s="3">
        <v>222</v>
      </c>
      <c r="AD495" s="3">
        <v>1</v>
      </c>
      <c r="AE495" s="3">
        <v>1</v>
      </c>
      <c r="AF495" s="3">
        <v>9</v>
      </c>
      <c r="AG495" s="3">
        <v>9</v>
      </c>
      <c r="AH495" s="3">
        <v>1</v>
      </c>
      <c r="AI495" s="3">
        <v>1</v>
      </c>
      <c r="AJ495" s="3">
        <v>2</v>
      </c>
      <c r="AK495" s="3">
        <v>2</v>
      </c>
      <c r="AL495" s="3">
        <v>8</v>
      </c>
      <c r="AM495" s="3">
        <v>8</v>
      </c>
      <c r="AN495" s="3">
        <v>0</v>
      </c>
      <c r="AO495" s="3">
        <v>0</v>
      </c>
      <c r="AP495" s="3">
        <v>1</v>
      </c>
      <c r="AQ495" s="3">
        <v>1</v>
      </c>
      <c r="AR495" s="2" t="s">
        <v>8</v>
      </c>
      <c r="AS495" s="2" t="s">
        <v>6</v>
      </c>
      <c r="AT495" s="5" t="str">
        <f>HYPERLINK("http://catalog.hathitrust.org/Record/001093184","HathiTrust Record")</f>
        <v>HathiTrust Record</v>
      </c>
      <c r="AU495" s="5" t="str">
        <f>HYPERLINK("https://creighton-primo.hosted.exlibrisgroup.com/primo-explore/search?tab=default_tab&amp;search_scope=EVERYTHING&amp;vid=01CRU&amp;lang=en_US&amp;offset=0&amp;query=any,contains,991001316979702656","Catalog Record")</f>
        <v>Catalog Record</v>
      </c>
      <c r="AV495" s="5" t="str">
        <f>HYPERLINK("http://www.worldcat.org/oclc/18907147","WorldCat Record")</f>
        <v>WorldCat Record</v>
      </c>
      <c r="AW495" s="2" t="s">
        <v>6383</v>
      </c>
      <c r="AX495" s="2" t="s">
        <v>6384</v>
      </c>
      <c r="AY495" s="2" t="s">
        <v>6385</v>
      </c>
      <c r="AZ495" s="2" t="s">
        <v>6385</v>
      </c>
      <c r="BA495" s="2" t="s">
        <v>6386</v>
      </c>
      <c r="BB495" s="2" t="s">
        <v>21</v>
      </c>
      <c r="BD495" s="2" t="s">
        <v>6387</v>
      </c>
      <c r="BE495" s="2" t="s">
        <v>6388</v>
      </c>
      <c r="BF495" s="2" t="s">
        <v>6389</v>
      </c>
    </row>
    <row r="496" spans="1:58" ht="42.75" customHeight="1" x14ac:dyDescent="0.25">
      <c r="A496" s="8" t="s">
        <v>8</v>
      </c>
      <c r="B496" s="1" t="s">
        <v>0</v>
      </c>
      <c r="C496" s="1" t="s">
        <v>1</v>
      </c>
      <c r="D496" s="1" t="s">
        <v>6390</v>
      </c>
      <c r="E496" s="1" t="s">
        <v>6391</v>
      </c>
      <c r="F496" s="1" t="s">
        <v>6392</v>
      </c>
      <c r="H496" s="2" t="s">
        <v>8</v>
      </c>
      <c r="I496" s="2" t="s">
        <v>7</v>
      </c>
      <c r="J496" s="2" t="s">
        <v>8</v>
      </c>
      <c r="K496" s="2" t="s">
        <v>6</v>
      </c>
      <c r="L496" s="2" t="s">
        <v>9</v>
      </c>
      <c r="M496" s="1" t="s">
        <v>6393</v>
      </c>
      <c r="N496" s="1" t="s">
        <v>4232</v>
      </c>
      <c r="O496" s="2" t="s">
        <v>731</v>
      </c>
      <c r="Q496" s="2" t="s">
        <v>12</v>
      </c>
      <c r="R496" s="2" t="s">
        <v>815</v>
      </c>
      <c r="T496" s="2" t="s">
        <v>14</v>
      </c>
      <c r="U496" s="3">
        <v>17</v>
      </c>
      <c r="V496" s="3">
        <v>17</v>
      </c>
      <c r="W496" s="4" t="s">
        <v>6394</v>
      </c>
      <c r="X496" s="4" t="s">
        <v>6394</v>
      </c>
      <c r="Y496" s="4" t="s">
        <v>4844</v>
      </c>
      <c r="Z496" s="4" t="s">
        <v>4844</v>
      </c>
      <c r="AA496" s="3">
        <v>451</v>
      </c>
      <c r="AB496" s="3">
        <v>398</v>
      </c>
      <c r="AC496" s="3">
        <v>608</v>
      </c>
      <c r="AD496" s="3">
        <v>3</v>
      </c>
      <c r="AE496" s="3">
        <v>3</v>
      </c>
      <c r="AF496" s="3">
        <v>20</v>
      </c>
      <c r="AG496" s="3">
        <v>32</v>
      </c>
      <c r="AH496" s="3">
        <v>8</v>
      </c>
      <c r="AI496" s="3">
        <v>13</v>
      </c>
      <c r="AJ496" s="3">
        <v>6</v>
      </c>
      <c r="AK496" s="3">
        <v>8</v>
      </c>
      <c r="AL496" s="3">
        <v>11</v>
      </c>
      <c r="AM496" s="3">
        <v>17</v>
      </c>
      <c r="AN496" s="3">
        <v>2</v>
      </c>
      <c r="AO496" s="3">
        <v>2</v>
      </c>
      <c r="AP496" s="3">
        <v>2</v>
      </c>
      <c r="AQ496" s="3">
        <v>4</v>
      </c>
      <c r="AR496" s="2" t="s">
        <v>8</v>
      </c>
      <c r="AS496" s="2" t="s">
        <v>6</v>
      </c>
      <c r="AT496" s="5" t="str">
        <f>HYPERLINK("http://catalog.hathitrust.org/Record/003196491","HathiTrust Record")</f>
        <v>HathiTrust Record</v>
      </c>
      <c r="AU496" s="5" t="str">
        <f>HYPERLINK("https://creighton-primo.hosted.exlibrisgroup.com/primo-explore/search?tab=default_tab&amp;search_scope=EVERYTHING&amp;vid=01CRU&amp;lang=en_US&amp;offset=0&amp;query=any,contains,991001198209702656","Catalog Record")</f>
        <v>Catalog Record</v>
      </c>
      <c r="AV496" s="5" t="str">
        <f>HYPERLINK("http://www.worldcat.org/oclc/37109188","WorldCat Record")</f>
        <v>WorldCat Record</v>
      </c>
      <c r="AW496" s="2" t="s">
        <v>5822</v>
      </c>
      <c r="AX496" s="2" t="s">
        <v>6395</v>
      </c>
      <c r="AY496" s="2" t="s">
        <v>6396</v>
      </c>
      <c r="AZ496" s="2" t="s">
        <v>6396</v>
      </c>
      <c r="BA496" s="2" t="s">
        <v>6397</v>
      </c>
      <c r="BB496" s="2" t="s">
        <v>21</v>
      </c>
      <c r="BD496" s="2" t="s">
        <v>6398</v>
      </c>
      <c r="BE496" s="2" t="s">
        <v>6399</v>
      </c>
      <c r="BF496" s="2" t="s">
        <v>6400</v>
      </c>
    </row>
    <row r="497" spans="1:58" ht="42.75" customHeight="1" x14ac:dyDescent="0.25">
      <c r="A497" s="8" t="s">
        <v>8</v>
      </c>
      <c r="B497" s="1" t="s">
        <v>0</v>
      </c>
      <c r="C497" s="1" t="s">
        <v>1</v>
      </c>
      <c r="D497" s="1" t="s">
        <v>6401</v>
      </c>
      <c r="E497" s="1" t="s">
        <v>6402</v>
      </c>
      <c r="F497" s="1" t="s">
        <v>6403</v>
      </c>
      <c r="H497" s="2" t="s">
        <v>8</v>
      </c>
      <c r="I497" s="2" t="s">
        <v>7</v>
      </c>
      <c r="J497" s="2" t="s">
        <v>8</v>
      </c>
      <c r="K497" s="2" t="s">
        <v>6</v>
      </c>
      <c r="L497" s="2" t="s">
        <v>9</v>
      </c>
      <c r="N497" s="1" t="s">
        <v>6404</v>
      </c>
      <c r="O497" s="2" t="s">
        <v>266</v>
      </c>
      <c r="P497" s="1" t="s">
        <v>83</v>
      </c>
      <c r="Q497" s="2" t="s">
        <v>12</v>
      </c>
      <c r="R497" s="2" t="s">
        <v>34</v>
      </c>
      <c r="T497" s="2" t="s">
        <v>14</v>
      </c>
      <c r="U497" s="3">
        <v>48</v>
      </c>
      <c r="V497" s="3">
        <v>48</v>
      </c>
      <c r="W497" s="4" t="s">
        <v>6405</v>
      </c>
      <c r="X497" s="4" t="s">
        <v>6405</v>
      </c>
      <c r="Y497" s="4" t="s">
        <v>4443</v>
      </c>
      <c r="Z497" s="4" t="s">
        <v>4443</v>
      </c>
      <c r="AA497" s="3">
        <v>346</v>
      </c>
      <c r="AB497" s="3">
        <v>259</v>
      </c>
      <c r="AC497" s="3">
        <v>771</v>
      </c>
      <c r="AD497" s="3">
        <v>2</v>
      </c>
      <c r="AE497" s="3">
        <v>6</v>
      </c>
      <c r="AF497" s="3">
        <v>22</v>
      </c>
      <c r="AG497" s="3">
        <v>38</v>
      </c>
      <c r="AH497" s="3">
        <v>6</v>
      </c>
      <c r="AI497" s="3">
        <v>12</v>
      </c>
      <c r="AJ497" s="3">
        <v>2</v>
      </c>
      <c r="AK497" s="3">
        <v>5</v>
      </c>
      <c r="AL497" s="3">
        <v>15</v>
      </c>
      <c r="AM497" s="3">
        <v>20</v>
      </c>
      <c r="AN497" s="3">
        <v>0</v>
      </c>
      <c r="AO497" s="3">
        <v>3</v>
      </c>
      <c r="AP497" s="3">
        <v>6</v>
      </c>
      <c r="AQ497" s="3">
        <v>7</v>
      </c>
      <c r="AR497" s="2" t="s">
        <v>8</v>
      </c>
      <c r="AS497" s="2" t="s">
        <v>8</v>
      </c>
      <c r="AU497" s="5" t="str">
        <f>HYPERLINK("https://creighton-primo.hosted.exlibrisgroup.com/primo-explore/search?tab=default_tab&amp;search_scope=EVERYTHING&amp;vid=01CRU&amp;lang=en_US&amp;offset=0&amp;query=any,contains,991001168459702656","Catalog Record")</f>
        <v>Catalog Record</v>
      </c>
      <c r="AV497" s="5" t="str">
        <f>HYPERLINK("http://www.worldcat.org/oclc/9084535","WorldCat Record")</f>
        <v>WorldCat Record</v>
      </c>
      <c r="AW497" s="2" t="s">
        <v>6406</v>
      </c>
      <c r="AX497" s="2" t="s">
        <v>6407</v>
      </c>
      <c r="AY497" s="2" t="s">
        <v>6408</v>
      </c>
      <c r="AZ497" s="2" t="s">
        <v>6408</v>
      </c>
      <c r="BA497" s="2" t="s">
        <v>6409</v>
      </c>
      <c r="BB497" s="2" t="s">
        <v>21</v>
      </c>
      <c r="BD497" s="2" t="s">
        <v>6410</v>
      </c>
      <c r="BE497" s="2" t="s">
        <v>6411</v>
      </c>
      <c r="BF497" s="2" t="s">
        <v>6412</v>
      </c>
    </row>
    <row r="498" spans="1:58" ht="42.75" customHeight="1" x14ac:dyDescent="0.25">
      <c r="A498" s="8" t="s">
        <v>8</v>
      </c>
      <c r="B498" s="1" t="s">
        <v>0</v>
      </c>
      <c r="C498" s="1" t="s">
        <v>1</v>
      </c>
      <c r="D498" s="1" t="s">
        <v>6413</v>
      </c>
      <c r="E498" s="1" t="s">
        <v>6414</v>
      </c>
      <c r="F498" s="1" t="s">
        <v>6415</v>
      </c>
      <c r="H498" s="2" t="s">
        <v>8</v>
      </c>
      <c r="I498" s="2" t="s">
        <v>7</v>
      </c>
      <c r="J498" s="2" t="s">
        <v>6</v>
      </c>
      <c r="K498" s="2" t="s">
        <v>8</v>
      </c>
      <c r="L498" s="2" t="s">
        <v>9</v>
      </c>
      <c r="N498" s="1" t="s">
        <v>2836</v>
      </c>
      <c r="O498" s="2" t="s">
        <v>67</v>
      </c>
      <c r="Q498" s="2" t="s">
        <v>12</v>
      </c>
      <c r="R498" s="2" t="s">
        <v>643</v>
      </c>
      <c r="S498" s="1" t="s">
        <v>6416</v>
      </c>
      <c r="T498" s="2" t="s">
        <v>14</v>
      </c>
      <c r="U498" s="3">
        <v>17</v>
      </c>
      <c r="V498" s="3">
        <v>17</v>
      </c>
      <c r="W498" s="4" t="s">
        <v>6417</v>
      </c>
      <c r="X498" s="4" t="s">
        <v>6417</v>
      </c>
      <c r="Y498" s="4" t="s">
        <v>4443</v>
      </c>
      <c r="Z498" s="4" t="s">
        <v>4443</v>
      </c>
      <c r="AA498" s="3">
        <v>531</v>
      </c>
      <c r="AB498" s="3">
        <v>365</v>
      </c>
      <c r="AC498" s="3">
        <v>390</v>
      </c>
      <c r="AD498" s="3">
        <v>3</v>
      </c>
      <c r="AE498" s="3">
        <v>3</v>
      </c>
      <c r="AF498" s="3">
        <v>25</v>
      </c>
      <c r="AG498" s="3">
        <v>26</v>
      </c>
      <c r="AH498" s="3">
        <v>9</v>
      </c>
      <c r="AI498" s="3">
        <v>9</v>
      </c>
      <c r="AJ498" s="3">
        <v>3</v>
      </c>
      <c r="AK498" s="3">
        <v>4</v>
      </c>
      <c r="AL498" s="3">
        <v>10</v>
      </c>
      <c r="AM498" s="3">
        <v>11</v>
      </c>
      <c r="AN498" s="3">
        <v>0</v>
      </c>
      <c r="AO498" s="3">
        <v>0</v>
      </c>
      <c r="AP498" s="3">
        <v>8</v>
      </c>
      <c r="AQ498" s="3">
        <v>8</v>
      </c>
      <c r="AR498" s="2" t="s">
        <v>8</v>
      </c>
      <c r="AS498" s="2" t="s">
        <v>6</v>
      </c>
      <c r="AT498" s="5" t="str">
        <f>HYPERLINK("http://catalog.hathitrust.org/Record/000386723","HathiTrust Record")</f>
        <v>HathiTrust Record</v>
      </c>
      <c r="AU498" s="5" t="str">
        <f>HYPERLINK("https://creighton-primo.hosted.exlibrisgroup.com/primo-explore/search?tab=default_tab&amp;search_scope=EVERYTHING&amp;vid=01CRU&amp;lang=en_US&amp;offset=0&amp;query=any,contains,991001168319702656","Catalog Record")</f>
        <v>Catalog Record</v>
      </c>
      <c r="AV498" s="5" t="str">
        <f>HYPERLINK("http://www.worldcat.org/oclc/11784521","WorldCat Record")</f>
        <v>WorldCat Record</v>
      </c>
      <c r="AW498" s="2" t="s">
        <v>6418</v>
      </c>
      <c r="AX498" s="2" t="s">
        <v>6419</v>
      </c>
      <c r="AY498" s="2" t="s">
        <v>6420</v>
      </c>
      <c r="AZ498" s="2" t="s">
        <v>6420</v>
      </c>
      <c r="BA498" s="2" t="s">
        <v>6421</v>
      </c>
      <c r="BB498" s="2" t="s">
        <v>21</v>
      </c>
      <c r="BD498" s="2" t="s">
        <v>6422</v>
      </c>
      <c r="BE498" s="2" t="s">
        <v>6423</v>
      </c>
      <c r="BF498" s="2" t="s">
        <v>6424</v>
      </c>
    </row>
    <row r="499" spans="1:58" ht="42.75" customHeight="1" x14ac:dyDescent="0.25">
      <c r="A499" s="8" t="s">
        <v>8</v>
      </c>
      <c r="B499" s="1" t="s">
        <v>0</v>
      </c>
      <c r="C499" s="1" t="s">
        <v>1</v>
      </c>
      <c r="D499" s="1" t="s">
        <v>6425</v>
      </c>
      <c r="E499" s="1" t="s">
        <v>6426</v>
      </c>
      <c r="F499" s="1" t="s">
        <v>6427</v>
      </c>
      <c r="H499" s="2" t="s">
        <v>8</v>
      </c>
      <c r="I499" s="2" t="s">
        <v>7</v>
      </c>
      <c r="J499" s="2" t="s">
        <v>8</v>
      </c>
      <c r="K499" s="2" t="s">
        <v>8</v>
      </c>
      <c r="L499" s="2" t="s">
        <v>9</v>
      </c>
      <c r="N499" s="1" t="s">
        <v>6428</v>
      </c>
      <c r="O499" s="2" t="s">
        <v>161</v>
      </c>
      <c r="Q499" s="2" t="s">
        <v>12</v>
      </c>
      <c r="R499" s="2" t="s">
        <v>13</v>
      </c>
      <c r="T499" s="2" t="s">
        <v>14</v>
      </c>
      <c r="U499" s="3">
        <v>5</v>
      </c>
      <c r="V499" s="3">
        <v>5</v>
      </c>
      <c r="W499" s="4" t="s">
        <v>6429</v>
      </c>
      <c r="X499" s="4" t="s">
        <v>6429</v>
      </c>
      <c r="Y499" s="4" t="s">
        <v>1144</v>
      </c>
      <c r="Z499" s="4" t="s">
        <v>1144</v>
      </c>
      <c r="AA499" s="3">
        <v>135</v>
      </c>
      <c r="AB499" s="3">
        <v>125</v>
      </c>
      <c r="AC499" s="3">
        <v>162</v>
      </c>
      <c r="AD499" s="3">
        <v>1</v>
      </c>
      <c r="AE499" s="3">
        <v>1</v>
      </c>
      <c r="AF499" s="3">
        <v>5</v>
      </c>
      <c r="AG499" s="3">
        <v>5</v>
      </c>
      <c r="AH499" s="3">
        <v>2</v>
      </c>
      <c r="AI499" s="3">
        <v>2</v>
      </c>
      <c r="AJ499" s="3">
        <v>0</v>
      </c>
      <c r="AK499" s="3">
        <v>0</v>
      </c>
      <c r="AL499" s="3">
        <v>5</v>
      </c>
      <c r="AM499" s="3">
        <v>5</v>
      </c>
      <c r="AN499" s="3">
        <v>0</v>
      </c>
      <c r="AO499" s="3">
        <v>0</v>
      </c>
      <c r="AP499" s="3">
        <v>0</v>
      </c>
      <c r="AQ499" s="3">
        <v>0</v>
      </c>
      <c r="AR499" s="2" t="s">
        <v>8</v>
      </c>
      <c r="AS499" s="2" t="s">
        <v>8</v>
      </c>
      <c r="AU499" s="5" t="str">
        <f>HYPERLINK("https://creighton-primo.hosted.exlibrisgroup.com/primo-explore/search?tab=default_tab&amp;search_scope=EVERYTHING&amp;vid=01CRU&amp;lang=en_US&amp;offset=0&amp;query=any,contains,991001168429702656","Catalog Record")</f>
        <v>Catalog Record</v>
      </c>
      <c r="AV499" s="5" t="str">
        <f>HYPERLINK("http://www.worldcat.org/oclc/163760","WorldCat Record")</f>
        <v>WorldCat Record</v>
      </c>
      <c r="AW499" s="2" t="s">
        <v>6430</v>
      </c>
      <c r="AX499" s="2" t="s">
        <v>6431</v>
      </c>
      <c r="AY499" s="2" t="s">
        <v>6432</v>
      </c>
      <c r="AZ499" s="2" t="s">
        <v>6432</v>
      </c>
      <c r="BA499" s="2" t="s">
        <v>6433</v>
      </c>
      <c r="BB499" s="2" t="s">
        <v>21</v>
      </c>
      <c r="BD499" s="2" t="s">
        <v>6434</v>
      </c>
      <c r="BE499" s="2" t="s">
        <v>6435</v>
      </c>
      <c r="BF499" s="2" t="s">
        <v>6436</v>
      </c>
    </row>
    <row r="500" spans="1:58" ht="42.75" customHeight="1" x14ac:dyDescent="0.25">
      <c r="A500" s="8" t="s">
        <v>8</v>
      </c>
      <c r="B500" s="1" t="s">
        <v>0</v>
      </c>
      <c r="C500" s="1" t="s">
        <v>1</v>
      </c>
      <c r="D500" s="1" t="s">
        <v>6437</v>
      </c>
      <c r="E500" s="1" t="s">
        <v>6438</v>
      </c>
      <c r="F500" s="1" t="s">
        <v>6439</v>
      </c>
      <c r="H500" s="2" t="s">
        <v>8</v>
      </c>
      <c r="I500" s="2" t="s">
        <v>7</v>
      </c>
      <c r="J500" s="2" t="s">
        <v>8</v>
      </c>
      <c r="K500" s="2" t="s">
        <v>8</v>
      </c>
      <c r="L500" s="2" t="s">
        <v>9</v>
      </c>
      <c r="M500" s="1" t="s">
        <v>6440</v>
      </c>
      <c r="N500" s="1" t="s">
        <v>5307</v>
      </c>
      <c r="O500" s="2" t="s">
        <v>844</v>
      </c>
      <c r="Q500" s="2" t="s">
        <v>12</v>
      </c>
      <c r="R500" s="2" t="s">
        <v>13</v>
      </c>
      <c r="T500" s="2" t="s">
        <v>14</v>
      </c>
      <c r="U500" s="3">
        <v>18</v>
      </c>
      <c r="V500" s="3">
        <v>18</v>
      </c>
      <c r="W500" s="4" t="s">
        <v>5308</v>
      </c>
      <c r="X500" s="4" t="s">
        <v>5308</v>
      </c>
      <c r="Y500" s="4" t="s">
        <v>5649</v>
      </c>
      <c r="Z500" s="4" t="s">
        <v>5649</v>
      </c>
      <c r="AA500" s="3">
        <v>418</v>
      </c>
      <c r="AB500" s="3">
        <v>335</v>
      </c>
      <c r="AC500" s="3">
        <v>337</v>
      </c>
      <c r="AD500" s="3">
        <v>1</v>
      </c>
      <c r="AE500" s="3">
        <v>1</v>
      </c>
      <c r="AF500" s="3">
        <v>21</v>
      </c>
      <c r="AG500" s="3">
        <v>21</v>
      </c>
      <c r="AH500" s="3">
        <v>6</v>
      </c>
      <c r="AI500" s="3">
        <v>6</v>
      </c>
      <c r="AJ500" s="3">
        <v>6</v>
      </c>
      <c r="AK500" s="3">
        <v>6</v>
      </c>
      <c r="AL500" s="3">
        <v>13</v>
      </c>
      <c r="AM500" s="3">
        <v>13</v>
      </c>
      <c r="AN500" s="3">
        <v>0</v>
      </c>
      <c r="AO500" s="3">
        <v>0</v>
      </c>
      <c r="AP500" s="3">
        <v>3</v>
      </c>
      <c r="AQ500" s="3">
        <v>3</v>
      </c>
      <c r="AR500" s="2" t="s">
        <v>8</v>
      </c>
      <c r="AS500" s="2" t="s">
        <v>6</v>
      </c>
      <c r="AT500" s="5" t="str">
        <f>HYPERLINK("http://catalog.hathitrust.org/Record/002969711","HathiTrust Record")</f>
        <v>HathiTrust Record</v>
      </c>
      <c r="AU500" s="5" t="str">
        <f>HYPERLINK("https://creighton-primo.hosted.exlibrisgroup.com/primo-explore/search?tab=default_tab&amp;search_scope=EVERYTHING&amp;vid=01CRU&amp;lang=en_US&amp;offset=0&amp;query=any,contains,991001500519702656","Catalog Record")</f>
        <v>Catalog Record</v>
      </c>
      <c r="AV500" s="5" t="str">
        <f>HYPERLINK("http://www.worldcat.org/oclc/30810822","WorldCat Record")</f>
        <v>WorldCat Record</v>
      </c>
      <c r="AW500" s="2" t="s">
        <v>6441</v>
      </c>
      <c r="AX500" s="2" t="s">
        <v>6442</v>
      </c>
      <c r="AY500" s="2" t="s">
        <v>6443</v>
      </c>
      <c r="AZ500" s="2" t="s">
        <v>6443</v>
      </c>
      <c r="BA500" s="2" t="s">
        <v>6444</v>
      </c>
      <c r="BB500" s="2" t="s">
        <v>21</v>
      </c>
      <c r="BD500" s="2" t="s">
        <v>6445</v>
      </c>
      <c r="BE500" s="2" t="s">
        <v>6446</v>
      </c>
      <c r="BF500" s="2" t="s">
        <v>6447</v>
      </c>
    </row>
    <row r="501" spans="1:58" ht="42.75" customHeight="1" x14ac:dyDescent="0.25">
      <c r="A501" s="8" t="s">
        <v>8</v>
      </c>
      <c r="B501" s="1" t="s">
        <v>0</v>
      </c>
      <c r="C501" s="1" t="s">
        <v>1</v>
      </c>
      <c r="D501" s="1" t="s">
        <v>6448</v>
      </c>
      <c r="E501" s="1" t="s">
        <v>6449</v>
      </c>
      <c r="F501" s="1" t="s">
        <v>6450</v>
      </c>
      <c r="H501" s="2" t="s">
        <v>8</v>
      </c>
      <c r="I501" s="2" t="s">
        <v>7</v>
      </c>
      <c r="J501" s="2" t="s">
        <v>8</v>
      </c>
      <c r="K501" s="2" t="s">
        <v>8</v>
      </c>
      <c r="L501" s="2" t="s">
        <v>9</v>
      </c>
      <c r="M501" s="1" t="s">
        <v>6451</v>
      </c>
      <c r="N501" s="1" t="s">
        <v>6452</v>
      </c>
      <c r="O501" s="2" t="s">
        <v>114</v>
      </c>
      <c r="Q501" s="2" t="s">
        <v>12</v>
      </c>
      <c r="R501" s="2" t="s">
        <v>13</v>
      </c>
      <c r="S501" s="1" t="s">
        <v>6453</v>
      </c>
      <c r="T501" s="2" t="s">
        <v>14</v>
      </c>
      <c r="U501" s="3">
        <v>12</v>
      </c>
      <c r="V501" s="3">
        <v>12</v>
      </c>
      <c r="W501" s="4" t="s">
        <v>6454</v>
      </c>
      <c r="X501" s="4" t="s">
        <v>6454</v>
      </c>
      <c r="Y501" s="4" t="s">
        <v>1254</v>
      </c>
      <c r="Z501" s="4" t="s">
        <v>1254</v>
      </c>
      <c r="AA501" s="3">
        <v>138</v>
      </c>
      <c r="AB501" s="3">
        <v>125</v>
      </c>
      <c r="AC501" s="3">
        <v>150</v>
      </c>
      <c r="AD501" s="3">
        <v>1</v>
      </c>
      <c r="AE501" s="3">
        <v>1</v>
      </c>
      <c r="AF501" s="3">
        <v>13</v>
      </c>
      <c r="AG501" s="3">
        <v>14</v>
      </c>
      <c r="AH501" s="3">
        <v>2</v>
      </c>
      <c r="AI501" s="3">
        <v>3</v>
      </c>
      <c r="AJ501" s="3">
        <v>4</v>
      </c>
      <c r="AK501" s="3">
        <v>5</v>
      </c>
      <c r="AL501" s="3">
        <v>10</v>
      </c>
      <c r="AM501" s="3">
        <v>10</v>
      </c>
      <c r="AN501" s="3">
        <v>0</v>
      </c>
      <c r="AO501" s="3">
        <v>0</v>
      </c>
      <c r="AP501" s="3">
        <v>0</v>
      </c>
      <c r="AQ501" s="3">
        <v>0</v>
      </c>
      <c r="AR501" s="2" t="s">
        <v>8</v>
      </c>
      <c r="AS501" s="2" t="s">
        <v>6</v>
      </c>
      <c r="AT501" s="5" t="str">
        <f>HYPERLINK("http://catalog.hathitrust.org/Record/003880424","HathiTrust Record")</f>
        <v>HathiTrust Record</v>
      </c>
      <c r="AU501" s="5" t="str">
        <f>HYPERLINK("https://creighton-primo.hosted.exlibrisgroup.com/primo-explore/search?tab=default_tab&amp;search_scope=EVERYTHING&amp;vid=01CRU&amp;lang=en_US&amp;offset=0&amp;query=any,contains,991001168279702656","Catalog Record")</f>
        <v>Catalog Record</v>
      </c>
      <c r="AV501" s="5" t="str">
        <f>HYPERLINK("http://www.worldcat.org/oclc/14428977","WorldCat Record")</f>
        <v>WorldCat Record</v>
      </c>
      <c r="AW501" s="2" t="s">
        <v>6455</v>
      </c>
      <c r="AX501" s="2" t="s">
        <v>6456</v>
      </c>
      <c r="AY501" s="2" t="s">
        <v>6457</v>
      </c>
      <c r="AZ501" s="2" t="s">
        <v>6457</v>
      </c>
      <c r="BA501" s="2" t="s">
        <v>6458</v>
      </c>
      <c r="BB501" s="2" t="s">
        <v>21</v>
      </c>
      <c r="BE501" s="2" t="s">
        <v>6459</v>
      </c>
      <c r="BF501" s="2" t="s">
        <v>6460</v>
      </c>
    </row>
    <row r="502" spans="1:58" ht="42.75" customHeight="1" x14ac:dyDescent="0.25">
      <c r="A502" s="8" t="s">
        <v>8</v>
      </c>
      <c r="B502" s="1" t="s">
        <v>0</v>
      </c>
      <c r="C502" s="1" t="s">
        <v>1</v>
      </c>
      <c r="D502" s="1" t="s">
        <v>6461</v>
      </c>
      <c r="E502" s="1" t="s">
        <v>6462</v>
      </c>
      <c r="F502" s="1" t="s">
        <v>6463</v>
      </c>
      <c r="H502" s="2" t="s">
        <v>8</v>
      </c>
      <c r="I502" s="2" t="s">
        <v>7</v>
      </c>
      <c r="J502" s="2" t="s">
        <v>6</v>
      </c>
      <c r="K502" s="2" t="s">
        <v>8</v>
      </c>
      <c r="L502" s="2" t="s">
        <v>7</v>
      </c>
      <c r="N502" s="1" t="s">
        <v>6464</v>
      </c>
      <c r="O502" s="2" t="s">
        <v>298</v>
      </c>
      <c r="Q502" s="2" t="s">
        <v>12</v>
      </c>
      <c r="R502" s="2" t="s">
        <v>34</v>
      </c>
      <c r="T502" s="2" t="s">
        <v>14</v>
      </c>
      <c r="U502" s="3">
        <v>10</v>
      </c>
      <c r="V502" s="3">
        <v>10</v>
      </c>
      <c r="W502" s="4" t="s">
        <v>6465</v>
      </c>
      <c r="X502" s="4" t="s">
        <v>6465</v>
      </c>
      <c r="Y502" s="4" t="s">
        <v>6466</v>
      </c>
      <c r="Z502" s="4" t="s">
        <v>6466</v>
      </c>
      <c r="AA502" s="3">
        <v>885</v>
      </c>
      <c r="AB502" s="3">
        <v>757</v>
      </c>
      <c r="AC502" s="3">
        <v>1591</v>
      </c>
      <c r="AD502" s="3">
        <v>6</v>
      </c>
      <c r="AE502" s="3">
        <v>17</v>
      </c>
      <c r="AF502" s="3">
        <v>30</v>
      </c>
      <c r="AG502" s="3">
        <v>70</v>
      </c>
      <c r="AH502" s="3">
        <v>11</v>
      </c>
      <c r="AI502" s="3">
        <v>25</v>
      </c>
      <c r="AJ502" s="3">
        <v>5</v>
      </c>
      <c r="AK502" s="3">
        <v>12</v>
      </c>
      <c r="AL502" s="3">
        <v>15</v>
      </c>
      <c r="AM502" s="3">
        <v>28</v>
      </c>
      <c r="AN502" s="3">
        <v>2</v>
      </c>
      <c r="AO502" s="3">
        <v>13</v>
      </c>
      <c r="AP502" s="3">
        <v>3</v>
      </c>
      <c r="AQ502" s="3">
        <v>5</v>
      </c>
      <c r="AR502" s="2" t="s">
        <v>8</v>
      </c>
      <c r="AS502" s="2" t="s">
        <v>6</v>
      </c>
      <c r="AT502" s="5" t="str">
        <f>HYPERLINK("http://catalog.hathitrust.org/Record/000821706","HathiTrust Record")</f>
        <v>HathiTrust Record</v>
      </c>
      <c r="AU502" s="5" t="str">
        <f>HYPERLINK("https://creighton-primo.hosted.exlibrisgroup.com/primo-explore/search?tab=default_tab&amp;search_scope=EVERYTHING&amp;vid=01CRU&amp;lang=en_US&amp;offset=0&amp;query=any,contains,991001271089702656","Catalog Record")</f>
        <v>Catalog Record</v>
      </c>
      <c r="AV502" s="5" t="str">
        <f>HYPERLINK("http://www.worldcat.org/oclc/14069745","WorldCat Record")</f>
        <v>WorldCat Record</v>
      </c>
      <c r="AW502" s="2" t="s">
        <v>6467</v>
      </c>
      <c r="AX502" s="2" t="s">
        <v>6468</v>
      </c>
      <c r="AY502" s="2" t="s">
        <v>6469</v>
      </c>
      <c r="AZ502" s="2" t="s">
        <v>6469</v>
      </c>
      <c r="BA502" s="2" t="s">
        <v>6470</v>
      </c>
      <c r="BB502" s="2" t="s">
        <v>21</v>
      </c>
      <c r="BD502" s="2" t="s">
        <v>6471</v>
      </c>
      <c r="BE502" s="2" t="s">
        <v>6472</v>
      </c>
      <c r="BF502" s="2" t="s">
        <v>6473</v>
      </c>
    </row>
    <row r="503" spans="1:58" ht="42.75" customHeight="1" x14ac:dyDescent="0.25">
      <c r="A503" s="8" t="s">
        <v>8</v>
      </c>
      <c r="B503" s="1" t="s">
        <v>0</v>
      </c>
      <c r="C503" s="1" t="s">
        <v>1</v>
      </c>
      <c r="D503" s="1" t="s">
        <v>6474</v>
      </c>
      <c r="E503" s="1" t="s">
        <v>6475</v>
      </c>
      <c r="F503" s="1" t="s">
        <v>6476</v>
      </c>
      <c r="H503" s="2" t="s">
        <v>8</v>
      </c>
      <c r="I503" s="2" t="s">
        <v>7</v>
      </c>
      <c r="J503" s="2" t="s">
        <v>8</v>
      </c>
      <c r="K503" s="2" t="s">
        <v>8</v>
      </c>
      <c r="L503" s="2" t="s">
        <v>9</v>
      </c>
      <c r="M503" s="1" t="s">
        <v>6477</v>
      </c>
      <c r="N503" s="1" t="s">
        <v>6478</v>
      </c>
      <c r="O503" s="2" t="s">
        <v>51</v>
      </c>
      <c r="Q503" s="2" t="s">
        <v>12</v>
      </c>
      <c r="R503" s="2" t="s">
        <v>774</v>
      </c>
      <c r="T503" s="2" t="s">
        <v>14</v>
      </c>
      <c r="U503" s="3">
        <v>3</v>
      </c>
      <c r="V503" s="3">
        <v>3</v>
      </c>
      <c r="W503" s="4" t="s">
        <v>5200</v>
      </c>
      <c r="X503" s="4" t="s">
        <v>5200</v>
      </c>
      <c r="Y503" s="4" t="s">
        <v>6479</v>
      </c>
      <c r="Z503" s="4" t="s">
        <v>6479</v>
      </c>
      <c r="AA503" s="3">
        <v>20</v>
      </c>
      <c r="AB503" s="3">
        <v>17</v>
      </c>
      <c r="AC503" s="3">
        <v>21</v>
      </c>
      <c r="AD503" s="3">
        <v>2</v>
      </c>
      <c r="AE503" s="3">
        <v>2</v>
      </c>
      <c r="AF503" s="3">
        <v>3</v>
      </c>
      <c r="AG503" s="3">
        <v>3</v>
      </c>
      <c r="AH503" s="3">
        <v>0</v>
      </c>
      <c r="AI503" s="3">
        <v>0</v>
      </c>
      <c r="AJ503" s="3">
        <v>1</v>
      </c>
      <c r="AK503" s="3">
        <v>1</v>
      </c>
      <c r="AL503" s="3">
        <v>1</v>
      </c>
      <c r="AM503" s="3">
        <v>1</v>
      </c>
      <c r="AN503" s="3">
        <v>0</v>
      </c>
      <c r="AO503" s="3">
        <v>0</v>
      </c>
      <c r="AP503" s="3">
        <v>1</v>
      </c>
      <c r="AQ503" s="3">
        <v>1</v>
      </c>
      <c r="AR503" s="2" t="s">
        <v>8</v>
      </c>
      <c r="AS503" s="2" t="s">
        <v>8</v>
      </c>
      <c r="AU503" s="5" t="str">
        <f>HYPERLINK("https://creighton-primo.hosted.exlibrisgroup.com/primo-explore/search?tab=default_tab&amp;search_scope=EVERYTHING&amp;vid=01CRU&amp;lang=en_US&amp;offset=0&amp;query=any,contains,991001109909702656","Catalog Record")</f>
        <v>Catalog Record</v>
      </c>
      <c r="AV503" s="5" t="str">
        <f>HYPERLINK("http://www.worldcat.org/oclc/21325992","WorldCat Record")</f>
        <v>WorldCat Record</v>
      </c>
      <c r="AW503" s="2" t="s">
        <v>6480</v>
      </c>
      <c r="AX503" s="2" t="s">
        <v>6481</v>
      </c>
      <c r="AY503" s="2" t="s">
        <v>6482</v>
      </c>
      <c r="AZ503" s="2" t="s">
        <v>6482</v>
      </c>
      <c r="BA503" s="2" t="s">
        <v>6483</v>
      </c>
      <c r="BB503" s="2" t="s">
        <v>21</v>
      </c>
      <c r="BD503" s="2" t="s">
        <v>6484</v>
      </c>
      <c r="BE503" s="2" t="s">
        <v>6485</v>
      </c>
      <c r="BF503" s="2" t="s">
        <v>6486</v>
      </c>
    </row>
    <row r="504" spans="1:58" ht="42.75" customHeight="1" x14ac:dyDescent="0.25">
      <c r="A504" s="8" t="s">
        <v>8</v>
      </c>
      <c r="B504" s="1" t="s">
        <v>0</v>
      </c>
      <c r="C504" s="1" t="s">
        <v>1</v>
      </c>
      <c r="D504" s="1" t="s">
        <v>6487</v>
      </c>
      <c r="E504" s="1" t="s">
        <v>6488</v>
      </c>
      <c r="F504" s="1" t="s">
        <v>6489</v>
      </c>
      <c r="H504" s="2" t="s">
        <v>8</v>
      </c>
      <c r="I504" s="2" t="s">
        <v>7</v>
      </c>
      <c r="J504" s="2" t="s">
        <v>8</v>
      </c>
      <c r="K504" s="2" t="s">
        <v>6</v>
      </c>
      <c r="L504" s="2" t="s">
        <v>9</v>
      </c>
      <c r="M504" s="1" t="s">
        <v>6477</v>
      </c>
      <c r="N504" s="1" t="s">
        <v>6490</v>
      </c>
      <c r="O504" s="2" t="s">
        <v>1327</v>
      </c>
      <c r="Q504" s="2" t="s">
        <v>12</v>
      </c>
      <c r="R504" s="2" t="s">
        <v>774</v>
      </c>
      <c r="T504" s="2" t="s">
        <v>14</v>
      </c>
      <c r="U504" s="3">
        <v>21</v>
      </c>
      <c r="V504" s="3">
        <v>21</v>
      </c>
      <c r="W504" s="4" t="s">
        <v>5200</v>
      </c>
      <c r="X504" s="4" t="s">
        <v>5200</v>
      </c>
      <c r="Y504" s="4" t="s">
        <v>4443</v>
      </c>
      <c r="Z504" s="4" t="s">
        <v>4443</v>
      </c>
      <c r="AA504" s="3">
        <v>256</v>
      </c>
      <c r="AB504" s="3">
        <v>236</v>
      </c>
      <c r="AC504" s="3">
        <v>282</v>
      </c>
      <c r="AD504" s="3">
        <v>1</v>
      </c>
      <c r="AE504" s="3">
        <v>2</v>
      </c>
      <c r="AF504" s="3">
        <v>19</v>
      </c>
      <c r="AG504" s="3">
        <v>20</v>
      </c>
      <c r="AH504" s="3">
        <v>5</v>
      </c>
      <c r="AI504" s="3">
        <v>6</v>
      </c>
      <c r="AJ504" s="3">
        <v>4</v>
      </c>
      <c r="AK504" s="3">
        <v>4</v>
      </c>
      <c r="AL504" s="3">
        <v>12</v>
      </c>
      <c r="AM504" s="3">
        <v>13</v>
      </c>
      <c r="AN504" s="3">
        <v>0</v>
      </c>
      <c r="AO504" s="3">
        <v>0</v>
      </c>
      <c r="AP504" s="3">
        <v>3</v>
      </c>
      <c r="AQ504" s="3">
        <v>3</v>
      </c>
      <c r="AR504" s="2" t="s">
        <v>8</v>
      </c>
      <c r="AS504" s="2" t="s">
        <v>6</v>
      </c>
      <c r="AT504" s="5" t="str">
        <f>HYPERLINK("http://catalog.hathitrust.org/Record/000388655","HathiTrust Record")</f>
        <v>HathiTrust Record</v>
      </c>
      <c r="AU504" s="5" t="str">
        <f>HYPERLINK("https://creighton-primo.hosted.exlibrisgroup.com/primo-explore/search?tab=default_tab&amp;search_scope=EVERYTHING&amp;vid=01CRU&amp;lang=en_US&amp;offset=0&amp;query=any,contains,991001126259702656","Catalog Record")</f>
        <v>Catalog Record</v>
      </c>
      <c r="AV504" s="5" t="str">
        <f>HYPERLINK("http://www.worldcat.org/oclc/12558008","WorldCat Record")</f>
        <v>WorldCat Record</v>
      </c>
      <c r="AW504" s="2" t="s">
        <v>6491</v>
      </c>
      <c r="AX504" s="2" t="s">
        <v>6492</v>
      </c>
      <c r="AY504" s="2" t="s">
        <v>6493</v>
      </c>
      <c r="AZ504" s="2" t="s">
        <v>6493</v>
      </c>
      <c r="BA504" s="2" t="s">
        <v>6494</v>
      </c>
      <c r="BB504" s="2" t="s">
        <v>21</v>
      </c>
      <c r="BD504" s="2" t="s">
        <v>6495</v>
      </c>
      <c r="BE504" s="2" t="s">
        <v>6496</v>
      </c>
      <c r="BF504" s="2" t="s">
        <v>6497</v>
      </c>
    </row>
    <row r="505" spans="1:58" ht="42.75" customHeight="1" x14ac:dyDescent="0.25">
      <c r="A505" s="8" t="s">
        <v>8</v>
      </c>
      <c r="B505" s="1" t="s">
        <v>0</v>
      </c>
      <c r="C505" s="1" t="s">
        <v>1</v>
      </c>
      <c r="D505" s="1" t="s">
        <v>6498</v>
      </c>
      <c r="E505" s="1" t="s">
        <v>6499</v>
      </c>
      <c r="F505" s="1" t="s">
        <v>6489</v>
      </c>
      <c r="G505" s="2" t="s">
        <v>5</v>
      </c>
      <c r="H505" s="2" t="s">
        <v>8</v>
      </c>
      <c r="I505" s="2" t="s">
        <v>7</v>
      </c>
      <c r="J505" s="2" t="s">
        <v>8</v>
      </c>
      <c r="K505" s="2" t="s">
        <v>6</v>
      </c>
      <c r="L505" s="2" t="s">
        <v>9</v>
      </c>
      <c r="M505" s="1" t="s">
        <v>6477</v>
      </c>
      <c r="N505" s="1" t="s">
        <v>6500</v>
      </c>
      <c r="O505" s="2" t="s">
        <v>627</v>
      </c>
      <c r="Q505" s="2" t="s">
        <v>12</v>
      </c>
      <c r="R505" s="2" t="s">
        <v>34</v>
      </c>
      <c r="T505" s="2" t="s">
        <v>14</v>
      </c>
      <c r="U505" s="3">
        <v>18</v>
      </c>
      <c r="V505" s="3">
        <v>18</v>
      </c>
      <c r="W505" s="4" t="s">
        <v>5200</v>
      </c>
      <c r="X505" s="4" t="s">
        <v>5200</v>
      </c>
      <c r="Y505" s="4" t="s">
        <v>6501</v>
      </c>
      <c r="Z505" s="4" t="s">
        <v>6501</v>
      </c>
      <c r="AA505" s="3">
        <v>69</v>
      </c>
      <c r="AB505" s="3">
        <v>56</v>
      </c>
      <c r="AC505" s="3">
        <v>282</v>
      </c>
      <c r="AD505" s="3">
        <v>2</v>
      </c>
      <c r="AE505" s="3">
        <v>2</v>
      </c>
      <c r="AF505" s="3">
        <v>1</v>
      </c>
      <c r="AG505" s="3">
        <v>20</v>
      </c>
      <c r="AH505" s="3">
        <v>1</v>
      </c>
      <c r="AI505" s="3">
        <v>6</v>
      </c>
      <c r="AJ505" s="3">
        <v>0</v>
      </c>
      <c r="AK505" s="3">
        <v>4</v>
      </c>
      <c r="AL505" s="3">
        <v>1</v>
      </c>
      <c r="AM505" s="3">
        <v>13</v>
      </c>
      <c r="AN505" s="3">
        <v>0</v>
      </c>
      <c r="AO505" s="3">
        <v>0</v>
      </c>
      <c r="AP505" s="3">
        <v>0</v>
      </c>
      <c r="AQ505" s="3">
        <v>3</v>
      </c>
      <c r="AR505" s="2" t="s">
        <v>8</v>
      </c>
      <c r="AS505" s="2" t="s">
        <v>8</v>
      </c>
      <c r="AU505" s="5" t="str">
        <f>HYPERLINK("https://creighton-primo.hosted.exlibrisgroup.com/primo-explore/search?tab=default_tab&amp;search_scope=EVERYTHING&amp;vid=01CRU&amp;lang=en_US&amp;offset=0&amp;query=any,contains,991001117259702656","Catalog Record")</f>
        <v>Catalog Record</v>
      </c>
      <c r="AV505" s="5" t="str">
        <f>HYPERLINK("http://www.worldcat.org/oclc/15366214","WorldCat Record")</f>
        <v>WorldCat Record</v>
      </c>
      <c r="AW505" s="2" t="s">
        <v>6491</v>
      </c>
      <c r="AX505" s="2" t="s">
        <v>6502</v>
      </c>
      <c r="AY505" s="2" t="s">
        <v>6503</v>
      </c>
      <c r="AZ505" s="2" t="s">
        <v>6503</v>
      </c>
      <c r="BA505" s="2" t="s">
        <v>6504</v>
      </c>
      <c r="BB505" s="2" t="s">
        <v>21</v>
      </c>
      <c r="BE505" s="2" t="s">
        <v>6505</v>
      </c>
      <c r="BF505" s="2" t="s">
        <v>6506</v>
      </c>
    </row>
    <row r="506" spans="1:58" ht="42.75" customHeight="1" x14ac:dyDescent="0.25">
      <c r="A506" s="8" t="s">
        <v>8</v>
      </c>
      <c r="B506" s="1" t="s">
        <v>0</v>
      </c>
      <c r="C506" s="1" t="s">
        <v>1</v>
      </c>
      <c r="D506" s="1" t="s">
        <v>6507</v>
      </c>
      <c r="E506" s="1" t="s">
        <v>6508</v>
      </c>
      <c r="F506" s="1" t="s">
        <v>6509</v>
      </c>
      <c r="H506" s="2" t="s">
        <v>8</v>
      </c>
      <c r="I506" s="2" t="s">
        <v>7</v>
      </c>
      <c r="J506" s="2" t="s">
        <v>6</v>
      </c>
      <c r="K506" s="2" t="s">
        <v>6</v>
      </c>
      <c r="L506" s="2" t="s">
        <v>9</v>
      </c>
      <c r="M506" s="1" t="s">
        <v>6477</v>
      </c>
      <c r="N506" s="1" t="s">
        <v>6510</v>
      </c>
      <c r="O506" s="2" t="s">
        <v>410</v>
      </c>
      <c r="P506" s="1" t="s">
        <v>83</v>
      </c>
      <c r="Q506" s="2" t="s">
        <v>12</v>
      </c>
      <c r="R506" s="2" t="s">
        <v>1211</v>
      </c>
      <c r="T506" s="2" t="s">
        <v>14</v>
      </c>
      <c r="U506" s="3">
        <v>8</v>
      </c>
      <c r="V506" s="3">
        <v>14</v>
      </c>
      <c r="W506" s="4" t="s">
        <v>6511</v>
      </c>
      <c r="X506" s="4" t="s">
        <v>6512</v>
      </c>
      <c r="Y506" s="4" t="s">
        <v>6513</v>
      </c>
      <c r="Z506" s="4" t="s">
        <v>6513</v>
      </c>
      <c r="AA506" s="3">
        <v>227</v>
      </c>
      <c r="AB506" s="3">
        <v>187</v>
      </c>
      <c r="AC506" s="3">
        <v>535</v>
      </c>
      <c r="AD506" s="3">
        <v>2</v>
      </c>
      <c r="AE506" s="3">
        <v>8</v>
      </c>
      <c r="AF506" s="3">
        <v>23</v>
      </c>
      <c r="AG506" s="3">
        <v>48</v>
      </c>
      <c r="AH506" s="3">
        <v>4</v>
      </c>
      <c r="AI506" s="3">
        <v>15</v>
      </c>
      <c r="AJ506" s="3">
        <v>4</v>
      </c>
      <c r="AK506" s="3">
        <v>10</v>
      </c>
      <c r="AL506" s="3">
        <v>17</v>
      </c>
      <c r="AM506" s="3">
        <v>26</v>
      </c>
      <c r="AN506" s="3">
        <v>0</v>
      </c>
      <c r="AO506" s="3">
        <v>4</v>
      </c>
      <c r="AP506" s="3">
        <v>4</v>
      </c>
      <c r="AQ506" s="3">
        <v>5</v>
      </c>
      <c r="AR506" s="2" t="s">
        <v>8</v>
      </c>
      <c r="AS506" s="2" t="s">
        <v>6</v>
      </c>
      <c r="AT506" s="5" t="str">
        <f>HYPERLINK("http://catalog.hathitrust.org/Record/002806252","HathiTrust Record")</f>
        <v>HathiTrust Record</v>
      </c>
      <c r="AU506" s="5" t="str">
        <f>HYPERLINK("https://creighton-primo.hosted.exlibrisgroup.com/primo-explore/search?tab=default_tab&amp;search_scope=EVERYTHING&amp;vid=01CRU&amp;lang=en_US&amp;offset=0&amp;query=any,contains,991001658839702656","Catalog Record")</f>
        <v>Catalog Record</v>
      </c>
      <c r="AV506" s="5" t="str">
        <f>HYPERLINK("http://www.worldcat.org/oclc/28257405","WorldCat Record")</f>
        <v>WorldCat Record</v>
      </c>
      <c r="AW506" s="2" t="s">
        <v>6514</v>
      </c>
      <c r="AX506" s="2" t="s">
        <v>6515</v>
      </c>
      <c r="AY506" s="2" t="s">
        <v>6516</v>
      </c>
      <c r="AZ506" s="2" t="s">
        <v>6516</v>
      </c>
      <c r="BA506" s="2" t="s">
        <v>6517</v>
      </c>
      <c r="BB506" s="2" t="s">
        <v>21</v>
      </c>
      <c r="BD506" s="2" t="s">
        <v>6518</v>
      </c>
      <c r="BE506" s="2" t="s">
        <v>6519</v>
      </c>
      <c r="BF506" s="2" t="s">
        <v>6520</v>
      </c>
    </row>
    <row r="507" spans="1:58" ht="42.75" customHeight="1" x14ac:dyDescent="0.25">
      <c r="A507" s="8" t="s">
        <v>8</v>
      </c>
      <c r="B507" s="1" t="s">
        <v>0</v>
      </c>
      <c r="C507" s="1" t="s">
        <v>1</v>
      </c>
      <c r="D507" s="1" t="s">
        <v>6521</v>
      </c>
      <c r="E507" s="1" t="s">
        <v>6522</v>
      </c>
      <c r="F507" s="1" t="s">
        <v>6523</v>
      </c>
      <c r="H507" s="2" t="s">
        <v>8</v>
      </c>
      <c r="I507" s="2" t="s">
        <v>7</v>
      </c>
      <c r="J507" s="2" t="s">
        <v>8</v>
      </c>
      <c r="K507" s="2" t="s">
        <v>8</v>
      </c>
      <c r="L507" s="2" t="s">
        <v>9</v>
      </c>
      <c r="N507" s="1" t="s">
        <v>4764</v>
      </c>
      <c r="O507" s="2" t="s">
        <v>731</v>
      </c>
      <c r="Q507" s="2" t="s">
        <v>12</v>
      </c>
      <c r="R507" s="2" t="s">
        <v>145</v>
      </c>
      <c r="S507" s="1" t="s">
        <v>6524</v>
      </c>
      <c r="T507" s="2" t="s">
        <v>14</v>
      </c>
      <c r="U507" s="3">
        <v>11</v>
      </c>
      <c r="V507" s="3">
        <v>11</v>
      </c>
      <c r="W507" s="4" t="s">
        <v>6525</v>
      </c>
      <c r="X507" s="4" t="s">
        <v>6525</v>
      </c>
      <c r="Y507" s="4" t="s">
        <v>6526</v>
      </c>
      <c r="Z507" s="4" t="s">
        <v>6526</v>
      </c>
      <c r="AA507" s="3">
        <v>231</v>
      </c>
      <c r="AB507" s="3">
        <v>166</v>
      </c>
      <c r="AC507" s="3">
        <v>189</v>
      </c>
      <c r="AD507" s="3">
        <v>1</v>
      </c>
      <c r="AE507" s="3">
        <v>1</v>
      </c>
      <c r="AF507" s="3">
        <v>18</v>
      </c>
      <c r="AG507" s="3">
        <v>19</v>
      </c>
      <c r="AH507" s="3">
        <v>6</v>
      </c>
      <c r="AI507" s="3">
        <v>6</v>
      </c>
      <c r="AJ507" s="3">
        <v>7</v>
      </c>
      <c r="AK507" s="3">
        <v>7</v>
      </c>
      <c r="AL507" s="3">
        <v>12</v>
      </c>
      <c r="AM507" s="3">
        <v>13</v>
      </c>
      <c r="AN507" s="3">
        <v>0</v>
      </c>
      <c r="AO507" s="3">
        <v>0</v>
      </c>
      <c r="AP507" s="3">
        <v>0</v>
      </c>
      <c r="AQ507" s="3">
        <v>0</v>
      </c>
      <c r="AR507" s="2" t="s">
        <v>8</v>
      </c>
      <c r="AS507" s="2" t="s">
        <v>8</v>
      </c>
      <c r="AU507" s="5" t="str">
        <f>HYPERLINK("https://creighton-primo.hosted.exlibrisgroup.com/primo-explore/search?tab=default_tab&amp;search_scope=EVERYTHING&amp;vid=01CRU&amp;lang=en_US&amp;offset=0&amp;query=any,contains,991000690159702656","Catalog Record")</f>
        <v>Catalog Record</v>
      </c>
      <c r="AV507" s="5" t="str">
        <f>HYPERLINK("http://www.worldcat.org/oclc/39170040","WorldCat Record")</f>
        <v>WorldCat Record</v>
      </c>
      <c r="AW507" s="2" t="s">
        <v>6527</v>
      </c>
      <c r="AX507" s="2" t="s">
        <v>6528</v>
      </c>
      <c r="AY507" s="2" t="s">
        <v>6529</v>
      </c>
      <c r="AZ507" s="2" t="s">
        <v>6529</v>
      </c>
      <c r="BA507" s="2" t="s">
        <v>6530</v>
      </c>
      <c r="BB507" s="2" t="s">
        <v>21</v>
      </c>
      <c r="BD507" s="2" t="s">
        <v>6531</v>
      </c>
      <c r="BE507" s="2" t="s">
        <v>6532</v>
      </c>
      <c r="BF507" s="2" t="s">
        <v>6533</v>
      </c>
    </row>
    <row r="508" spans="1:58" ht="42.75" customHeight="1" x14ac:dyDescent="0.25">
      <c r="A508" s="8" t="s">
        <v>8</v>
      </c>
      <c r="B508" s="1" t="s">
        <v>0</v>
      </c>
      <c r="C508" s="1" t="s">
        <v>1</v>
      </c>
      <c r="D508" s="1" t="s">
        <v>6534</v>
      </c>
      <c r="E508" s="1" t="s">
        <v>6535</v>
      </c>
      <c r="F508" s="1" t="s">
        <v>6536</v>
      </c>
      <c r="H508" s="2" t="s">
        <v>8</v>
      </c>
      <c r="I508" s="2" t="s">
        <v>7</v>
      </c>
      <c r="J508" s="2" t="s">
        <v>8</v>
      </c>
      <c r="K508" s="2" t="s">
        <v>8</v>
      </c>
      <c r="L508" s="2" t="s">
        <v>9</v>
      </c>
      <c r="M508" s="1" t="s">
        <v>6537</v>
      </c>
      <c r="N508" s="1" t="s">
        <v>6538</v>
      </c>
      <c r="O508" s="2" t="s">
        <v>266</v>
      </c>
      <c r="P508" s="1" t="s">
        <v>1225</v>
      </c>
      <c r="Q508" s="2" t="s">
        <v>12</v>
      </c>
      <c r="R508" s="2" t="s">
        <v>1340</v>
      </c>
      <c r="T508" s="2" t="s">
        <v>14</v>
      </c>
      <c r="U508" s="3">
        <v>11</v>
      </c>
      <c r="V508" s="3">
        <v>11</v>
      </c>
      <c r="W508" s="4" t="s">
        <v>6539</v>
      </c>
      <c r="X508" s="4" t="s">
        <v>6539</v>
      </c>
      <c r="Y508" s="4" t="s">
        <v>4443</v>
      </c>
      <c r="Z508" s="4" t="s">
        <v>4443</v>
      </c>
      <c r="AA508" s="3">
        <v>163</v>
      </c>
      <c r="AB508" s="3">
        <v>138</v>
      </c>
      <c r="AC508" s="3">
        <v>140</v>
      </c>
      <c r="AD508" s="3">
        <v>1</v>
      </c>
      <c r="AE508" s="3">
        <v>1</v>
      </c>
      <c r="AF508" s="3">
        <v>4</v>
      </c>
      <c r="AG508" s="3">
        <v>4</v>
      </c>
      <c r="AH508" s="3">
        <v>2</v>
      </c>
      <c r="AI508" s="3">
        <v>2</v>
      </c>
      <c r="AJ508" s="3">
        <v>0</v>
      </c>
      <c r="AK508" s="3">
        <v>0</v>
      </c>
      <c r="AL508" s="3">
        <v>4</v>
      </c>
      <c r="AM508" s="3">
        <v>4</v>
      </c>
      <c r="AN508" s="3">
        <v>0</v>
      </c>
      <c r="AO508" s="3">
        <v>0</v>
      </c>
      <c r="AP508" s="3">
        <v>0</v>
      </c>
      <c r="AQ508" s="3">
        <v>0</v>
      </c>
      <c r="AR508" s="2" t="s">
        <v>8</v>
      </c>
      <c r="AS508" s="2" t="s">
        <v>6</v>
      </c>
      <c r="AT508" s="5" t="str">
        <f>HYPERLINK("http://catalog.hathitrust.org/Record/000784355","HathiTrust Record")</f>
        <v>HathiTrust Record</v>
      </c>
      <c r="AU508" s="5" t="str">
        <f>HYPERLINK("https://creighton-primo.hosted.exlibrisgroup.com/primo-explore/search?tab=default_tab&amp;search_scope=EVERYTHING&amp;vid=01CRU&amp;lang=en_US&amp;offset=0&amp;query=any,contains,991001126299702656","Catalog Record")</f>
        <v>Catalog Record</v>
      </c>
      <c r="AV508" s="5" t="str">
        <f>HYPERLINK("http://www.worldcat.org/oclc/10006891","WorldCat Record")</f>
        <v>WorldCat Record</v>
      </c>
      <c r="AW508" s="2" t="s">
        <v>6540</v>
      </c>
      <c r="AX508" s="2" t="s">
        <v>6541</v>
      </c>
      <c r="AY508" s="2" t="s">
        <v>6542</v>
      </c>
      <c r="AZ508" s="2" t="s">
        <v>6542</v>
      </c>
      <c r="BA508" s="2" t="s">
        <v>6543</v>
      </c>
      <c r="BB508" s="2" t="s">
        <v>21</v>
      </c>
      <c r="BD508" s="2" t="s">
        <v>6544</v>
      </c>
      <c r="BE508" s="2" t="s">
        <v>6545</v>
      </c>
      <c r="BF508" s="2" t="s">
        <v>6546</v>
      </c>
    </row>
    <row r="509" spans="1:58" ht="42.75" customHeight="1" x14ac:dyDescent="0.25">
      <c r="A509" s="8" t="s">
        <v>8</v>
      </c>
      <c r="B509" s="1" t="s">
        <v>0</v>
      </c>
      <c r="C509" s="1" t="s">
        <v>1</v>
      </c>
      <c r="D509" s="1" t="s">
        <v>6547</v>
      </c>
      <c r="E509" s="1" t="s">
        <v>6548</v>
      </c>
      <c r="F509" s="1" t="s">
        <v>6549</v>
      </c>
      <c r="H509" s="2" t="s">
        <v>8</v>
      </c>
      <c r="I509" s="2" t="s">
        <v>7</v>
      </c>
      <c r="J509" s="2" t="s">
        <v>8</v>
      </c>
      <c r="K509" s="2" t="s">
        <v>8</v>
      </c>
      <c r="L509" s="2" t="s">
        <v>9</v>
      </c>
      <c r="M509" s="1" t="s">
        <v>6550</v>
      </c>
      <c r="N509" s="1" t="s">
        <v>6551</v>
      </c>
      <c r="O509" s="2" t="s">
        <v>67</v>
      </c>
      <c r="P509" s="1" t="s">
        <v>1225</v>
      </c>
      <c r="Q509" s="2" t="s">
        <v>12</v>
      </c>
      <c r="R509" s="2" t="s">
        <v>1252</v>
      </c>
      <c r="T509" s="2" t="s">
        <v>14</v>
      </c>
      <c r="U509" s="3">
        <v>7</v>
      </c>
      <c r="V509" s="3">
        <v>7</v>
      </c>
      <c r="W509" s="4" t="s">
        <v>6552</v>
      </c>
      <c r="X509" s="4" t="s">
        <v>6552</v>
      </c>
      <c r="Y509" s="4" t="s">
        <v>2408</v>
      </c>
      <c r="Z509" s="4" t="s">
        <v>2408</v>
      </c>
      <c r="AA509" s="3">
        <v>229</v>
      </c>
      <c r="AB509" s="3">
        <v>210</v>
      </c>
      <c r="AC509" s="3">
        <v>212</v>
      </c>
      <c r="AD509" s="3">
        <v>2</v>
      </c>
      <c r="AE509" s="3">
        <v>2</v>
      </c>
      <c r="AF509" s="3">
        <v>6</v>
      </c>
      <c r="AG509" s="3">
        <v>6</v>
      </c>
      <c r="AH509" s="3">
        <v>2</v>
      </c>
      <c r="AI509" s="3">
        <v>2</v>
      </c>
      <c r="AJ509" s="3">
        <v>0</v>
      </c>
      <c r="AK509" s="3">
        <v>0</v>
      </c>
      <c r="AL509" s="3">
        <v>4</v>
      </c>
      <c r="AM509" s="3">
        <v>4</v>
      </c>
      <c r="AN509" s="3">
        <v>1</v>
      </c>
      <c r="AO509" s="3">
        <v>1</v>
      </c>
      <c r="AP509" s="3">
        <v>0</v>
      </c>
      <c r="AQ509" s="3">
        <v>0</v>
      </c>
      <c r="AR509" s="2" t="s">
        <v>8</v>
      </c>
      <c r="AS509" s="2" t="s">
        <v>6</v>
      </c>
      <c r="AT509" s="5" t="str">
        <f>HYPERLINK("http://catalog.hathitrust.org/Record/001078423","HathiTrust Record")</f>
        <v>HathiTrust Record</v>
      </c>
      <c r="AU509" s="5" t="str">
        <f>HYPERLINK("https://creighton-primo.hosted.exlibrisgroup.com/primo-explore/search?tab=default_tab&amp;search_scope=EVERYTHING&amp;vid=01CRU&amp;lang=en_US&amp;offset=0&amp;query=any,contains,991001175929702656","Catalog Record")</f>
        <v>Catalog Record</v>
      </c>
      <c r="AV509" s="5" t="str">
        <f>HYPERLINK("http://www.worldcat.org/oclc/12597346","WorldCat Record")</f>
        <v>WorldCat Record</v>
      </c>
      <c r="AW509" s="2" t="s">
        <v>6553</v>
      </c>
      <c r="AX509" s="2" t="s">
        <v>6554</v>
      </c>
      <c r="AY509" s="2" t="s">
        <v>6555</v>
      </c>
      <c r="AZ509" s="2" t="s">
        <v>6555</v>
      </c>
      <c r="BA509" s="2" t="s">
        <v>6556</v>
      </c>
      <c r="BB509" s="2" t="s">
        <v>21</v>
      </c>
      <c r="BD509" s="2" t="s">
        <v>6557</v>
      </c>
      <c r="BE509" s="2" t="s">
        <v>6558</v>
      </c>
      <c r="BF509" s="2" t="s">
        <v>6559</v>
      </c>
    </row>
    <row r="510" spans="1:58" ht="42.75" customHeight="1" x14ac:dyDescent="0.25">
      <c r="A510" s="8" t="s">
        <v>8</v>
      </c>
      <c r="B510" s="1" t="s">
        <v>0</v>
      </c>
      <c r="C510" s="1" t="s">
        <v>1</v>
      </c>
      <c r="D510" s="1" t="s">
        <v>6560</v>
      </c>
      <c r="E510" s="1" t="s">
        <v>6561</v>
      </c>
      <c r="F510" s="1" t="s">
        <v>6562</v>
      </c>
      <c r="H510" s="2" t="s">
        <v>8</v>
      </c>
      <c r="I510" s="2" t="s">
        <v>7</v>
      </c>
      <c r="J510" s="2" t="s">
        <v>8</v>
      </c>
      <c r="K510" s="2" t="s">
        <v>8</v>
      </c>
      <c r="L510" s="2" t="s">
        <v>7</v>
      </c>
      <c r="M510" s="1" t="s">
        <v>6563</v>
      </c>
      <c r="N510" s="1" t="s">
        <v>6564</v>
      </c>
      <c r="O510" s="2" t="s">
        <v>1060</v>
      </c>
      <c r="Q510" s="2" t="s">
        <v>12</v>
      </c>
      <c r="R510" s="2" t="s">
        <v>1211</v>
      </c>
      <c r="T510" s="2" t="s">
        <v>14</v>
      </c>
      <c r="U510" s="3">
        <v>19</v>
      </c>
      <c r="V510" s="3">
        <v>19</v>
      </c>
      <c r="W510" s="4" t="s">
        <v>3487</v>
      </c>
      <c r="X510" s="4" t="s">
        <v>3487</v>
      </c>
      <c r="Y510" s="4" t="s">
        <v>6565</v>
      </c>
      <c r="Z510" s="4" t="s">
        <v>6565</v>
      </c>
      <c r="AA510" s="3">
        <v>363</v>
      </c>
      <c r="AB510" s="3">
        <v>292</v>
      </c>
      <c r="AC510" s="3">
        <v>1193</v>
      </c>
      <c r="AD510" s="3">
        <v>1</v>
      </c>
      <c r="AE510" s="3">
        <v>15</v>
      </c>
      <c r="AF510" s="3">
        <v>26</v>
      </c>
      <c r="AG510" s="3">
        <v>51</v>
      </c>
      <c r="AH510" s="3">
        <v>10</v>
      </c>
      <c r="AI510" s="3">
        <v>18</v>
      </c>
      <c r="AJ510" s="3">
        <v>8</v>
      </c>
      <c r="AK510" s="3">
        <v>9</v>
      </c>
      <c r="AL510" s="3">
        <v>19</v>
      </c>
      <c r="AM510" s="3">
        <v>22</v>
      </c>
      <c r="AN510" s="3">
        <v>0</v>
      </c>
      <c r="AO510" s="3">
        <v>13</v>
      </c>
      <c r="AP510" s="3">
        <v>1</v>
      </c>
      <c r="AQ510" s="3">
        <v>2</v>
      </c>
      <c r="AR510" s="2" t="s">
        <v>8</v>
      </c>
      <c r="AS510" s="2" t="s">
        <v>8</v>
      </c>
      <c r="AU510" s="5" t="str">
        <f>HYPERLINK("https://creighton-primo.hosted.exlibrisgroup.com/primo-explore/search?tab=default_tab&amp;search_scope=EVERYTHING&amp;vid=01CRU&amp;lang=en_US&amp;offset=0&amp;query=any,contains,991000848199702656","Catalog Record")</f>
        <v>Catalog Record</v>
      </c>
      <c r="AV510" s="5" t="str">
        <f>HYPERLINK("http://www.worldcat.org/oclc/30110535","WorldCat Record")</f>
        <v>WorldCat Record</v>
      </c>
      <c r="AW510" s="2" t="s">
        <v>6566</v>
      </c>
      <c r="AX510" s="2" t="s">
        <v>6567</v>
      </c>
      <c r="AY510" s="2" t="s">
        <v>6568</v>
      </c>
      <c r="AZ510" s="2" t="s">
        <v>6568</v>
      </c>
      <c r="BA510" s="2" t="s">
        <v>6569</v>
      </c>
      <c r="BB510" s="2" t="s">
        <v>21</v>
      </c>
      <c r="BD510" s="2" t="s">
        <v>6570</v>
      </c>
      <c r="BE510" s="2" t="s">
        <v>6571</v>
      </c>
      <c r="BF510" s="2" t="s">
        <v>6572</v>
      </c>
    </row>
    <row r="511" spans="1:58" ht="42.75" customHeight="1" x14ac:dyDescent="0.25">
      <c r="A511" s="8" t="s">
        <v>8</v>
      </c>
      <c r="B511" s="1" t="s">
        <v>0</v>
      </c>
      <c r="C511" s="1" t="s">
        <v>1</v>
      </c>
      <c r="D511" s="1" t="s">
        <v>6573</v>
      </c>
      <c r="E511" s="1" t="s">
        <v>6574</v>
      </c>
      <c r="F511" s="1" t="s">
        <v>6575</v>
      </c>
      <c r="H511" s="2" t="s">
        <v>8</v>
      </c>
      <c r="I511" s="2" t="s">
        <v>7</v>
      </c>
      <c r="J511" s="2" t="s">
        <v>6</v>
      </c>
      <c r="K511" s="2" t="s">
        <v>8</v>
      </c>
      <c r="L511" s="2" t="s">
        <v>9</v>
      </c>
      <c r="M511" s="1" t="s">
        <v>6563</v>
      </c>
      <c r="N511" s="1" t="s">
        <v>6576</v>
      </c>
      <c r="O511" s="2" t="s">
        <v>252</v>
      </c>
      <c r="Q511" s="2" t="s">
        <v>12</v>
      </c>
      <c r="R511" s="2" t="s">
        <v>34</v>
      </c>
      <c r="T511" s="2" t="s">
        <v>14</v>
      </c>
      <c r="U511" s="3">
        <v>10</v>
      </c>
      <c r="V511" s="3">
        <v>10</v>
      </c>
      <c r="W511" s="4" t="s">
        <v>6577</v>
      </c>
      <c r="X511" s="4" t="s">
        <v>6577</v>
      </c>
      <c r="Y511" s="4" t="s">
        <v>4443</v>
      </c>
      <c r="Z511" s="4" t="s">
        <v>4443</v>
      </c>
      <c r="AA511" s="3">
        <v>745</v>
      </c>
      <c r="AB511" s="3">
        <v>628</v>
      </c>
      <c r="AC511" s="3">
        <v>643</v>
      </c>
      <c r="AD511" s="3">
        <v>3</v>
      </c>
      <c r="AE511" s="3">
        <v>3</v>
      </c>
      <c r="AF511" s="3">
        <v>36</v>
      </c>
      <c r="AG511" s="3">
        <v>37</v>
      </c>
      <c r="AH511" s="3">
        <v>12</v>
      </c>
      <c r="AI511" s="3">
        <v>12</v>
      </c>
      <c r="AJ511" s="3">
        <v>9</v>
      </c>
      <c r="AK511" s="3">
        <v>10</v>
      </c>
      <c r="AL511" s="3">
        <v>22</v>
      </c>
      <c r="AM511" s="3">
        <v>23</v>
      </c>
      <c r="AN511" s="3">
        <v>1</v>
      </c>
      <c r="AO511" s="3">
        <v>1</v>
      </c>
      <c r="AP511" s="3">
        <v>2</v>
      </c>
      <c r="AQ511" s="3">
        <v>2</v>
      </c>
      <c r="AR511" s="2" t="s">
        <v>8</v>
      </c>
      <c r="AS511" s="2" t="s">
        <v>6</v>
      </c>
      <c r="AT511" s="5" t="str">
        <f>HYPERLINK("http://catalog.hathitrust.org/Record/000745277","HathiTrust Record")</f>
        <v>HathiTrust Record</v>
      </c>
      <c r="AU511" s="5" t="str">
        <f>HYPERLINK("https://creighton-primo.hosted.exlibrisgroup.com/primo-explore/search?tab=default_tab&amp;search_scope=EVERYTHING&amp;vid=01CRU&amp;lang=en_US&amp;offset=0&amp;query=any,contains,991001126219702656","Catalog Record")</f>
        <v>Catalog Record</v>
      </c>
      <c r="AV511" s="5" t="str">
        <f>HYPERLINK("http://www.worldcat.org/oclc/6487655","WorldCat Record")</f>
        <v>WorldCat Record</v>
      </c>
      <c r="AW511" s="2" t="s">
        <v>6578</v>
      </c>
      <c r="AX511" s="2" t="s">
        <v>6579</v>
      </c>
      <c r="AY511" s="2" t="s">
        <v>6580</v>
      </c>
      <c r="AZ511" s="2" t="s">
        <v>6580</v>
      </c>
      <c r="BA511" s="2" t="s">
        <v>6581</v>
      </c>
      <c r="BB511" s="2" t="s">
        <v>21</v>
      </c>
      <c r="BD511" s="2" t="s">
        <v>6582</v>
      </c>
      <c r="BE511" s="2" t="s">
        <v>6583</v>
      </c>
      <c r="BF511" s="2" t="s">
        <v>6584</v>
      </c>
    </row>
    <row r="512" spans="1:58" ht="42.75" customHeight="1" x14ac:dyDescent="0.25">
      <c r="A512" s="8" t="s">
        <v>8</v>
      </c>
      <c r="B512" s="1" t="s">
        <v>0</v>
      </c>
      <c r="C512" s="1" t="s">
        <v>1</v>
      </c>
      <c r="D512" s="1" t="s">
        <v>6585</v>
      </c>
      <c r="E512" s="1" t="s">
        <v>6586</v>
      </c>
      <c r="F512" s="1" t="s">
        <v>6587</v>
      </c>
      <c r="H512" s="2" t="s">
        <v>8</v>
      </c>
      <c r="I512" s="2" t="s">
        <v>7</v>
      </c>
      <c r="J512" s="2" t="s">
        <v>8</v>
      </c>
      <c r="K512" s="2" t="s">
        <v>8</v>
      </c>
      <c r="L512" s="2" t="s">
        <v>7</v>
      </c>
      <c r="M512" s="1" t="s">
        <v>6563</v>
      </c>
      <c r="N512" s="1" t="s">
        <v>4713</v>
      </c>
      <c r="O512" s="2" t="s">
        <v>410</v>
      </c>
      <c r="Q512" s="2" t="s">
        <v>12</v>
      </c>
      <c r="R512" s="2" t="s">
        <v>13</v>
      </c>
      <c r="T512" s="2" t="s">
        <v>14</v>
      </c>
      <c r="U512" s="3">
        <v>18</v>
      </c>
      <c r="V512" s="3">
        <v>18</v>
      </c>
      <c r="W512" s="4" t="s">
        <v>5712</v>
      </c>
      <c r="X512" s="4" t="s">
        <v>5712</v>
      </c>
      <c r="Y512" s="4" t="s">
        <v>4715</v>
      </c>
      <c r="Z512" s="4" t="s">
        <v>4715</v>
      </c>
      <c r="AA512" s="3">
        <v>441</v>
      </c>
      <c r="AB512" s="3">
        <v>347</v>
      </c>
      <c r="AC512" s="3">
        <v>1180</v>
      </c>
      <c r="AD512" s="3">
        <v>2</v>
      </c>
      <c r="AE512" s="3">
        <v>14</v>
      </c>
      <c r="AF512" s="3">
        <v>31</v>
      </c>
      <c r="AG512" s="3">
        <v>58</v>
      </c>
      <c r="AH512" s="3">
        <v>12</v>
      </c>
      <c r="AI512" s="3">
        <v>20</v>
      </c>
      <c r="AJ512" s="3">
        <v>7</v>
      </c>
      <c r="AK512" s="3">
        <v>12</v>
      </c>
      <c r="AL512" s="3">
        <v>20</v>
      </c>
      <c r="AM512" s="3">
        <v>24</v>
      </c>
      <c r="AN512" s="3">
        <v>1</v>
      </c>
      <c r="AO512" s="3">
        <v>12</v>
      </c>
      <c r="AP512" s="3">
        <v>2</v>
      </c>
      <c r="AQ512" s="3">
        <v>4</v>
      </c>
      <c r="AR512" s="2" t="s">
        <v>8</v>
      </c>
      <c r="AS512" s="2" t="s">
        <v>8</v>
      </c>
      <c r="AU512" s="5" t="str">
        <f>HYPERLINK("https://creighton-primo.hosted.exlibrisgroup.com/primo-explore/search?tab=default_tab&amp;search_scope=EVERYTHING&amp;vid=01CRU&amp;lang=en_US&amp;offset=0&amp;query=any,contains,991001480489702656","Catalog Record")</f>
        <v>Catalog Record</v>
      </c>
      <c r="AV512" s="5" t="str">
        <f>HYPERLINK("http://www.worldcat.org/oclc/27034250","WorldCat Record")</f>
        <v>WorldCat Record</v>
      </c>
      <c r="AW512" s="2" t="s">
        <v>6588</v>
      </c>
      <c r="AX512" s="2" t="s">
        <v>6589</v>
      </c>
      <c r="AY512" s="2" t="s">
        <v>6590</v>
      </c>
      <c r="AZ512" s="2" t="s">
        <v>6590</v>
      </c>
      <c r="BA512" s="2" t="s">
        <v>6591</v>
      </c>
      <c r="BB512" s="2" t="s">
        <v>21</v>
      </c>
      <c r="BD512" s="2" t="s">
        <v>6592</v>
      </c>
      <c r="BE512" s="2" t="s">
        <v>6593</v>
      </c>
      <c r="BF512" s="2" t="s">
        <v>6594</v>
      </c>
    </row>
    <row r="513" spans="1:58" ht="42.75" customHeight="1" x14ac:dyDescent="0.25">
      <c r="A513" s="8" t="s">
        <v>8</v>
      </c>
      <c r="B513" s="1" t="s">
        <v>0</v>
      </c>
      <c r="C513" s="1" t="s">
        <v>1</v>
      </c>
      <c r="D513" s="1" t="s">
        <v>6595</v>
      </c>
      <c r="E513" s="1" t="s">
        <v>6596</v>
      </c>
      <c r="F513" s="1" t="s">
        <v>6597</v>
      </c>
      <c r="H513" s="2" t="s">
        <v>8</v>
      </c>
      <c r="I513" s="2" t="s">
        <v>7</v>
      </c>
      <c r="J513" s="2" t="s">
        <v>6</v>
      </c>
      <c r="K513" s="2" t="s">
        <v>8</v>
      </c>
      <c r="L513" s="2" t="s">
        <v>9</v>
      </c>
      <c r="M513" s="1" t="s">
        <v>6598</v>
      </c>
      <c r="N513" s="1" t="s">
        <v>6599</v>
      </c>
      <c r="O513" s="2" t="s">
        <v>224</v>
      </c>
      <c r="Q513" s="2" t="s">
        <v>12</v>
      </c>
      <c r="R513" s="2" t="s">
        <v>34</v>
      </c>
      <c r="T513" s="2" t="s">
        <v>14</v>
      </c>
      <c r="U513" s="3">
        <v>14</v>
      </c>
      <c r="V513" s="3">
        <v>14</v>
      </c>
      <c r="W513" s="4" t="s">
        <v>5821</v>
      </c>
      <c r="X513" s="4" t="s">
        <v>5821</v>
      </c>
      <c r="Y513" s="4" t="s">
        <v>6125</v>
      </c>
      <c r="Z513" s="4" t="s">
        <v>6125</v>
      </c>
      <c r="AA513" s="3">
        <v>247</v>
      </c>
      <c r="AB513" s="3">
        <v>223</v>
      </c>
      <c r="AC513" s="3">
        <v>228</v>
      </c>
      <c r="AD513" s="3">
        <v>2</v>
      </c>
      <c r="AE513" s="3">
        <v>2</v>
      </c>
      <c r="AF513" s="3">
        <v>12</v>
      </c>
      <c r="AG513" s="3">
        <v>12</v>
      </c>
      <c r="AH513" s="3">
        <v>3</v>
      </c>
      <c r="AI513" s="3">
        <v>3</v>
      </c>
      <c r="AJ513" s="3">
        <v>3</v>
      </c>
      <c r="AK513" s="3">
        <v>3</v>
      </c>
      <c r="AL513" s="3">
        <v>8</v>
      </c>
      <c r="AM513" s="3">
        <v>8</v>
      </c>
      <c r="AN513" s="3">
        <v>0</v>
      </c>
      <c r="AO513" s="3">
        <v>0</v>
      </c>
      <c r="AP513" s="3">
        <v>2</v>
      </c>
      <c r="AQ513" s="3">
        <v>2</v>
      </c>
      <c r="AR513" s="2" t="s">
        <v>8</v>
      </c>
      <c r="AS513" s="2" t="s">
        <v>8</v>
      </c>
      <c r="AU513" s="5" t="str">
        <f>HYPERLINK("https://creighton-primo.hosted.exlibrisgroup.com/primo-explore/search?tab=default_tab&amp;search_scope=EVERYTHING&amp;vid=01CRU&amp;lang=en_US&amp;offset=0&amp;query=any,contains,991001126189702656","Catalog Record")</f>
        <v>Catalog Record</v>
      </c>
      <c r="AV513" s="5" t="str">
        <f>HYPERLINK("http://www.worldcat.org/oclc/6357394","WorldCat Record")</f>
        <v>WorldCat Record</v>
      </c>
      <c r="AW513" s="2" t="s">
        <v>6600</v>
      </c>
      <c r="AX513" s="2" t="s">
        <v>6601</v>
      </c>
      <c r="AY513" s="2" t="s">
        <v>6602</v>
      </c>
      <c r="AZ513" s="2" t="s">
        <v>6602</v>
      </c>
      <c r="BA513" s="2" t="s">
        <v>6603</v>
      </c>
      <c r="BB513" s="2" t="s">
        <v>21</v>
      </c>
      <c r="BD513" s="2" t="s">
        <v>6604</v>
      </c>
      <c r="BE513" s="2" t="s">
        <v>6605</v>
      </c>
      <c r="BF513" s="2" t="s">
        <v>6606</v>
      </c>
    </row>
    <row r="514" spans="1:58" ht="42.75" customHeight="1" x14ac:dyDescent="0.25">
      <c r="A514" s="8" t="s">
        <v>8</v>
      </c>
      <c r="B514" s="1" t="s">
        <v>0</v>
      </c>
      <c r="C514" s="1" t="s">
        <v>1</v>
      </c>
      <c r="D514" s="1" t="s">
        <v>6607</v>
      </c>
      <c r="E514" s="1" t="s">
        <v>6608</v>
      </c>
      <c r="F514" s="1" t="s">
        <v>6609</v>
      </c>
      <c r="H514" s="2" t="s">
        <v>8</v>
      </c>
      <c r="I514" s="2" t="s">
        <v>7</v>
      </c>
      <c r="J514" s="2" t="s">
        <v>8</v>
      </c>
      <c r="K514" s="2" t="s">
        <v>8</v>
      </c>
      <c r="L514" s="2" t="s">
        <v>9</v>
      </c>
      <c r="M514" s="1" t="s">
        <v>6610</v>
      </c>
      <c r="N514" s="1" t="s">
        <v>6611</v>
      </c>
      <c r="O514" s="2" t="s">
        <v>614</v>
      </c>
      <c r="P514" s="1" t="s">
        <v>1225</v>
      </c>
      <c r="Q514" s="2" t="s">
        <v>12</v>
      </c>
      <c r="R514" s="2" t="s">
        <v>1340</v>
      </c>
      <c r="T514" s="2" t="s">
        <v>14</v>
      </c>
      <c r="U514" s="3">
        <v>28</v>
      </c>
      <c r="V514" s="3">
        <v>28</v>
      </c>
      <c r="W514" s="4" t="s">
        <v>6612</v>
      </c>
      <c r="X514" s="4" t="s">
        <v>6612</v>
      </c>
      <c r="Y514" s="4" t="s">
        <v>6613</v>
      </c>
      <c r="Z514" s="4" t="s">
        <v>6613</v>
      </c>
      <c r="AA514" s="3">
        <v>225</v>
      </c>
      <c r="AB514" s="3">
        <v>180</v>
      </c>
      <c r="AC514" s="3">
        <v>180</v>
      </c>
      <c r="AD514" s="3">
        <v>1</v>
      </c>
      <c r="AE514" s="3">
        <v>1</v>
      </c>
      <c r="AF514" s="3">
        <v>8</v>
      </c>
      <c r="AG514" s="3">
        <v>8</v>
      </c>
      <c r="AH514" s="3">
        <v>3</v>
      </c>
      <c r="AI514" s="3">
        <v>3</v>
      </c>
      <c r="AJ514" s="3">
        <v>2</v>
      </c>
      <c r="AK514" s="3">
        <v>2</v>
      </c>
      <c r="AL514" s="3">
        <v>5</v>
      </c>
      <c r="AM514" s="3">
        <v>5</v>
      </c>
      <c r="AN514" s="3">
        <v>0</v>
      </c>
      <c r="AO514" s="3">
        <v>0</v>
      </c>
      <c r="AP514" s="3">
        <v>2</v>
      </c>
      <c r="AQ514" s="3">
        <v>2</v>
      </c>
      <c r="AR514" s="2" t="s">
        <v>8</v>
      </c>
      <c r="AS514" s="2" t="s">
        <v>8</v>
      </c>
      <c r="AU514" s="5" t="str">
        <f>HYPERLINK("https://creighton-primo.hosted.exlibrisgroup.com/primo-explore/search?tab=default_tab&amp;search_scope=EVERYTHING&amp;vid=01CRU&amp;lang=en_US&amp;offset=0&amp;query=any,contains,991001402349702656","Catalog Record")</f>
        <v>Catalog Record</v>
      </c>
      <c r="AV514" s="5" t="str">
        <f>HYPERLINK("http://www.worldcat.org/oclc/25629924","WorldCat Record")</f>
        <v>WorldCat Record</v>
      </c>
      <c r="AW514" s="2" t="s">
        <v>6614</v>
      </c>
      <c r="AX514" s="2" t="s">
        <v>6615</v>
      </c>
      <c r="AY514" s="2" t="s">
        <v>6616</v>
      </c>
      <c r="AZ514" s="2" t="s">
        <v>6616</v>
      </c>
      <c r="BA514" s="2" t="s">
        <v>6617</v>
      </c>
      <c r="BB514" s="2" t="s">
        <v>21</v>
      </c>
      <c r="BD514" s="2" t="s">
        <v>6618</v>
      </c>
      <c r="BE514" s="2" t="s">
        <v>6619</v>
      </c>
      <c r="BF514" s="2" t="s">
        <v>6620</v>
      </c>
    </row>
    <row r="515" spans="1:58" ht="42.75" customHeight="1" x14ac:dyDescent="0.25">
      <c r="A515" s="8" t="s">
        <v>8</v>
      </c>
      <c r="B515" s="1" t="s">
        <v>0</v>
      </c>
      <c r="C515" s="1" t="s">
        <v>1</v>
      </c>
      <c r="D515" s="1" t="s">
        <v>6621</v>
      </c>
      <c r="E515" s="1" t="s">
        <v>6622</v>
      </c>
      <c r="F515" s="1" t="s">
        <v>6623</v>
      </c>
      <c r="H515" s="2" t="s">
        <v>8</v>
      </c>
      <c r="I515" s="2" t="s">
        <v>7</v>
      </c>
      <c r="J515" s="2" t="s">
        <v>8</v>
      </c>
      <c r="K515" s="2" t="s">
        <v>8</v>
      </c>
      <c r="L515" s="2" t="s">
        <v>9</v>
      </c>
      <c r="N515" s="1" t="s">
        <v>6624</v>
      </c>
      <c r="O515" s="2" t="s">
        <v>51</v>
      </c>
      <c r="Q515" s="2" t="s">
        <v>12</v>
      </c>
      <c r="R515" s="2" t="s">
        <v>34</v>
      </c>
      <c r="T515" s="2" t="s">
        <v>14</v>
      </c>
      <c r="U515" s="3">
        <v>8</v>
      </c>
      <c r="V515" s="3">
        <v>8</v>
      </c>
      <c r="W515" s="4" t="s">
        <v>6625</v>
      </c>
      <c r="X515" s="4" t="s">
        <v>6625</v>
      </c>
      <c r="Y515" s="4" t="s">
        <v>6626</v>
      </c>
      <c r="Z515" s="4" t="s">
        <v>6626</v>
      </c>
      <c r="AA515" s="3">
        <v>56</v>
      </c>
      <c r="AB515" s="3">
        <v>50</v>
      </c>
      <c r="AC515" s="3">
        <v>50</v>
      </c>
      <c r="AD515" s="3">
        <v>1</v>
      </c>
      <c r="AE515" s="3">
        <v>1</v>
      </c>
      <c r="AF515" s="3">
        <v>1</v>
      </c>
      <c r="AG515" s="3">
        <v>1</v>
      </c>
      <c r="AH515" s="3">
        <v>0</v>
      </c>
      <c r="AI515" s="3">
        <v>0</v>
      </c>
      <c r="AJ515" s="3">
        <v>1</v>
      </c>
      <c r="AK515" s="3">
        <v>1</v>
      </c>
      <c r="AL515" s="3">
        <v>1</v>
      </c>
      <c r="AM515" s="3">
        <v>1</v>
      </c>
      <c r="AN515" s="3">
        <v>0</v>
      </c>
      <c r="AO515" s="3">
        <v>0</v>
      </c>
      <c r="AP515" s="3">
        <v>0</v>
      </c>
      <c r="AQ515" s="3">
        <v>0</v>
      </c>
      <c r="AR515" s="2" t="s">
        <v>8</v>
      </c>
      <c r="AS515" s="2" t="s">
        <v>8</v>
      </c>
      <c r="AU515" s="5" t="str">
        <f>HYPERLINK("https://creighton-primo.hosted.exlibrisgroup.com/primo-explore/search?tab=default_tab&amp;search_scope=EVERYTHING&amp;vid=01CRU&amp;lang=en_US&amp;offset=0&amp;query=any,contains,991001357949702656","Catalog Record")</f>
        <v>Catalog Record</v>
      </c>
      <c r="AV515" s="5" t="str">
        <f>HYPERLINK("http://www.worldcat.org/oclc/18834388","WorldCat Record")</f>
        <v>WorldCat Record</v>
      </c>
      <c r="AW515" s="2" t="s">
        <v>6627</v>
      </c>
      <c r="AX515" s="2" t="s">
        <v>6628</v>
      </c>
      <c r="AY515" s="2" t="s">
        <v>6629</v>
      </c>
      <c r="AZ515" s="2" t="s">
        <v>6629</v>
      </c>
      <c r="BA515" s="2" t="s">
        <v>6630</v>
      </c>
      <c r="BB515" s="2" t="s">
        <v>21</v>
      </c>
      <c r="BD515" s="2" t="s">
        <v>6631</v>
      </c>
      <c r="BE515" s="2" t="s">
        <v>6632</v>
      </c>
      <c r="BF515" s="2" t="s">
        <v>6633</v>
      </c>
    </row>
    <row r="516" spans="1:58" ht="42.75" customHeight="1" x14ac:dyDescent="0.25">
      <c r="A516" s="8" t="s">
        <v>8</v>
      </c>
      <c r="B516" s="1" t="s">
        <v>0</v>
      </c>
      <c r="C516" s="1" t="s">
        <v>1</v>
      </c>
      <c r="D516" s="1" t="s">
        <v>6634</v>
      </c>
      <c r="E516" s="1" t="s">
        <v>6635</v>
      </c>
      <c r="F516" s="1" t="s">
        <v>6636</v>
      </c>
      <c r="H516" s="2" t="s">
        <v>8</v>
      </c>
      <c r="I516" s="2" t="s">
        <v>7</v>
      </c>
      <c r="J516" s="2" t="s">
        <v>8</v>
      </c>
      <c r="K516" s="2" t="s">
        <v>8</v>
      </c>
      <c r="L516" s="2" t="s">
        <v>9</v>
      </c>
      <c r="M516" s="1" t="s">
        <v>6637</v>
      </c>
      <c r="N516" s="1" t="s">
        <v>1577</v>
      </c>
      <c r="O516" s="2" t="s">
        <v>627</v>
      </c>
      <c r="Q516" s="2" t="s">
        <v>12</v>
      </c>
      <c r="R516" s="2" t="s">
        <v>13</v>
      </c>
      <c r="T516" s="2" t="s">
        <v>14</v>
      </c>
      <c r="U516" s="3">
        <v>29</v>
      </c>
      <c r="V516" s="3">
        <v>29</v>
      </c>
      <c r="W516" s="4" t="s">
        <v>6638</v>
      </c>
      <c r="X516" s="4" t="s">
        <v>6638</v>
      </c>
      <c r="Y516" s="4" t="s">
        <v>3025</v>
      </c>
      <c r="Z516" s="4" t="s">
        <v>3025</v>
      </c>
      <c r="AA516" s="3">
        <v>322</v>
      </c>
      <c r="AB516" s="3">
        <v>235</v>
      </c>
      <c r="AC516" s="3">
        <v>245</v>
      </c>
      <c r="AD516" s="3">
        <v>3</v>
      </c>
      <c r="AE516" s="3">
        <v>3</v>
      </c>
      <c r="AF516" s="3">
        <v>6</v>
      </c>
      <c r="AG516" s="3">
        <v>7</v>
      </c>
      <c r="AH516" s="3">
        <v>0</v>
      </c>
      <c r="AI516" s="3">
        <v>1</v>
      </c>
      <c r="AJ516" s="3">
        <v>1</v>
      </c>
      <c r="AK516" s="3">
        <v>1</v>
      </c>
      <c r="AL516" s="3">
        <v>3</v>
      </c>
      <c r="AM516" s="3">
        <v>4</v>
      </c>
      <c r="AN516" s="3">
        <v>2</v>
      </c>
      <c r="AO516" s="3">
        <v>2</v>
      </c>
      <c r="AP516" s="3">
        <v>0</v>
      </c>
      <c r="AQ516" s="3">
        <v>0</v>
      </c>
      <c r="AR516" s="2" t="s">
        <v>8</v>
      </c>
      <c r="AS516" s="2" t="s">
        <v>8</v>
      </c>
      <c r="AU516" s="5" t="str">
        <f>HYPERLINK("https://creighton-primo.hosted.exlibrisgroup.com/primo-explore/search?tab=default_tab&amp;search_scope=EVERYTHING&amp;vid=01CRU&amp;lang=en_US&amp;offset=0&amp;query=any,contains,991000498219702656","Catalog Record")</f>
        <v>Catalog Record</v>
      </c>
      <c r="AV516" s="5" t="str">
        <f>HYPERLINK("http://www.worldcat.org/oclc/19130594","WorldCat Record")</f>
        <v>WorldCat Record</v>
      </c>
      <c r="AW516" s="2" t="s">
        <v>6639</v>
      </c>
      <c r="AX516" s="2" t="s">
        <v>6640</v>
      </c>
      <c r="AY516" s="2" t="s">
        <v>6641</v>
      </c>
      <c r="AZ516" s="2" t="s">
        <v>6641</v>
      </c>
      <c r="BA516" s="2" t="s">
        <v>6642</v>
      </c>
      <c r="BB516" s="2" t="s">
        <v>21</v>
      </c>
      <c r="BD516" s="2" t="s">
        <v>6643</v>
      </c>
      <c r="BE516" s="2" t="s">
        <v>6644</v>
      </c>
      <c r="BF516" s="2" t="s">
        <v>6645</v>
      </c>
    </row>
    <row r="517" spans="1:58" ht="42.75" customHeight="1" x14ac:dyDescent="0.25">
      <c r="A517" s="8" t="s">
        <v>8</v>
      </c>
      <c r="B517" s="1" t="s">
        <v>0</v>
      </c>
      <c r="C517" s="1" t="s">
        <v>1</v>
      </c>
      <c r="D517" s="1" t="s">
        <v>6646</v>
      </c>
      <c r="E517" s="1" t="s">
        <v>6647</v>
      </c>
      <c r="F517" s="1" t="s">
        <v>6648</v>
      </c>
      <c r="H517" s="2" t="s">
        <v>8</v>
      </c>
      <c r="I517" s="2" t="s">
        <v>7</v>
      </c>
      <c r="J517" s="2" t="s">
        <v>8</v>
      </c>
      <c r="K517" s="2" t="s">
        <v>8</v>
      </c>
      <c r="L517" s="2" t="s">
        <v>9</v>
      </c>
      <c r="M517" s="1" t="s">
        <v>6649</v>
      </c>
      <c r="N517" s="1" t="s">
        <v>6650</v>
      </c>
      <c r="O517" s="2" t="s">
        <v>1629</v>
      </c>
      <c r="Q517" s="2" t="s">
        <v>12</v>
      </c>
      <c r="R517" s="2" t="s">
        <v>1211</v>
      </c>
      <c r="S517" s="1" t="s">
        <v>6651</v>
      </c>
      <c r="T517" s="2" t="s">
        <v>14</v>
      </c>
      <c r="U517" s="3">
        <v>5</v>
      </c>
      <c r="V517" s="3">
        <v>5</v>
      </c>
      <c r="W517" s="4" t="s">
        <v>6652</v>
      </c>
      <c r="X517" s="4" t="s">
        <v>6652</v>
      </c>
      <c r="Y517" s="4" t="s">
        <v>6653</v>
      </c>
      <c r="Z517" s="4" t="s">
        <v>6653</v>
      </c>
      <c r="AA517" s="3">
        <v>43</v>
      </c>
      <c r="AB517" s="3">
        <v>42</v>
      </c>
      <c r="AC517" s="3">
        <v>44</v>
      </c>
      <c r="AD517" s="3">
        <v>1</v>
      </c>
      <c r="AE517" s="3">
        <v>1</v>
      </c>
      <c r="AF517" s="3">
        <v>3</v>
      </c>
      <c r="AG517" s="3">
        <v>3</v>
      </c>
      <c r="AH517" s="3">
        <v>0</v>
      </c>
      <c r="AI517" s="3">
        <v>0</v>
      </c>
      <c r="AJ517" s="3">
        <v>0</v>
      </c>
      <c r="AK517" s="3">
        <v>0</v>
      </c>
      <c r="AL517" s="3">
        <v>1</v>
      </c>
      <c r="AM517" s="3">
        <v>1</v>
      </c>
      <c r="AN517" s="3">
        <v>0</v>
      </c>
      <c r="AO517" s="3">
        <v>0</v>
      </c>
      <c r="AP517" s="3">
        <v>2</v>
      </c>
      <c r="AQ517" s="3">
        <v>2</v>
      </c>
      <c r="AR517" s="2" t="s">
        <v>8</v>
      </c>
      <c r="AS517" s="2" t="s">
        <v>6</v>
      </c>
      <c r="AT517" s="5" t="str">
        <f>HYPERLINK("http://catalog.hathitrust.org/Record/000164396","HathiTrust Record")</f>
        <v>HathiTrust Record</v>
      </c>
      <c r="AU517" s="5" t="str">
        <f>HYPERLINK("https://creighton-primo.hosted.exlibrisgroup.com/primo-explore/search?tab=default_tab&amp;search_scope=EVERYTHING&amp;vid=01CRU&amp;lang=en_US&amp;offset=0&amp;query=any,contains,991001126169702656","Catalog Record")</f>
        <v>Catalog Record</v>
      </c>
      <c r="AV517" s="5" t="str">
        <f>HYPERLINK("http://www.worldcat.org/oclc/10779570","WorldCat Record")</f>
        <v>WorldCat Record</v>
      </c>
      <c r="AW517" s="2" t="s">
        <v>6654</v>
      </c>
      <c r="AX517" s="2" t="s">
        <v>6655</v>
      </c>
      <c r="AY517" s="2" t="s">
        <v>6656</v>
      </c>
      <c r="AZ517" s="2" t="s">
        <v>6656</v>
      </c>
      <c r="BA517" s="2" t="s">
        <v>6657</v>
      </c>
      <c r="BB517" s="2" t="s">
        <v>21</v>
      </c>
      <c r="BE517" s="2" t="s">
        <v>6658</v>
      </c>
      <c r="BF517" s="2" t="s">
        <v>6659</v>
      </c>
    </row>
    <row r="518" spans="1:58" ht="42.75" customHeight="1" x14ac:dyDescent="0.25">
      <c r="A518" s="8" t="s">
        <v>8</v>
      </c>
      <c r="B518" s="1" t="s">
        <v>0</v>
      </c>
      <c r="C518" s="1" t="s">
        <v>1</v>
      </c>
      <c r="D518" s="1" t="s">
        <v>6660</v>
      </c>
      <c r="E518" s="1" t="s">
        <v>6661</v>
      </c>
      <c r="F518" s="1" t="s">
        <v>6662</v>
      </c>
      <c r="H518" s="2" t="s">
        <v>8</v>
      </c>
      <c r="I518" s="2" t="s">
        <v>885</v>
      </c>
      <c r="J518" s="2" t="s">
        <v>6</v>
      </c>
      <c r="K518" s="2" t="s">
        <v>8</v>
      </c>
      <c r="L518" s="2" t="s">
        <v>9</v>
      </c>
      <c r="M518" s="1" t="s">
        <v>6663</v>
      </c>
      <c r="N518" s="1" t="s">
        <v>6664</v>
      </c>
      <c r="O518" s="2" t="s">
        <v>410</v>
      </c>
      <c r="Q518" s="2" t="s">
        <v>12</v>
      </c>
      <c r="R518" s="2" t="s">
        <v>1211</v>
      </c>
      <c r="T518" s="2" t="s">
        <v>14</v>
      </c>
      <c r="U518" s="3">
        <v>1</v>
      </c>
      <c r="V518" s="3">
        <v>5</v>
      </c>
      <c r="X518" s="4" t="s">
        <v>6665</v>
      </c>
      <c r="Y518" s="4" t="s">
        <v>6666</v>
      </c>
      <c r="Z518" s="4" t="s">
        <v>6666</v>
      </c>
      <c r="AA518" s="3">
        <v>459</v>
      </c>
      <c r="AB518" s="3">
        <v>395</v>
      </c>
      <c r="AC518" s="3">
        <v>397</v>
      </c>
      <c r="AD518" s="3">
        <v>1</v>
      </c>
      <c r="AE518" s="3">
        <v>1</v>
      </c>
      <c r="AF518" s="3">
        <v>23</v>
      </c>
      <c r="AG518" s="3">
        <v>23</v>
      </c>
      <c r="AH518" s="3">
        <v>6</v>
      </c>
      <c r="AI518" s="3">
        <v>6</v>
      </c>
      <c r="AJ518" s="3">
        <v>5</v>
      </c>
      <c r="AK518" s="3">
        <v>5</v>
      </c>
      <c r="AL518" s="3">
        <v>16</v>
      </c>
      <c r="AM518" s="3">
        <v>16</v>
      </c>
      <c r="AN518" s="3">
        <v>0</v>
      </c>
      <c r="AO518" s="3">
        <v>0</v>
      </c>
      <c r="AP518" s="3">
        <v>3</v>
      </c>
      <c r="AQ518" s="3">
        <v>3</v>
      </c>
      <c r="AR518" s="2" t="s">
        <v>8</v>
      </c>
      <c r="AS518" s="2" t="s">
        <v>6</v>
      </c>
      <c r="AT518" s="5" t="str">
        <f>HYPERLINK("http://catalog.hathitrust.org/Record/002730339","HathiTrust Record")</f>
        <v>HathiTrust Record</v>
      </c>
      <c r="AU518" s="5" t="str">
        <f>HYPERLINK("https://creighton-primo.hosted.exlibrisgroup.com/primo-explore/search?tab=default_tab&amp;search_scope=EVERYTHING&amp;vid=01CRU&amp;lang=en_US&amp;offset=0&amp;query=any,contains,991001199119702656","Catalog Record")</f>
        <v>Catalog Record</v>
      </c>
      <c r="AV518" s="5" t="str">
        <f>HYPERLINK("http://www.worldcat.org/oclc/27974232","WorldCat Record")</f>
        <v>WorldCat Record</v>
      </c>
      <c r="AW518" s="2" t="s">
        <v>6667</v>
      </c>
      <c r="AX518" s="2" t="s">
        <v>6668</v>
      </c>
      <c r="AY518" s="2" t="s">
        <v>6669</v>
      </c>
      <c r="AZ518" s="2" t="s">
        <v>6669</v>
      </c>
      <c r="BA518" s="2" t="s">
        <v>6670</v>
      </c>
      <c r="BB518" s="2" t="s">
        <v>21</v>
      </c>
      <c r="BD518" s="2" t="s">
        <v>6671</v>
      </c>
      <c r="BE518" s="2" t="s">
        <v>6672</v>
      </c>
      <c r="BF518" s="2" t="s">
        <v>6673</v>
      </c>
    </row>
    <row r="519" spans="1:58" ht="42.75" customHeight="1" x14ac:dyDescent="0.25">
      <c r="A519" s="8" t="s">
        <v>8</v>
      </c>
      <c r="B519" s="1" t="s">
        <v>0</v>
      </c>
      <c r="C519" s="1" t="s">
        <v>1</v>
      </c>
      <c r="D519" s="1" t="s">
        <v>6660</v>
      </c>
      <c r="E519" s="1" t="s">
        <v>6661</v>
      </c>
      <c r="F519" s="1" t="s">
        <v>6662</v>
      </c>
      <c r="H519" s="2" t="s">
        <v>8</v>
      </c>
      <c r="I519" s="2" t="s">
        <v>7</v>
      </c>
      <c r="J519" s="2" t="s">
        <v>6</v>
      </c>
      <c r="K519" s="2" t="s">
        <v>8</v>
      </c>
      <c r="L519" s="2" t="s">
        <v>9</v>
      </c>
      <c r="M519" s="1" t="s">
        <v>6663</v>
      </c>
      <c r="N519" s="1" t="s">
        <v>6664</v>
      </c>
      <c r="O519" s="2" t="s">
        <v>410</v>
      </c>
      <c r="Q519" s="2" t="s">
        <v>12</v>
      </c>
      <c r="R519" s="2" t="s">
        <v>1211</v>
      </c>
      <c r="T519" s="2" t="s">
        <v>14</v>
      </c>
      <c r="U519" s="3">
        <v>4</v>
      </c>
      <c r="V519" s="3">
        <v>5</v>
      </c>
      <c r="W519" s="4" t="s">
        <v>6665</v>
      </c>
      <c r="X519" s="4" t="s">
        <v>6665</v>
      </c>
      <c r="Y519" s="4" t="s">
        <v>6513</v>
      </c>
      <c r="Z519" s="4" t="s">
        <v>6666</v>
      </c>
      <c r="AA519" s="3">
        <v>459</v>
      </c>
      <c r="AB519" s="3">
        <v>395</v>
      </c>
      <c r="AC519" s="3">
        <v>397</v>
      </c>
      <c r="AD519" s="3">
        <v>1</v>
      </c>
      <c r="AE519" s="3">
        <v>1</v>
      </c>
      <c r="AF519" s="3">
        <v>23</v>
      </c>
      <c r="AG519" s="3">
        <v>23</v>
      </c>
      <c r="AH519" s="3">
        <v>6</v>
      </c>
      <c r="AI519" s="3">
        <v>6</v>
      </c>
      <c r="AJ519" s="3">
        <v>5</v>
      </c>
      <c r="AK519" s="3">
        <v>5</v>
      </c>
      <c r="AL519" s="3">
        <v>16</v>
      </c>
      <c r="AM519" s="3">
        <v>16</v>
      </c>
      <c r="AN519" s="3">
        <v>0</v>
      </c>
      <c r="AO519" s="3">
        <v>0</v>
      </c>
      <c r="AP519" s="3">
        <v>3</v>
      </c>
      <c r="AQ519" s="3">
        <v>3</v>
      </c>
      <c r="AR519" s="2" t="s">
        <v>8</v>
      </c>
      <c r="AS519" s="2" t="s">
        <v>6</v>
      </c>
      <c r="AT519" s="5" t="str">
        <f>HYPERLINK("http://catalog.hathitrust.org/Record/002730339","HathiTrust Record")</f>
        <v>HathiTrust Record</v>
      </c>
      <c r="AU519" s="5" t="str">
        <f>HYPERLINK("https://creighton-primo.hosted.exlibrisgroup.com/primo-explore/search?tab=default_tab&amp;search_scope=EVERYTHING&amp;vid=01CRU&amp;lang=en_US&amp;offset=0&amp;query=any,contains,991001199119702656","Catalog Record")</f>
        <v>Catalog Record</v>
      </c>
      <c r="AV519" s="5" t="str">
        <f>HYPERLINK("http://www.worldcat.org/oclc/27974232","WorldCat Record")</f>
        <v>WorldCat Record</v>
      </c>
      <c r="AW519" s="2" t="s">
        <v>6667</v>
      </c>
      <c r="AX519" s="2" t="s">
        <v>6668</v>
      </c>
      <c r="AY519" s="2" t="s">
        <v>6669</v>
      </c>
      <c r="AZ519" s="2" t="s">
        <v>6669</v>
      </c>
      <c r="BA519" s="2" t="s">
        <v>6670</v>
      </c>
      <c r="BB519" s="2" t="s">
        <v>21</v>
      </c>
      <c r="BD519" s="2" t="s">
        <v>6671</v>
      </c>
      <c r="BE519" s="2" t="s">
        <v>6674</v>
      </c>
      <c r="BF519" s="2" t="s">
        <v>6675</v>
      </c>
    </row>
    <row r="520" spans="1:58" ht="42.75" customHeight="1" x14ac:dyDescent="0.25">
      <c r="A520" s="8" t="s">
        <v>8</v>
      </c>
      <c r="B520" s="1" t="s">
        <v>0</v>
      </c>
      <c r="C520" s="1" t="s">
        <v>1</v>
      </c>
      <c r="D520" s="1" t="s">
        <v>6676</v>
      </c>
      <c r="E520" s="1" t="s">
        <v>6677</v>
      </c>
      <c r="F520" s="1" t="s">
        <v>6678</v>
      </c>
      <c r="H520" s="2" t="s">
        <v>8</v>
      </c>
      <c r="I520" s="2" t="s">
        <v>7</v>
      </c>
      <c r="J520" s="2" t="s">
        <v>8</v>
      </c>
      <c r="K520" s="2" t="s">
        <v>8</v>
      </c>
      <c r="L520" s="2" t="s">
        <v>9</v>
      </c>
      <c r="N520" s="1" t="s">
        <v>6679</v>
      </c>
      <c r="O520" s="2" t="s">
        <v>688</v>
      </c>
      <c r="Q520" s="2" t="s">
        <v>12</v>
      </c>
      <c r="R520" s="2" t="s">
        <v>643</v>
      </c>
      <c r="T520" s="2" t="s">
        <v>14</v>
      </c>
      <c r="U520" s="3">
        <v>54</v>
      </c>
      <c r="V520" s="3">
        <v>54</v>
      </c>
      <c r="W520" s="4" t="s">
        <v>6680</v>
      </c>
      <c r="X520" s="4" t="s">
        <v>6680</v>
      </c>
      <c r="Y520" s="4" t="s">
        <v>6681</v>
      </c>
      <c r="Z520" s="4" t="s">
        <v>6681</v>
      </c>
      <c r="AA520" s="3">
        <v>286</v>
      </c>
      <c r="AB520" s="3">
        <v>173</v>
      </c>
      <c r="AC520" s="3">
        <v>240</v>
      </c>
      <c r="AD520" s="3">
        <v>1</v>
      </c>
      <c r="AE520" s="3">
        <v>1</v>
      </c>
      <c r="AF520" s="3">
        <v>10</v>
      </c>
      <c r="AG520" s="3">
        <v>12</v>
      </c>
      <c r="AH520" s="3">
        <v>2</v>
      </c>
      <c r="AI520" s="3">
        <v>2</v>
      </c>
      <c r="AJ520" s="3">
        <v>4</v>
      </c>
      <c r="AK520" s="3">
        <v>6</v>
      </c>
      <c r="AL520" s="3">
        <v>7</v>
      </c>
      <c r="AM520" s="3">
        <v>9</v>
      </c>
      <c r="AN520" s="3">
        <v>0</v>
      </c>
      <c r="AO520" s="3">
        <v>0</v>
      </c>
      <c r="AP520" s="3">
        <v>0</v>
      </c>
      <c r="AQ520" s="3">
        <v>0</v>
      </c>
      <c r="AR520" s="2" t="s">
        <v>8</v>
      </c>
      <c r="AS520" s="2" t="s">
        <v>6</v>
      </c>
      <c r="AT520" s="5" t="str">
        <f>HYPERLINK("http://catalog.hathitrust.org/Record/004552497","HathiTrust Record")</f>
        <v>HathiTrust Record</v>
      </c>
      <c r="AU520" s="5" t="str">
        <f>HYPERLINK("https://creighton-primo.hosted.exlibrisgroup.com/primo-explore/search?tab=default_tab&amp;search_scope=EVERYTHING&amp;vid=01CRU&amp;lang=en_US&amp;offset=0&amp;query=any,contains,991001196839702656","Catalog Record")</f>
        <v>Catalog Record</v>
      </c>
      <c r="AV520" s="5" t="str">
        <f>HYPERLINK("http://www.worldcat.org/oclc/26096024","WorldCat Record")</f>
        <v>WorldCat Record</v>
      </c>
      <c r="AW520" s="2" t="s">
        <v>6682</v>
      </c>
      <c r="AX520" s="2" t="s">
        <v>6683</v>
      </c>
      <c r="AY520" s="2" t="s">
        <v>6684</v>
      </c>
      <c r="AZ520" s="2" t="s">
        <v>6684</v>
      </c>
      <c r="BA520" s="2" t="s">
        <v>6685</v>
      </c>
      <c r="BB520" s="2" t="s">
        <v>21</v>
      </c>
      <c r="BD520" s="2" t="s">
        <v>6686</v>
      </c>
      <c r="BE520" s="2" t="s">
        <v>6687</v>
      </c>
      <c r="BF520" s="2" t="s">
        <v>6688</v>
      </c>
    </row>
    <row r="521" spans="1:58" ht="42.75" customHeight="1" x14ac:dyDescent="0.25">
      <c r="A521" s="8" t="s">
        <v>8</v>
      </c>
      <c r="B521" s="1" t="s">
        <v>0</v>
      </c>
      <c r="C521" s="1" t="s">
        <v>1</v>
      </c>
      <c r="D521" s="1" t="s">
        <v>6689</v>
      </c>
      <c r="E521" s="1" t="s">
        <v>6690</v>
      </c>
      <c r="F521" s="1" t="s">
        <v>6691</v>
      </c>
      <c r="H521" s="2" t="s">
        <v>8</v>
      </c>
      <c r="I521" s="2" t="s">
        <v>7</v>
      </c>
      <c r="J521" s="2" t="s">
        <v>8</v>
      </c>
      <c r="K521" s="2" t="s">
        <v>6</v>
      </c>
      <c r="L521" s="2" t="s">
        <v>9</v>
      </c>
      <c r="M521" s="1" t="s">
        <v>3460</v>
      </c>
      <c r="N521" s="1" t="s">
        <v>6692</v>
      </c>
      <c r="O521" s="2" t="s">
        <v>252</v>
      </c>
      <c r="Q521" s="2" t="s">
        <v>12</v>
      </c>
      <c r="R521" s="2" t="s">
        <v>34</v>
      </c>
      <c r="T521" s="2" t="s">
        <v>14</v>
      </c>
      <c r="U521" s="3">
        <v>31</v>
      </c>
      <c r="V521" s="3">
        <v>31</v>
      </c>
      <c r="W521" s="4" t="s">
        <v>6693</v>
      </c>
      <c r="X521" s="4" t="s">
        <v>6693</v>
      </c>
      <c r="Y521" s="4" t="s">
        <v>6694</v>
      </c>
      <c r="Z521" s="4" t="s">
        <v>6694</v>
      </c>
      <c r="AA521" s="3">
        <v>394</v>
      </c>
      <c r="AB521" s="3">
        <v>319</v>
      </c>
      <c r="AC521" s="3">
        <v>986</v>
      </c>
      <c r="AD521" s="3">
        <v>5</v>
      </c>
      <c r="AE521" s="3">
        <v>9</v>
      </c>
      <c r="AF521" s="3">
        <v>14</v>
      </c>
      <c r="AG521" s="3">
        <v>39</v>
      </c>
      <c r="AH521" s="3">
        <v>3</v>
      </c>
      <c r="AI521" s="3">
        <v>15</v>
      </c>
      <c r="AJ521" s="3">
        <v>1</v>
      </c>
      <c r="AK521" s="3">
        <v>6</v>
      </c>
      <c r="AL521" s="3">
        <v>8</v>
      </c>
      <c r="AM521" s="3">
        <v>17</v>
      </c>
      <c r="AN521" s="3">
        <v>3</v>
      </c>
      <c r="AO521" s="3">
        <v>7</v>
      </c>
      <c r="AP521" s="3">
        <v>1</v>
      </c>
      <c r="AQ521" s="3">
        <v>1</v>
      </c>
      <c r="AR521" s="2" t="s">
        <v>8</v>
      </c>
      <c r="AS521" s="2" t="s">
        <v>6</v>
      </c>
      <c r="AT521" s="5" t="str">
        <f>HYPERLINK("http://catalog.hathitrust.org/Record/004492549","HathiTrust Record")</f>
        <v>HathiTrust Record</v>
      </c>
      <c r="AU521" s="5" t="str">
        <f>HYPERLINK("https://creighton-primo.hosted.exlibrisgroup.com/primo-explore/search?tab=default_tab&amp;search_scope=EVERYTHING&amp;vid=01CRU&amp;lang=en_US&amp;offset=0&amp;query=any,contains,991001324569702656","Catalog Record")</f>
        <v>Catalog Record</v>
      </c>
      <c r="AV521" s="5" t="str">
        <f>HYPERLINK("http://www.worldcat.org/oclc/6864735","WorldCat Record")</f>
        <v>WorldCat Record</v>
      </c>
      <c r="AW521" s="2" t="s">
        <v>6695</v>
      </c>
      <c r="AX521" s="2" t="s">
        <v>6696</v>
      </c>
      <c r="AY521" s="2" t="s">
        <v>6697</v>
      </c>
      <c r="AZ521" s="2" t="s">
        <v>6697</v>
      </c>
      <c r="BA521" s="2" t="s">
        <v>6698</v>
      </c>
      <c r="BB521" s="2" t="s">
        <v>21</v>
      </c>
      <c r="BD521" s="2" t="s">
        <v>6699</v>
      </c>
      <c r="BE521" s="2" t="s">
        <v>6700</v>
      </c>
      <c r="BF521" s="2" t="s">
        <v>6701</v>
      </c>
    </row>
    <row r="522" spans="1:58" ht="42.75" customHeight="1" x14ac:dyDescent="0.25">
      <c r="A522" s="8" t="s">
        <v>8</v>
      </c>
      <c r="B522" s="1" t="s">
        <v>0</v>
      </c>
      <c r="C522" s="1" t="s">
        <v>1</v>
      </c>
      <c r="D522" s="1" t="s">
        <v>6702</v>
      </c>
      <c r="E522" s="1" t="s">
        <v>6703</v>
      </c>
      <c r="F522" s="1" t="s">
        <v>6704</v>
      </c>
      <c r="H522" s="2" t="s">
        <v>8</v>
      </c>
      <c r="I522" s="2" t="s">
        <v>7</v>
      </c>
      <c r="J522" s="2" t="s">
        <v>8</v>
      </c>
      <c r="K522" s="2" t="s">
        <v>6</v>
      </c>
      <c r="L522" s="2" t="s">
        <v>9</v>
      </c>
      <c r="M522" s="1" t="s">
        <v>3460</v>
      </c>
      <c r="N522" s="1" t="s">
        <v>6705</v>
      </c>
      <c r="O522" s="2" t="s">
        <v>410</v>
      </c>
      <c r="P522" s="1" t="s">
        <v>83</v>
      </c>
      <c r="Q522" s="2" t="s">
        <v>12</v>
      </c>
      <c r="R522" s="2" t="s">
        <v>456</v>
      </c>
      <c r="T522" s="2" t="s">
        <v>14</v>
      </c>
      <c r="U522" s="3">
        <v>80</v>
      </c>
      <c r="V522" s="3">
        <v>80</v>
      </c>
      <c r="W522" s="4" t="s">
        <v>6706</v>
      </c>
      <c r="X522" s="4" t="s">
        <v>6706</v>
      </c>
      <c r="Y522" s="4" t="s">
        <v>6707</v>
      </c>
      <c r="Z522" s="4" t="s">
        <v>6707</v>
      </c>
      <c r="AA522" s="3">
        <v>394</v>
      </c>
      <c r="AB522" s="3">
        <v>306</v>
      </c>
      <c r="AC522" s="3">
        <v>986</v>
      </c>
      <c r="AD522" s="3">
        <v>3</v>
      </c>
      <c r="AE522" s="3">
        <v>9</v>
      </c>
      <c r="AF522" s="3">
        <v>9</v>
      </c>
      <c r="AG522" s="3">
        <v>39</v>
      </c>
      <c r="AH522" s="3">
        <v>4</v>
      </c>
      <c r="AI522" s="3">
        <v>15</v>
      </c>
      <c r="AJ522" s="3">
        <v>2</v>
      </c>
      <c r="AK522" s="3">
        <v>6</v>
      </c>
      <c r="AL522" s="3">
        <v>5</v>
      </c>
      <c r="AM522" s="3">
        <v>17</v>
      </c>
      <c r="AN522" s="3">
        <v>1</v>
      </c>
      <c r="AO522" s="3">
        <v>7</v>
      </c>
      <c r="AP522" s="3">
        <v>0</v>
      </c>
      <c r="AQ522" s="3">
        <v>1</v>
      </c>
      <c r="AR522" s="2" t="s">
        <v>8</v>
      </c>
      <c r="AS522" s="2" t="s">
        <v>6</v>
      </c>
      <c r="AT522" s="5" t="str">
        <f>HYPERLINK("http://catalog.hathitrust.org/Record/002783807","HathiTrust Record")</f>
        <v>HathiTrust Record</v>
      </c>
      <c r="AU522" s="5" t="str">
        <f>HYPERLINK("https://creighton-primo.hosted.exlibrisgroup.com/primo-explore/search?tab=default_tab&amp;search_scope=EVERYTHING&amp;vid=01CRU&amp;lang=en_US&amp;offset=0&amp;query=any,contains,991000684149702656","Catalog Record")</f>
        <v>Catalog Record</v>
      </c>
      <c r="AV522" s="5" t="str">
        <f>HYPERLINK("http://www.worldcat.org/oclc/26552510","WorldCat Record")</f>
        <v>WorldCat Record</v>
      </c>
      <c r="AW522" s="2" t="s">
        <v>6695</v>
      </c>
      <c r="AX522" s="2" t="s">
        <v>6708</v>
      </c>
      <c r="AY522" s="2" t="s">
        <v>6709</v>
      </c>
      <c r="AZ522" s="2" t="s">
        <v>6709</v>
      </c>
      <c r="BA522" s="2" t="s">
        <v>6710</v>
      </c>
      <c r="BB522" s="2" t="s">
        <v>21</v>
      </c>
      <c r="BD522" s="2" t="s">
        <v>6711</v>
      </c>
      <c r="BE522" s="2" t="s">
        <v>6712</v>
      </c>
      <c r="BF522" s="2" t="s">
        <v>6713</v>
      </c>
    </row>
    <row r="523" spans="1:58" ht="42.75" customHeight="1" x14ac:dyDescent="0.25">
      <c r="A523" s="8" t="s">
        <v>8</v>
      </c>
      <c r="B523" s="1" t="s">
        <v>0</v>
      </c>
      <c r="C523" s="1" t="s">
        <v>1</v>
      </c>
      <c r="D523" s="1" t="s">
        <v>6714</v>
      </c>
      <c r="E523" s="1" t="s">
        <v>6715</v>
      </c>
      <c r="F523" s="1" t="s">
        <v>6704</v>
      </c>
      <c r="H523" s="2" t="s">
        <v>8</v>
      </c>
      <c r="I523" s="2" t="s">
        <v>7</v>
      </c>
      <c r="J523" s="2" t="s">
        <v>8</v>
      </c>
      <c r="K523" s="2" t="s">
        <v>6</v>
      </c>
      <c r="L523" s="2" t="s">
        <v>9</v>
      </c>
      <c r="M523" s="1" t="s">
        <v>3460</v>
      </c>
      <c r="N523" s="1" t="s">
        <v>6716</v>
      </c>
      <c r="O523" s="2" t="s">
        <v>814</v>
      </c>
      <c r="P523" s="1" t="s">
        <v>732</v>
      </c>
      <c r="Q523" s="2" t="s">
        <v>12</v>
      </c>
      <c r="R523" s="2" t="s">
        <v>456</v>
      </c>
      <c r="T523" s="2" t="s">
        <v>14</v>
      </c>
      <c r="U523" s="3">
        <v>173</v>
      </c>
      <c r="V523" s="3">
        <v>173</v>
      </c>
      <c r="W523" s="4" t="s">
        <v>6717</v>
      </c>
      <c r="X523" s="4" t="s">
        <v>6717</v>
      </c>
      <c r="Y523" s="4" t="s">
        <v>6718</v>
      </c>
      <c r="Z523" s="4" t="s">
        <v>6718</v>
      </c>
      <c r="AA523" s="3">
        <v>318</v>
      </c>
      <c r="AB523" s="3">
        <v>260</v>
      </c>
      <c r="AC523" s="3">
        <v>986</v>
      </c>
      <c r="AD523" s="3">
        <v>2</v>
      </c>
      <c r="AE523" s="3">
        <v>9</v>
      </c>
      <c r="AF523" s="3">
        <v>8</v>
      </c>
      <c r="AG523" s="3">
        <v>39</v>
      </c>
      <c r="AH523" s="3">
        <v>2</v>
      </c>
      <c r="AI523" s="3">
        <v>15</v>
      </c>
      <c r="AJ523" s="3">
        <v>3</v>
      </c>
      <c r="AK523" s="3">
        <v>6</v>
      </c>
      <c r="AL523" s="3">
        <v>3</v>
      </c>
      <c r="AM523" s="3">
        <v>17</v>
      </c>
      <c r="AN523" s="3">
        <v>1</v>
      </c>
      <c r="AO523" s="3">
        <v>7</v>
      </c>
      <c r="AP523" s="3">
        <v>0</v>
      </c>
      <c r="AQ523" s="3">
        <v>1</v>
      </c>
      <c r="AR523" s="2" t="s">
        <v>8</v>
      </c>
      <c r="AS523" s="2" t="s">
        <v>6</v>
      </c>
      <c r="AT523" s="5" t="str">
        <f>HYPERLINK("http://catalog.hathitrust.org/Record/004013385","HathiTrust Record")</f>
        <v>HathiTrust Record</v>
      </c>
      <c r="AU523" s="5" t="str">
        <f>HYPERLINK("https://creighton-primo.hosted.exlibrisgroup.com/primo-explore/search?tab=default_tab&amp;search_scope=EVERYTHING&amp;vid=01CRU&amp;lang=en_US&amp;offset=0&amp;query=any,contains,991001532019702656","Catalog Record")</f>
        <v>Catalog Record</v>
      </c>
      <c r="AV523" s="5" t="str">
        <f>HYPERLINK("http://www.worldcat.org/oclc/39857637","WorldCat Record")</f>
        <v>WorldCat Record</v>
      </c>
      <c r="AW523" s="2" t="s">
        <v>6695</v>
      </c>
      <c r="AX523" s="2" t="s">
        <v>6719</v>
      </c>
      <c r="AY523" s="2" t="s">
        <v>6720</v>
      </c>
      <c r="AZ523" s="2" t="s">
        <v>6720</v>
      </c>
      <c r="BA523" s="2" t="s">
        <v>6721</v>
      </c>
      <c r="BB523" s="2" t="s">
        <v>21</v>
      </c>
      <c r="BD523" s="2" t="s">
        <v>6722</v>
      </c>
      <c r="BE523" s="2" t="s">
        <v>6723</v>
      </c>
      <c r="BF523" s="2" t="s">
        <v>6724</v>
      </c>
    </row>
    <row r="524" spans="1:58" ht="42.75" customHeight="1" x14ac:dyDescent="0.25">
      <c r="A524" s="8" t="s">
        <v>8</v>
      </c>
      <c r="B524" s="1" t="s">
        <v>0</v>
      </c>
      <c r="C524" s="1" t="s">
        <v>1</v>
      </c>
      <c r="D524" s="1" t="s">
        <v>6725</v>
      </c>
      <c r="E524" s="1" t="s">
        <v>6726</v>
      </c>
      <c r="F524" s="1" t="s">
        <v>6727</v>
      </c>
      <c r="H524" s="2" t="s">
        <v>8</v>
      </c>
      <c r="I524" s="2" t="s">
        <v>7</v>
      </c>
      <c r="J524" s="2" t="s">
        <v>8</v>
      </c>
      <c r="K524" s="2" t="s">
        <v>8</v>
      </c>
      <c r="L524" s="2" t="s">
        <v>9</v>
      </c>
      <c r="Q524" s="2" t="s">
        <v>12</v>
      </c>
      <c r="R524" s="2" t="s">
        <v>13</v>
      </c>
      <c r="T524" s="2" t="s">
        <v>14</v>
      </c>
      <c r="U524" s="3">
        <v>4</v>
      </c>
      <c r="V524" s="3">
        <v>4</v>
      </c>
      <c r="W524" s="4" t="s">
        <v>6728</v>
      </c>
      <c r="X524" s="4" t="s">
        <v>6728</v>
      </c>
      <c r="Y524" s="4" t="s">
        <v>4443</v>
      </c>
      <c r="Z524" s="4" t="s">
        <v>4443</v>
      </c>
      <c r="AA524" s="3">
        <v>1</v>
      </c>
      <c r="AB524" s="3">
        <v>1</v>
      </c>
      <c r="AC524" s="3">
        <v>1</v>
      </c>
      <c r="AD524" s="3">
        <v>1</v>
      </c>
      <c r="AE524" s="3">
        <v>1</v>
      </c>
      <c r="AF524" s="3">
        <v>0</v>
      </c>
      <c r="AG524" s="3">
        <v>0</v>
      </c>
      <c r="AH524" s="3">
        <v>0</v>
      </c>
      <c r="AI524" s="3">
        <v>0</v>
      </c>
      <c r="AJ524" s="3">
        <v>0</v>
      </c>
      <c r="AK524" s="3">
        <v>0</v>
      </c>
      <c r="AL524" s="3">
        <v>0</v>
      </c>
      <c r="AM524" s="3">
        <v>0</v>
      </c>
      <c r="AN524" s="3">
        <v>0</v>
      </c>
      <c r="AO524" s="3">
        <v>0</v>
      </c>
      <c r="AP524" s="3">
        <v>0</v>
      </c>
      <c r="AQ524" s="3">
        <v>0</v>
      </c>
      <c r="AR524" s="2" t="s">
        <v>8</v>
      </c>
      <c r="AS524" s="2" t="s">
        <v>8</v>
      </c>
      <c r="AU524" s="5" t="str">
        <f>HYPERLINK("https://creighton-primo.hosted.exlibrisgroup.com/primo-explore/search?tab=default_tab&amp;search_scope=EVERYTHING&amp;vid=01CRU&amp;lang=en_US&amp;offset=0&amp;query=any,contains,991001126099702656","Catalog Record")</f>
        <v>Catalog Record</v>
      </c>
      <c r="AV524" s="5" t="str">
        <f>HYPERLINK("http://www.worldcat.org/oclc/5000850","WorldCat Record")</f>
        <v>WorldCat Record</v>
      </c>
      <c r="AW524" s="2" t="s">
        <v>6729</v>
      </c>
      <c r="AX524" s="2" t="s">
        <v>6730</v>
      </c>
      <c r="AY524" s="2" t="s">
        <v>6731</v>
      </c>
      <c r="AZ524" s="2" t="s">
        <v>6731</v>
      </c>
      <c r="BA524" s="2" t="s">
        <v>6732</v>
      </c>
      <c r="BB524" s="2" t="s">
        <v>21</v>
      </c>
      <c r="BE524" s="2" t="s">
        <v>6733</v>
      </c>
      <c r="BF524" s="2" t="s">
        <v>6734</v>
      </c>
    </row>
    <row r="525" spans="1:58" ht="42.75" customHeight="1" x14ac:dyDescent="0.25">
      <c r="A525" s="8" t="s">
        <v>8</v>
      </c>
      <c r="B525" s="1" t="s">
        <v>0</v>
      </c>
      <c r="C525" s="1" t="s">
        <v>1</v>
      </c>
      <c r="D525" s="1" t="s">
        <v>6735</v>
      </c>
      <c r="E525" s="1" t="s">
        <v>6736</v>
      </c>
      <c r="F525" s="1" t="s">
        <v>6737</v>
      </c>
      <c r="H525" s="2" t="s">
        <v>8</v>
      </c>
      <c r="I525" s="2" t="s">
        <v>7</v>
      </c>
      <c r="J525" s="2" t="s">
        <v>8</v>
      </c>
      <c r="K525" s="2" t="s">
        <v>8</v>
      </c>
      <c r="L525" s="2" t="s">
        <v>9</v>
      </c>
      <c r="M525" s="1" t="s">
        <v>6738</v>
      </c>
      <c r="N525" s="1" t="s">
        <v>6739</v>
      </c>
      <c r="O525" s="2" t="s">
        <v>2919</v>
      </c>
      <c r="Q525" s="2" t="s">
        <v>12</v>
      </c>
      <c r="R525" s="2" t="s">
        <v>1170</v>
      </c>
      <c r="S525" s="1" t="s">
        <v>6740</v>
      </c>
      <c r="T525" s="2" t="s">
        <v>14</v>
      </c>
      <c r="U525" s="3">
        <v>1</v>
      </c>
      <c r="V525" s="3">
        <v>1</v>
      </c>
      <c r="W525" s="4" t="s">
        <v>6741</v>
      </c>
      <c r="X525" s="4" t="s">
        <v>6741</v>
      </c>
      <c r="Y525" s="4" t="s">
        <v>4443</v>
      </c>
      <c r="Z525" s="4" t="s">
        <v>4443</v>
      </c>
      <c r="AA525" s="3">
        <v>74</v>
      </c>
      <c r="AB525" s="3">
        <v>65</v>
      </c>
      <c r="AC525" s="3">
        <v>70</v>
      </c>
      <c r="AD525" s="3">
        <v>1</v>
      </c>
      <c r="AE525" s="3">
        <v>1</v>
      </c>
      <c r="AF525" s="3">
        <v>1</v>
      </c>
      <c r="AG525" s="3">
        <v>1</v>
      </c>
      <c r="AH525" s="3">
        <v>0</v>
      </c>
      <c r="AI525" s="3">
        <v>0</v>
      </c>
      <c r="AJ525" s="3">
        <v>0</v>
      </c>
      <c r="AK525" s="3">
        <v>0</v>
      </c>
      <c r="AL525" s="3">
        <v>1</v>
      </c>
      <c r="AM525" s="3">
        <v>1</v>
      </c>
      <c r="AN525" s="3">
        <v>0</v>
      </c>
      <c r="AO525" s="3">
        <v>0</v>
      </c>
      <c r="AP525" s="3">
        <v>0</v>
      </c>
      <c r="AQ525" s="3">
        <v>0</v>
      </c>
      <c r="AR525" s="2" t="s">
        <v>8</v>
      </c>
      <c r="AS525" s="2" t="s">
        <v>8</v>
      </c>
      <c r="AU525" s="5" t="str">
        <f>HYPERLINK("https://creighton-primo.hosted.exlibrisgroup.com/primo-explore/search?tab=default_tab&amp;search_scope=EVERYTHING&amp;vid=01CRU&amp;lang=en_US&amp;offset=0&amp;query=any,contains,991001126019702656","Catalog Record")</f>
        <v>Catalog Record</v>
      </c>
      <c r="AV525" s="5" t="str">
        <f>HYPERLINK("http://www.worldcat.org/oclc/1507614","WorldCat Record")</f>
        <v>WorldCat Record</v>
      </c>
      <c r="AW525" s="2" t="s">
        <v>6742</v>
      </c>
      <c r="AX525" s="2" t="s">
        <v>6743</v>
      </c>
      <c r="AY525" s="2" t="s">
        <v>6744</v>
      </c>
      <c r="AZ525" s="2" t="s">
        <v>6744</v>
      </c>
      <c r="BA525" s="2" t="s">
        <v>6745</v>
      </c>
      <c r="BB525" s="2" t="s">
        <v>21</v>
      </c>
      <c r="BE525" s="2" t="s">
        <v>6746</v>
      </c>
      <c r="BF525" s="2" t="s">
        <v>6747</v>
      </c>
    </row>
    <row r="526" spans="1:58" ht="42.75" customHeight="1" x14ac:dyDescent="0.25">
      <c r="A526" s="8" t="s">
        <v>8</v>
      </c>
      <c r="B526" s="1" t="s">
        <v>0</v>
      </c>
      <c r="C526" s="1" t="s">
        <v>1</v>
      </c>
      <c r="D526" s="1" t="s">
        <v>6748</v>
      </c>
      <c r="E526" s="1" t="s">
        <v>6749</v>
      </c>
      <c r="F526" s="1" t="s">
        <v>6750</v>
      </c>
      <c r="H526" s="2" t="s">
        <v>8</v>
      </c>
      <c r="I526" s="2" t="s">
        <v>7</v>
      </c>
      <c r="J526" s="2" t="s">
        <v>8</v>
      </c>
      <c r="K526" s="2" t="s">
        <v>8</v>
      </c>
      <c r="L526" s="2" t="s">
        <v>9</v>
      </c>
      <c r="N526" s="1" t="s">
        <v>6751</v>
      </c>
      <c r="O526" s="2" t="s">
        <v>1327</v>
      </c>
      <c r="Q526" s="2" t="s">
        <v>12</v>
      </c>
      <c r="R526" s="2" t="s">
        <v>1002</v>
      </c>
      <c r="T526" s="2" t="s">
        <v>14</v>
      </c>
      <c r="U526" s="3">
        <v>4</v>
      </c>
      <c r="V526" s="3">
        <v>4</v>
      </c>
      <c r="W526" s="4" t="s">
        <v>6752</v>
      </c>
      <c r="X526" s="4" t="s">
        <v>6752</v>
      </c>
      <c r="Y526" s="4" t="s">
        <v>6753</v>
      </c>
      <c r="Z526" s="4" t="s">
        <v>6753</v>
      </c>
      <c r="AA526" s="3">
        <v>4</v>
      </c>
      <c r="AB526" s="3">
        <v>4</v>
      </c>
      <c r="AC526" s="3">
        <v>4</v>
      </c>
      <c r="AD526" s="3">
        <v>1</v>
      </c>
      <c r="AE526" s="3">
        <v>1</v>
      </c>
      <c r="AF526" s="3">
        <v>0</v>
      </c>
      <c r="AG526" s="3">
        <v>0</v>
      </c>
      <c r="AH526" s="3">
        <v>0</v>
      </c>
      <c r="AI526" s="3">
        <v>0</v>
      </c>
      <c r="AJ526" s="3">
        <v>0</v>
      </c>
      <c r="AK526" s="3">
        <v>0</v>
      </c>
      <c r="AL526" s="3">
        <v>0</v>
      </c>
      <c r="AM526" s="3">
        <v>0</v>
      </c>
      <c r="AN526" s="3">
        <v>0</v>
      </c>
      <c r="AO526" s="3">
        <v>0</v>
      </c>
      <c r="AP526" s="3">
        <v>0</v>
      </c>
      <c r="AQ526" s="3">
        <v>0</v>
      </c>
      <c r="AR526" s="2" t="s">
        <v>8</v>
      </c>
      <c r="AS526" s="2" t="s">
        <v>8</v>
      </c>
      <c r="AU526" s="5" t="str">
        <f>HYPERLINK("https://creighton-primo.hosted.exlibrisgroup.com/primo-explore/search?tab=default_tab&amp;search_scope=EVERYTHING&amp;vid=01CRU&amp;lang=en_US&amp;offset=0&amp;query=any,contains,991001375889702656","Catalog Record")</f>
        <v>Catalog Record</v>
      </c>
      <c r="AV526" s="5" t="str">
        <f>HYPERLINK("http://www.worldcat.org/oclc/24430701","WorldCat Record")</f>
        <v>WorldCat Record</v>
      </c>
      <c r="AW526" s="2" t="s">
        <v>6754</v>
      </c>
      <c r="AX526" s="2" t="s">
        <v>6755</v>
      </c>
      <c r="AY526" s="2" t="s">
        <v>6756</v>
      </c>
      <c r="AZ526" s="2" t="s">
        <v>6756</v>
      </c>
      <c r="BA526" s="2" t="s">
        <v>6757</v>
      </c>
      <c r="BB526" s="2" t="s">
        <v>21</v>
      </c>
      <c r="BE526" s="2" t="s">
        <v>6758</v>
      </c>
      <c r="BF526" s="2" t="s">
        <v>6759</v>
      </c>
    </row>
    <row r="527" spans="1:58" ht="42.75" customHeight="1" x14ac:dyDescent="0.25">
      <c r="A527" s="8" t="s">
        <v>8</v>
      </c>
      <c r="B527" s="1" t="s">
        <v>0</v>
      </c>
      <c r="C527" s="1" t="s">
        <v>1</v>
      </c>
      <c r="D527" s="1" t="s">
        <v>6760</v>
      </c>
      <c r="E527" s="1" t="s">
        <v>6761</v>
      </c>
      <c r="F527" s="1" t="s">
        <v>6762</v>
      </c>
      <c r="H527" s="2" t="s">
        <v>8</v>
      </c>
      <c r="I527" s="2" t="s">
        <v>7</v>
      </c>
      <c r="J527" s="2" t="s">
        <v>8</v>
      </c>
      <c r="K527" s="2" t="s">
        <v>8</v>
      </c>
      <c r="L527" s="2" t="s">
        <v>9</v>
      </c>
      <c r="M527" s="1" t="s">
        <v>6763</v>
      </c>
      <c r="N527" s="1" t="s">
        <v>6764</v>
      </c>
      <c r="O527" s="2" t="s">
        <v>1327</v>
      </c>
      <c r="Q527" s="2" t="s">
        <v>12</v>
      </c>
      <c r="R527" s="2" t="s">
        <v>643</v>
      </c>
      <c r="T527" s="2" t="s">
        <v>14</v>
      </c>
      <c r="U527" s="3">
        <v>16</v>
      </c>
      <c r="V527" s="3">
        <v>16</v>
      </c>
      <c r="W527" s="4" t="s">
        <v>6765</v>
      </c>
      <c r="X527" s="4" t="s">
        <v>6765</v>
      </c>
      <c r="Y527" s="4" t="s">
        <v>4443</v>
      </c>
      <c r="Z527" s="4" t="s">
        <v>4443</v>
      </c>
      <c r="AA527" s="3">
        <v>571</v>
      </c>
      <c r="AB527" s="3">
        <v>476</v>
      </c>
      <c r="AC527" s="3">
        <v>479</v>
      </c>
      <c r="AD527" s="3">
        <v>5</v>
      </c>
      <c r="AE527" s="3">
        <v>5</v>
      </c>
      <c r="AF527" s="3">
        <v>22</v>
      </c>
      <c r="AG527" s="3">
        <v>22</v>
      </c>
      <c r="AH527" s="3">
        <v>5</v>
      </c>
      <c r="AI527" s="3">
        <v>5</v>
      </c>
      <c r="AJ527" s="3">
        <v>6</v>
      </c>
      <c r="AK527" s="3">
        <v>6</v>
      </c>
      <c r="AL527" s="3">
        <v>11</v>
      </c>
      <c r="AM527" s="3">
        <v>11</v>
      </c>
      <c r="AN527" s="3">
        <v>4</v>
      </c>
      <c r="AO527" s="3">
        <v>4</v>
      </c>
      <c r="AP527" s="3">
        <v>0</v>
      </c>
      <c r="AQ527" s="3">
        <v>0</v>
      </c>
      <c r="AR527" s="2" t="s">
        <v>8</v>
      </c>
      <c r="AS527" s="2" t="s">
        <v>6</v>
      </c>
      <c r="AT527" s="5" t="str">
        <f>HYPERLINK("http://catalog.hathitrust.org/Record/000441705","HathiTrust Record")</f>
        <v>HathiTrust Record</v>
      </c>
      <c r="AU527" s="5" t="str">
        <f>HYPERLINK("https://creighton-primo.hosted.exlibrisgroup.com/primo-explore/search?tab=default_tab&amp;search_scope=EVERYTHING&amp;vid=01CRU&amp;lang=en_US&amp;offset=0&amp;query=any,contains,991001125979702656","Catalog Record")</f>
        <v>Catalog Record</v>
      </c>
      <c r="AV527" s="5" t="str">
        <f>HYPERLINK("http://www.worldcat.org/oclc/14166169","WorldCat Record")</f>
        <v>WorldCat Record</v>
      </c>
      <c r="AW527" s="2" t="s">
        <v>6766</v>
      </c>
      <c r="AX527" s="2" t="s">
        <v>6767</v>
      </c>
      <c r="AY527" s="2" t="s">
        <v>6768</v>
      </c>
      <c r="AZ527" s="2" t="s">
        <v>6768</v>
      </c>
      <c r="BA527" s="2" t="s">
        <v>6769</v>
      </c>
      <c r="BB527" s="2" t="s">
        <v>21</v>
      </c>
      <c r="BD527" s="2" t="s">
        <v>6770</v>
      </c>
      <c r="BE527" s="2" t="s">
        <v>6771</v>
      </c>
      <c r="BF527" s="2" t="s">
        <v>6772</v>
      </c>
    </row>
    <row r="528" spans="1:58" ht="42.75" customHeight="1" x14ac:dyDescent="0.25">
      <c r="A528" s="8" t="s">
        <v>8</v>
      </c>
      <c r="B528" s="1" t="s">
        <v>0</v>
      </c>
      <c r="C528" s="1" t="s">
        <v>1</v>
      </c>
      <c r="D528" s="1" t="s">
        <v>6773</v>
      </c>
      <c r="E528" s="1" t="s">
        <v>6774</v>
      </c>
      <c r="F528" s="1" t="s">
        <v>6775</v>
      </c>
      <c r="H528" s="2" t="s">
        <v>8</v>
      </c>
      <c r="I528" s="2" t="s">
        <v>7</v>
      </c>
      <c r="J528" s="2" t="s">
        <v>8</v>
      </c>
      <c r="K528" s="2" t="s">
        <v>8</v>
      </c>
      <c r="L528" s="2" t="s">
        <v>9</v>
      </c>
      <c r="M528" s="1" t="s">
        <v>6776</v>
      </c>
      <c r="N528" s="1" t="s">
        <v>6777</v>
      </c>
      <c r="O528" s="2" t="s">
        <v>67</v>
      </c>
      <c r="Q528" s="2" t="s">
        <v>12</v>
      </c>
      <c r="R528" s="2" t="s">
        <v>34</v>
      </c>
      <c r="S528" s="1" t="s">
        <v>6778</v>
      </c>
      <c r="T528" s="2" t="s">
        <v>14</v>
      </c>
      <c r="U528" s="3">
        <v>4</v>
      </c>
      <c r="V528" s="3">
        <v>4</v>
      </c>
      <c r="W528" s="4" t="s">
        <v>6779</v>
      </c>
      <c r="X528" s="4" t="s">
        <v>6779</v>
      </c>
      <c r="Y528" s="4" t="s">
        <v>6780</v>
      </c>
      <c r="Z528" s="4" t="s">
        <v>6780</v>
      </c>
      <c r="AA528" s="3">
        <v>3</v>
      </c>
      <c r="AB528" s="3">
        <v>3</v>
      </c>
      <c r="AC528" s="3">
        <v>9</v>
      </c>
      <c r="AD528" s="3">
        <v>1</v>
      </c>
      <c r="AE528" s="3">
        <v>1</v>
      </c>
      <c r="AF528" s="3">
        <v>0</v>
      </c>
      <c r="AG528" s="3">
        <v>0</v>
      </c>
      <c r="AH528" s="3">
        <v>0</v>
      </c>
      <c r="AI528" s="3">
        <v>0</v>
      </c>
      <c r="AJ528" s="3">
        <v>0</v>
      </c>
      <c r="AK528" s="3">
        <v>0</v>
      </c>
      <c r="AL528" s="3">
        <v>0</v>
      </c>
      <c r="AM528" s="3">
        <v>0</v>
      </c>
      <c r="AN528" s="3">
        <v>0</v>
      </c>
      <c r="AO528" s="3">
        <v>0</v>
      </c>
      <c r="AP528" s="3">
        <v>0</v>
      </c>
      <c r="AQ528" s="3">
        <v>0</v>
      </c>
      <c r="AR528" s="2" t="s">
        <v>8</v>
      </c>
      <c r="AS528" s="2" t="s">
        <v>8</v>
      </c>
      <c r="AU528" s="5" t="str">
        <f>HYPERLINK("https://creighton-primo.hosted.exlibrisgroup.com/primo-explore/search?tab=default_tab&amp;search_scope=EVERYTHING&amp;vid=01CRU&amp;lang=en_US&amp;offset=0&amp;query=any,contains,991000764639702656","Catalog Record")</f>
        <v>Catalog Record</v>
      </c>
      <c r="AV528" s="5" t="str">
        <f>HYPERLINK("http://www.worldcat.org/oclc/16396984","WorldCat Record")</f>
        <v>WorldCat Record</v>
      </c>
      <c r="AW528" s="2" t="s">
        <v>6781</v>
      </c>
      <c r="AX528" s="2" t="s">
        <v>6782</v>
      </c>
      <c r="AY528" s="2" t="s">
        <v>6783</v>
      </c>
      <c r="AZ528" s="2" t="s">
        <v>6783</v>
      </c>
      <c r="BA528" s="2" t="s">
        <v>6784</v>
      </c>
      <c r="BB528" s="2" t="s">
        <v>21</v>
      </c>
      <c r="BE528" s="2" t="s">
        <v>6785</v>
      </c>
      <c r="BF528" s="2" t="s">
        <v>6786</v>
      </c>
    </row>
    <row r="529" spans="1:58" ht="42.75" customHeight="1" x14ac:dyDescent="0.25">
      <c r="A529" s="8" t="s">
        <v>8</v>
      </c>
      <c r="B529" s="1" t="s">
        <v>0</v>
      </c>
      <c r="C529" s="1" t="s">
        <v>1</v>
      </c>
      <c r="D529" s="1" t="s">
        <v>6787</v>
      </c>
      <c r="E529" s="1" t="s">
        <v>6788</v>
      </c>
      <c r="F529" s="1" t="s">
        <v>6789</v>
      </c>
      <c r="H529" s="2" t="s">
        <v>8</v>
      </c>
      <c r="I529" s="2" t="s">
        <v>7</v>
      </c>
      <c r="J529" s="2" t="s">
        <v>8</v>
      </c>
      <c r="K529" s="2" t="s">
        <v>8</v>
      </c>
      <c r="L529" s="2" t="s">
        <v>9</v>
      </c>
      <c r="M529" s="1" t="s">
        <v>6790</v>
      </c>
      <c r="N529" s="1" t="s">
        <v>6791</v>
      </c>
      <c r="O529" s="2" t="s">
        <v>252</v>
      </c>
      <c r="Q529" s="2" t="s">
        <v>12</v>
      </c>
      <c r="R529" s="2" t="s">
        <v>13</v>
      </c>
      <c r="S529" s="1" t="s">
        <v>6792</v>
      </c>
      <c r="T529" s="2" t="s">
        <v>14</v>
      </c>
      <c r="U529" s="3">
        <v>12</v>
      </c>
      <c r="V529" s="3">
        <v>12</v>
      </c>
      <c r="W529" s="4" t="s">
        <v>6793</v>
      </c>
      <c r="X529" s="4" t="s">
        <v>6793</v>
      </c>
      <c r="Y529" s="4" t="s">
        <v>5412</v>
      </c>
      <c r="Z529" s="4" t="s">
        <v>5412</v>
      </c>
      <c r="AA529" s="3">
        <v>247</v>
      </c>
      <c r="AB529" s="3">
        <v>217</v>
      </c>
      <c r="AC529" s="3">
        <v>257</v>
      </c>
      <c r="AD529" s="3">
        <v>3</v>
      </c>
      <c r="AE529" s="3">
        <v>3</v>
      </c>
      <c r="AF529" s="3">
        <v>19</v>
      </c>
      <c r="AG529" s="3">
        <v>25</v>
      </c>
      <c r="AH529" s="3">
        <v>1</v>
      </c>
      <c r="AI529" s="3">
        <v>1</v>
      </c>
      <c r="AJ529" s="3">
        <v>1</v>
      </c>
      <c r="AK529" s="3">
        <v>4</v>
      </c>
      <c r="AL529" s="3">
        <v>1</v>
      </c>
      <c r="AM529" s="3">
        <v>3</v>
      </c>
      <c r="AN529" s="3">
        <v>1</v>
      </c>
      <c r="AO529" s="3">
        <v>1</v>
      </c>
      <c r="AP529" s="3">
        <v>16</v>
      </c>
      <c r="AQ529" s="3">
        <v>19</v>
      </c>
      <c r="AR529" s="2" t="s">
        <v>8</v>
      </c>
      <c r="AS529" s="2" t="s">
        <v>6</v>
      </c>
      <c r="AT529" s="5" t="str">
        <f>HYPERLINK("http://catalog.hathitrust.org/Record/000311760","HathiTrust Record")</f>
        <v>HathiTrust Record</v>
      </c>
      <c r="AU529" s="5" t="str">
        <f>HYPERLINK("https://creighton-primo.hosted.exlibrisgroup.com/primo-explore/search?tab=default_tab&amp;search_scope=EVERYTHING&amp;vid=01CRU&amp;lang=en_US&amp;offset=0&amp;query=any,contains,991001126039702656","Catalog Record")</f>
        <v>Catalog Record</v>
      </c>
      <c r="AV529" s="5" t="str">
        <f>HYPERLINK("http://www.worldcat.org/oclc/8231136","WorldCat Record")</f>
        <v>WorldCat Record</v>
      </c>
      <c r="AW529" s="2" t="s">
        <v>6794</v>
      </c>
      <c r="AX529" s="2" t="s">
        <v>6795</v>
      </c>
      <c r="AY529" s="2" t="s">
        <v>6796</v>
      </c>
      <c r="AZ529" s="2" t="s">
        <v>6796</v>
      </c>
      <c r="BA529" s="2" t="s">
        <v>6797</v>
      </c>
      <c r="BB529" s="2" t="s">
        <v>21</v>
      </c>
      <c r="BD529" s="2" t="s">
        <v>6798</v>
      </c>
      <c r="BE529" s="2" t="s">
        <v>6799</v>
      </c>
      <c r="BF529" s="2" t="s">
        <v>6800</v>
      </c>
    </row>
    <row r="530" spans="1:58" ht="42.75" customHeight="1" x14ac:dyDescent="0.25">
      <c r="A530" s="8" t="s">
        <v>8</v>
      </c>
      <c r="B530" s="1" t="s">
        <v>0</v>
      </c>
      <c r="C530" s="1" t="s">
        <v>1</v>
      </c>
      <c r="D530" s="1" t="s">
        <v>6801</v>
      </c>
      <c r="E530" s="1" t="s">
        <v>6802</v>
      </c>
      <c r="F530" s="1" t="s">
        <v>6803</v>
      </c>
      <c r="H530" s="2" t="s">
        <v>8</v>
      </c>
      <c r="I530" s="2" t="s">
        <v>7</v>
      </c>
      <c r="J530" s="2" t="s">
        <v>8</v>
      </c>
      <c r="K530" s="2" t="s">
        <v>8</v>
      </c>
      <c r="L530" s="2" t="s">
        <v>9</v>
      </c>
      <c r="M530" s="1" t="s">
        <v>6804</v>
      </c>
      <c r="N530" s="1" t="s">
        <v>4007</v>
      </c>
      <c r="O530" s="2" t="s">
        <v>1060</v>
      </c>
      <c r="Q530" s="2" t="s">
        <v>12</v>
      </c>
      <c r="R530" s="2" t="s">
        <v>815</v>
      </c>
      <c r="T530" s="2" t="s">
        <v>14</v>
      </c>
      <c r="U530" s="3">
        <v>8</v>
      </c>
      <c r="V530" s="3">
        <v>8</v>
      </c>
      <c r="W530" s="4" t="s">
        <v>6793</v>
      </c>
      <c r="X530" s="4" t="s">
        <v>6793</v>
      </c>
      <c r="Y530" s="4" t="s">
        <v>2172</v>
      </c>
      <c r="Z530" s="4" t="s">
        <v>2172</v>
      </c>
      <c r="AA530" s="3">
        <v>314</v>
      </c>
      <c r="AB530" s="3">
        <v>280</v>
      </c>
      <c r="AC530" s="3">
        <v>287</v>
      </c>
      <c r="AD530" s="3">
        <v>2</v>
      </c>
      <c r="AE530" s="3">
        <v>2</v>
      </c>
      <c r="AF530" s="3">
        <v>16</v>
      </c>
      <c r="AG530" s="3">
        <v>16</v>
      </c>
      <c r="AH530" s="3">
        <v>3</v>
      </c>
      <c r="AI530" s="3">
        <v>3</v>
      </c>
      <c r="AJ530" s="3">
        <v>4</v>
      </c>
      <c r="AK530" s="3">
        <v>4</v>
      </c>
      <c r="AL530" s="3">
        <v>6</v>
      </c>
      <c r="AM530" s="3">
        <v>6</v>
      </c>
      <c r="AN530" s="3">
        <v>1</v>
      </c>
      <c r="AO530" s="3">
        <v>1</v>
      </c>
      <c r="AP530" s="3">
        <v>5</v>
      </c>
      <c r="AQ530" s="3">
        <v>5</v>
      </c>
      <c r="AR530" s="2" t="s">
        <v>8</v>
      </c>
      <c r="AS530" s="2" t="s">
        <v>6</v>
      </c>
      <c r="AT530" s="5" t="str">
        <f>HYPERLINK("http://catalog.hathitrust.org/Record/003076126","HathiTrust Record")</f>
        <v>HathiTrust Record</v>
      </c>
      <c r="AU530" s="5" t="str">
        <f>HYPERLINK("https://creighton-primo.hosted.exlibrisgroup.com/primo-explore/search?tab=default_tab&amp;search_scope=EVERYTHING&amp;vid=01CRU&amp;lang=en_US&amp;offset=0&amp;query=any,contains,991001552839702656","Catalog Record")</f>
        <v>Catalog Record</v>
      </c>
      <c r="AV530" s="5" t="str">
        <f>HYPERLINK("http://www.worldcat.org/oclc/34323032","WorldCat Record")</f>
        <v>WorldCat Record</v>
      </c>
      <c r="AW530" s="2" t="s">
        <v>6805</v>
      </c>
      <c r="AX530" s="2" t="s">
        <v>6806</v>
      </c>
      <c r="AY530" s="2" t="s">
        <v>6807</v>
      </c>
      <c r="AZ530" s="2" t="s">
        <v>6807</v>
      </c>
      <c r="BA530" s="2" t="s">
        <v>6808</v>
      </c>
      <c r="BB530" s="2" t="s">
        <v>21</v>
      </c>
      <c r="BD530" s="2" t="s">
        <v>6809</v>
      </c>
      <c r="BE530" s="2" t="s">
        <v>6810</v>
      </c>
      <c r="BF530" s="2" t="s">
        <v>6811</v>
      </c>
    </row>
    <row r="531" spans="1:58" ht="42.75" customHeight="1" x14ac:dyDescent="0.25">
      <c r="A531" s="8" t="s">
        <v>8</v>
      </c>
      <c r="B531" s="1" t="s">
        <v>0</v>
      </c>
      <c r="C531" s="1" t="s">
        <v>1</v>
      </c>
      <c r="D531" s="1" t="s">
        <v>6812</v>
      </c>
      <c r="E531" s="1" t="s">
        <v>6813</v>
      </c>
      <c r="F531" s="1" t="s">
        <v>6814</v>
      </c>
      <c r="H531" s="2" t="s">
        <v>8</v>
      </c>
      <c r="I531" s="2" t="s">
        <v>7</v>
      </c>
      <c r="J531" s="2" t="s">
        <v>8</v>
      </c>
      <c r="K531" s="2" t="s">
        <v>8</v>
      </c>
      <c r="L531" s="2" t="s">
        <v>9</v>
      </c>
      <c r="N531" s="1" t="s">
        <v>6815</v>
      </c>
      <c r="O531" s="2" t="s">
        <v>642</v>
      </c>
      <c r="P531" s="1" t="s">
        <v>1225</v>
      </c>
      <c r="Q531" s="2" t="s">
        <v>12</v>
      </c>
      <c r="R531" s="2" t="s">
        <v>1211</v>
      </c>
      <c r="T531" s="2" t="s">
        <v>14</v>
      </c>
      <c r="U531" s="3">
        <v>5</v>
      </c>
      <c r="V531" s="3">
        <v>5</v>
      </c>
      <c r="W531" s="4" t="s">
        <v>6816</v>
      </c>
      <c r="X531" s="4" t="s">
        <v>6816</v>
      </c>
      <c r="Y531" s="4" t="s">
        <v>6817</v>
      </c>
      <c r="Z531" s="4" t="s">
        <v>6817</v>
      </c>
      <c r="AA531" s="3">
        <v>927</v>
      </c>
      <c r="AB531" s="3">
        <v>821</v>
      </c>
      <c r="AC531" s="3">
        <v>885</v>
      </c>
      <c r="AD531" s="3">
        <v>2</v>
      </c>
      <c r="AE531" s="3">
        <v>3</v>
      </c>
      <c r="AF531" s="3">
        <v>41</v>
      </c>
      <c r="AG531" s="3">
        <v>43</v>
      </c>
      <c r="AH531" s="3">
        <v>16</v>
      </c>
      <c r="AI531" s="3">
        <v>17</v>
      </c>
      <c r="AJ531" s="3">
        <v>7</v>
      </c>
      <c r="AK531" s="3">
        <v>7</v>
      </c>
      <c r="AL531" s="3">
        <v>16</v>
      </c>
      <c r="AM531" s="3">
        <v>16</v>
      </c>
      <c r="AN531" s="3">
        <v>1</v>
      </c>
      <c r="AO531" s="3">
        <v>2</v>
      </c>
      <c r="AP531" s="3">
        <v>8</v>
      </c>
      <c r="AQ531" s="3">
        <v>8</v>
      </c>
      <c r="AR531" s="2" t="s">
        <v>8</v>
      </c>
      <c r="AS531" s="2" t="s">
        <v>8</v>
      </c>
      <c r="AU531" s="5" t="str">
        <f>HYPERLINK("https://creighton-primo.hosted.exlibrisgroup.com/primo-explore/search?tab=default_tab&amp;search_scope=EVERYTHING&amp;vid=01CRU&amp;lang=en_US&amp;offset=0&amp;query=any,contains,991000380489702656","Catalog Record")</f>
        <v>Catalog Record</v>
      </c>
      <c r="AV531" s="5" t="str">
        <f>HYPERLINK("http://www.worldcat.org/oclc/54006533","WorldCat Record")</f>
        <v>WorldCat Record</v>
      </c>
      <c r="AW531" s="2" t="s">
        <v>6818</v>
      </c>
      <c r="AX531" s="2" t="s">
        <v>6819</v>
      </c>
      <c r="AY531" s="2" t="s">
        <v>6820</v>
      </c>
      <c r="AZ531" s="2" t="s">
        <v>6820</v>
      </c>
      <c r="BA531" s="2" t="s">
        <v>6821</v>
      </c>
      <c r="BB531" s="2" t="s">
        <v>21</v>
      </c>
      <c r="BD531" s="2" t="s">
        <v>6822</v>
      </c>
      <c r="BE531" s="2" t="s">
        <v>6823</v>
      </c>
      <c r="BF531" s="2" t="s">
        <v>6824</v>
      </c>
    </row>
    <row r="532" spans="1:58" ht="42.75" customHeight="1" x14ac:dyDescent="0.25">
      <c r="A532" s="8" t="s">
        <v>8</v>
      </c>
      <c r="B532" s="1" t="s">
        <v>0</v>
      </c>
      <c r="C532" s="1" t="s">
        <v>1</v>
      </c>
      <c r="D532" s="1" t="s">
        <v>6825</v>
      </c>
      <c r="E532" s="1" t="s">
        <v>6826</v>
      </c>
      <c r="F532" s="1" t="s">
        <v>6827</v>
      </c>
      <c r="H532" s="2" t="s">
        <v>8</v>
      </c>
      <c r="I532" s="2" t="s">
        <v>7</v>
      </c>
      <c r="J532" s="2" t="s">
        <v>8</v>
      </c>
      <c r="K532" s="2" t="s">
        <v>8</v>
      </c>
      <c r="L532" s="2" t="s">
        <v>9</v>
      </c>
      <c r="M532" s="1" t="s">
        <v>6828</v>
      </c>
      <c r="N532" s="1" t="s">
        <v>6829</v>
      </c>
      <c r="O532" s="2" t="s">
        <v>602</v>
      </c>
      <c r="P532" s="1" t="s">
        <v>6830</v>
      </c>
      <c r="Q532" s="2" t="s">
        <v>12</v>
      </c>
      <c r="R532" s="2" t="s">
        <v>577</v>
      </c>
      <c r="T532" s="2" t="s">
        <v>14</v>
      </c>
      <c r="U532" s="3">
        <v>12</v>
      </c>
      <c r="V532" s="3">
        <v>12</v>
      </c>
      <c r="W532" s="4" t="s">
        <v>6831</v>
      </c>
      <c r="X532" s="4" t="s">
        <v>6831</v>
      </c>
      <c r="Y532" s="4" t="s">
        <v>6832</v>
      </c>
      <c r="Z532" s="4" t="s">
        <v>6832</v>
      </c>
      <c r="AA532" s="3">
        <v>139</v>
      </c>
      <c r="AB532" s="3">
        <v>114</v>
      </c>
      <c r="AC532" s="3">
        <v>233</v>
      </c>
      <c r="AD532" s="3">
        <v>1</v>
      </c>
      <c r="AE532" s="3">
        <v>1</v>
      </c>
      <c r="AF532" s="3">
        <v>8</v>
      </c>
      <c r="AG532" s="3">
        <v>13</v>
      </c>
      <c r="AH532" s="3">
        <v>1</v>
      </c>
      <c r="AI532" s="3">
        <v>3</v>
      </c>
      <c r="AJ532" s="3">
        <v>2</v>
      </c>
      <c r="AK532" s="3">
        <v>3</v>
      </c>
      <c r="AL532" s="3">
        <v>6</v>
      </c>
      <c r="AM532" s="3">
        <v>9</v>
      </c>
      <c r="AN532" s="3">
        <v>0</v>
      </c>
      <c r="AO532" s="3">
        <v>0</v>
      </c>
      <c r="AP532" s="3">
        <v>1</v>
      </c>
      <c r="AQ532" s="3">
        <v>2</v>
      </c>
      <c r="AR532" s="2" t="s">
        <v>8</v>
      </c>
      <c r="AS532" s="2" t="s">
        <v>6</v>
      </c>
      <c r="AT532" s="5" t="str">
        <f>HYPERLINK("http://catalog.hathitrust.org/Record/007047390","HathiTrust Record")</f>
        <v>HathiTrust Record</v>
      </c>
      <c r="AU532" s="5" t="str">
        <f>HYPERLINK("https://creighton-primo.hosted.exlibrisgroup.com/primo-explore/search?tab=default_tab&amp;search_scope=EVERYTHING&amp;vid=01CRU&amp;lang=en_US&amp;offset=0&amp;query=any,contains,991001348249702656","Catalog Record")</f>
        <v>Catalog Record</v>
      </c>
      <c r="AV532" s="5" t="str">
        <f>HYPERLINK("http://www.worldcat.org/oclc/24766624","WorldCat Record")</f>
        <v>WorldCat Record</v>
      </c>
      <c r="AW532" s="2" t="s">
        <v>6833</v>
      </c>
      <c r="AX532" s="2" t="s">
        <v>6834</v>
      </c>
      <c r="AY532" s="2" t="s">
        <v>6835</v>
      </c>
      <c r="AZ532" s="2" t="s">
        <v>6835</v>
      </c>
      <c r="BA532" s="2" t="s">
        <v>6836</v>
      </c>
      <c r="BB532" s="2" t="s">
        <v>21</v>
      </c>
      <c r="BD532" s="2" t="s">
        <v>6837</v>
      </c>
      <c r="BE532" s="2" t="s">
        <v>6838</v>
      </c>
      <c r="BF532" s="2" t="s">
        <v>6839</v>
      </c>
    </row>
    <row r="533" spans="1:58" ht="42.75" customHeight="1" x14ac:dyDescent="0.25">
      <c r="A533" s="8" t="s">
        <v>8</v>
      </c>
      <c r="B533" s="1" t="s">
        <v>0</v>
      </c>
      <c r="C533" s="1" t="s">
        <v>1</v>
      </c>
      <c r="D533" s="1" t="s">
        <v>6840</v>
      </c>
      <c r="E533" s="1" t="s">
        <v>6841</v>
      </c>
      <c r="F533" s="1" t="s">
        <v>6842</v>
      </c>
      <c r="H533" s="2" t="s">
        <v>8</v>
      </c>
      <c r="I533" s="2" t="s">
        <v>7</v>
      </c>
      <c r="J533" s="2" t="s">
        <v>8</v>
      </c>
      <c r="K533" s="2" t="s">
        <v>8</v>
      </c>
      <c r="L533" s="2" t="s">
        <v>9</v>
      </c>
      <c r="M533" s="1" t="s">
        <v>6843</v>
      </c>
      <c r="N533" s="1" t="s">
        <v>6844</v>
      </c>
      <c r="O533" s="2" t="s">
        <v>67</v>
      </c>
      <c r="Q533" s="2" t="s">
        <v>12</v>
      </c>
      <c r="R533" s="2" t="s">
        <v>774</v>
      </c>
      <c r="T533" s="2" t="s">
        <v>14</v>
      </c>
      <c r="U533" s="3">
        <v>3</v>
      </c>
      <c r="V533" s="3">
        <v>3</v>
      </c>
      <c r="W533" s="4" t="s">
        <v>6845</v>
      </c>
      <c r="X533" s="4" t="s">
        <v>6845</v>
      </c>
      <c r="Y533" s="4" t="s">
        <v>6846</v>
      </c>
      <c r="Z533" s="4" t="s">
        <v>6846</v>
      </c>
      <c r="AA533" s="3">
        <v>11</v>
      </c>
      <c r="AB533" s="3">
        <v>11</v>
      </c>
      <c r="AC533" s="3">
        <v>11</v>
      </c>
      <c r="AD533" s="3">
        <v>1</v>
      </c>
      <c r="AE533" s="3">
        <v>1</v>
      </c>
      <c r="AF533" s="3">
        <v>2</v>
      </c>
      <c r="AG533" s="3">
        <v>2</v>
      </c>
      <c r="AH533" s="3">
        <v>0</v>
      </c>
      <c r="AI533" s="3">
        <v>0</v>
      </c>
      <c r="AJ533" s="3">
        <v>0</v>
      </c>
      <c r="AK533" s="3">
        <v>0</v>
      </c>
      <c r="AL533" s="3">
        <v>1</v>
      </c>
      <c r="AM533" s="3">
        <v>1</v>
      </c>
      <c r="AN533" s="3">
        <v>0</v>
      </c>
      <c r="AO533" s="3">
        <v>0</v>
      </c>
      <c r="AP533" s="3">
        <v>1</v>
      </c>
      <c r="AQ533" s="3">
        <v>1</v>
      </c>
      <c r="AR533" s="2" t="s">
        <v>8</v>
      </c>
      <c r="AS533" s="2" t="s">
        <v>8</v>
      </c>
      <c r="AU533" s="5" t="str">
        <f>HYPERLINK("https://creighton-primo.hosted.exlibrisgroup.com/primo-explore/search?tab=default_tab&amp;search_scope=EVERYTHING&amp;vid=01CRU&amp;lang=en_US&amp;offset=0&amp;query=any,contains,991001185229702656","Catalog Record")</f>
        <v>Catalog Record</v>
      </c>
      <c r="AV533" s="5" t="str">
        <f>HYPERLINK("http://www.worldcat.org/oclc/12851136","WorldCat Record")</f>
        <v>WorldCat Record</v>
      </c>
      <c r="AW533" s="2" t="s">
        <v>6847</v>
      </c>
      <c r="AX533" s="2" t="s">
        <v>6848</v>
      </c>
      <c r="AY533" s="2" t="s">
        <v>6849</v>
      </c>
      <c r="AZ533" s="2" t="s">
        <v>6849</v>
      </c>
      <c r="BA533" s="2" t="s">
        <v>6850</v>
      </c>
      <c r="BB533" s="2" t="s">
        <v>21</v>
      </c>
      <c r="BD533" s="2" t="s">
        <v>6851</v>
      </c>
      <c r="BE533" s="2" t="s">
        <v>6852</v>
      </c>
      <c r="BF533" s="2" t="s">
        <v>6853</v>
      </c>
    </row>
    <row r="534" spans="1:58" ht="42.75" customHeight="1" x14ac:dyDescent="0.25">
      <c r="A534" s="8" t="s">
        <v>8</v>
      </c>
      <c r="B534" s="1" t="s">
        <v>0</v>
      </c>
      <c r="C534" s="1" t="s">
        <v>1</v>
      </c>
      <c r="D534" s="1" t="s">
        <v>6854</v>
      </c>
      <c r="E534" s="1" t="s">
        <v>6855</v>
      </c>
      <c r="F534" s="1" t="s">
        <v>6856</v>
      </c>
      <c r="H534" s="2" t="s">
        <v>8</v>
      </c>
      <c r="I534" s="2" t="s">
        <v>7</v>
      </c>
      <c r="J534" s="2" t="s">
        <v>8</v>
      </c>
      <c r="K534" s="2" t="s">
        <v>8</v>
      </c>
      <c r="L534" s="2" t="s">
        <v>9</v>
      </c>
      <c r="M534" s="1" t="s">
        <v>6857</v>
      </c>
      <c r="N534" s="1" t="s">
        <v>6858</v>
      </c>
      <c r="O534" s="2" t="s">
        <v>252</v>
      </c>
      <c r="P534" s="1" t="s">
        <v>1225</v>
      </c>
      <c r="Q534" s="2" t="s">
        <v>12</v>
      </c>
      <c r="R534" s="2" t="s">
        <v>643</v>
      </c>
      <c r="S534" s="1" t="s">
        <v>6859</v>
      </c>
      <c r="T534" s="2" t="s">
        <v>14</v>
      </c>
      <c r="U534" s="3">
        <v>4</v>
      </c>
      <c r="V534" s="3">
        <v>4</v>
      </c>
      <c r="W534" s="4" t="s">
        <v>6860</v>
      </c>
      <c r="X534" s="4" t="s">
        <v>6860</v>
      </c>
      <c r="Y534" s="4" t="s">
        <v>4443</v>
      </c>
      <c r="Z534" s="4" t="s">
        <v>4443</v>
      </c>
      <c r="AA534" s="3">
        <v>277</v>
      </c>
      <c r="AB534" s="3">
        <v>214</v>
      </c>
      <c r="AC534" s="3">
        <v>263</v>
      </c>
      <c r="AD534" s="3">
        <v>1</v>
      </c>
      <c r="AE534" s="3">
        <v>2</v>
      </c>
      <c r="AF534" s="3">
        <v>12</v>
      </c>
      <c r="AG534" s="3">
        <v>16</v>
      </c>
      <c r="AH534" s="3">
        <v>4</v>
      </c>
      <c r="AI534" s="3">
        <v>6</v>
      </c>
      <c r="AJ534" s="3">
        <v>4</v>
      </c>
      <c r="AK534" s="3">
        <v>6</v>
      </c>
      <c r="AL534" s="3">
        <v>10</v>
      </c>
      <c r="AM534" s="3">
        <v>10</v>
      </c>
      <c r="AN534" s="3">
        <v>0</v>
      </c>
      <c r="AO534" s="3">
        <v>1</v>
      </c>
      <c r="AP534" s="3">
        <v>0</v>
      </c>
      <c r="AQ534" s="3">
        <v>0</v>
      </c>
      <c r="AR534" s="2" t="s">
        <v>8</v>
      </c>
      <c r="AS534" s="2" t="s">
        <v>6</v>
      </c>
      <c r="AT534" s="5" t="str">
        <f>HYPERLINK("http://catalog.hathitrust.org/Record/000129414","HathiTrust Record")</f>
        <v>HathiTrust Record</v>
      </c>
      <c r="AU534" s="5" t="str">
        <f>HYPERLINK("https://creighton-primo.hosted.exlibrisgroup.com/primo-explore/search?tab=default_tab&amp;search_scope=EVERYTHING&amp;vid=01CRU&amp;lang=en_US&amp;offset=0&amp;query=any,contains,991001125959702656","Catalog Record")</f>
        <v>Catalog Record</v>
      </c>
      <c r="AV534" s="5" t="str">
        <f>HYPERLINK("http://www.worldcat.org/oclc/6649731","WorldCat Record")</f>
        <v>WorldCat Record</v>
      </c>
      <c r="AW534" s="2" t="s">
        <v>6861</v>
      </c>
      <c r="AX534" s="2" t="s">
        <v>6862</v>
      </c>
      <c r="AY534" s="2" t="s">
        <v>6863</v>
      </c>
      <c r="AZ534" s="2" t="s">
        <v>6863</v>
      </c>
      <c r="BA534" s="2" t="s">
        <v>6864</v>
      </c>
      <c r="BB534" s="2" t="s">
        <v>21</v>
      </c>
      <c r="BD534" s="2" t="s">
        <v>6865</v>
      </c>
      <c r="BE534" s="2" t="s">
        <v>6866</v>
      </c>
      <c r="BF534" s="2" t="s">
        <v>6867</v>
      </c>
    </row>
    <row r="535" spans="1:58" ht="42.75" customHeight="1" x14ac:dyDescent="0.25">
      <c r="A535" s="8" t="s">
        <v>8</v>
      </c>
      <c r="B535" s="1" t="s">
        <v>0</v>
      </c>
      <c r="C535" s="1" t="s">
        <v>1</v>
      </c>
      <c r="D535" s="1" t="s">
        <v>6868</v>
      </c>
      <c r="E535" s="1" t="s">
        <v>6869</v>
      </c>
      <c r="F535" s="1" t="s">
        <v>6870</v>
      </c>
      <c r="H535" s="2" t="s">
        <v>8</v>
      </c>
      <c r="I535" s="2" t="s">
        <v>7</v>
      </c>
      <c r="J535" s="2" t="s">
        <v>8</v>
      </c>
      <c r="K535" s="2" t="s">
        <v>8</v>
      </c>
      <c r="L535" s="2" t="s">
        <v>9</v>
      </c>
      <c r="M535" s="1" t="s">
        <v>6871</v>
      </c>
      <c r="N535" s="1" t="s">
        <v>6872</v>
      </c>
      <c r="O535" s="2" t="s">
        <v>2919</v>
      </c>
      <c r="Q535" s="2" t="s">
        <v>12</v>
      </c>
      <c r="R535" s="2" t="s">
        <v>13</v>
      </c>
      <c r="T535" s="2" t="s">
        <v>14</v>
      </c>
      <c r="U535" s="3">
        <v>20</v>
      </c>
      <c r="V535" s="3">
        <v>20</v>
      </c>
      <c r="W535" s="4" t="s">
        <v>3098</v>
      </c>
      <c r="X535" s="4" t="s">
        <v>3098</v>
      </c>
      <c r="Y535" s="4" t="s">
        <v>4443</v>
      </c>
      <c r="Z535" s="4" t="s">
        <v>4443</v>
      </c>
      <c r="AA535" s="3">
        <v>737</v>
      </c>
      <c r="AB535" s="3">
        <v>676</v>
      </c>
      <c r="AC535" s="3">
        <v>1178</v>
      </c>
      <c r="AD535" s="3">
        <v>3</v>
      </c>
      <c r="AE535" s="3">
        <v>7</v>
      </c>
      <c r="AF535" s="3">
        <v>22</v>
      </c>
      <c r="AG535" s="3">
        <v>40</v>
      </c>
      <c r="AH535" s="3">
        <v>3</v>
      </c>
      <c r="AI535" s="3">
        <v>8</v>
      </c>
      <c r="AJ535" s="3">
        <v>3</v>
      </c>
      <c r="AK535" s="3">
        <v>5</v>
      </c>
      <c r="AL535" s="3">
        <v>10</v>
      </c>
      <c r="AM535" s="3">
        <v>14</v>
      </c>
      <c r="AN535" s="3">
        <v>2</v>
      </c>
      <c r="AO535" s="3">
        <v>4</v>
      </c>
      <c r="AP535" s="3">
        <v>7</v>
      </c>
      <c r="AQ535" s="3">
        <v>14</v>
      </c>
      <c r="AR535" s="2" t="s">
        <v>8</v>
      </c>
      <c r="AS535" s="2" t="s">
        <v>6</v>
      </c>
      <c r="AT535" s="5" t="str">
        <f>HYPERLINK("http://catalog.hathitrust.org/Record/000014573","HathiTrust Record")</f>
        <v>HathiTrust Record</v>
      </c>
      <c r="AU535" s="5" t="str">
        <f>HYPERLINK("https://creighton-primo.hosted.exlibrisgroup.com/primo-explore/search?tab=default_tab&amp;search_scope=EVERYTHING&amp;vid=01CRU&amp;lang=en_US&amp;offset=0&amp;query=any,contains,991001125939702656","Catalog Record")</f>
        <v>Catalog Record</v>
      </c>
      <c r="AV535" s="5" t="str">
        <f>HYPERLINK("http://www.worldcat.org/oclc/914909","WorldCat Record")</f>
        <v>WorldCat Record</v>
      </c>
      <c r="AW535" s="2" t="s">
        <v>6873</v>
      </c>
      <c r="AX535" s="2" t="s">
        <v>6874</v>
      </c>
      <c r="AY535" s="2" t="s">
        <v>6875</v>
      </c>
      <c r="AZ535" s="2" t="s">
        <v>6875</v>
      </c>
      <c r="BA535" s="2" t="s">
        <v>6876</v>
      </c>
      <c r="BB535" s="2" t="s">
        <v>21</v>
      </c>
      <c r="BD535" s="2" t="s">
        <v>6877</v>
      </c>
      <c r="BE535" s="2" t="s">
        <v>6878</v>
      </c>
      <c r="BF535" s="2" t="s">
        <v>6879</v>
      </c>
    </row>
    <row r="536" spans="1:58" ht="42.75" customHeight="1" x14ac:dyDescent="0.25">
      <c r="A536" s="8" t="s">
        <v>8</v>
      </c>
      <c r="B536" s="1" t="s">
        <v>0</v>
      </c>
      <c r="C536" s="1" t="s">
        <v>1</v>
      </c>
      <c r="D536" s="1" t="s">
        <v>6880</v>
      </c>
      <c r="E536" s="1" t="s">
        <v>6881</v>
      </c>
      <c r="F536" s="1" t="s">
        <v>6882</v>
      </c>
      <c r="H536" s="2" t="s">
        <v>8</v>
      </c>
      <c r="I536" s="2" t="s">
        <v>7</v>
      </c>
      <c r="J536" s="2" t="s">
        <v>8</v>
      </c>
      <c r="K536" s="2" t="s">
        <v>8</v>
      </c>
      <c r="L536" s="2" t="s">
        <v>9</v>
      </c>
      <c r="N536" s="1" t="s">
        <v>6883</v>
      </c>
      <c r="O536" s="2" t="s">
        <v>627</v>
      </c>
      <c r="Q536" s="2" t="s">
        <v>12</v>
      </c>
      <c r="R536" s="2" t="s">
        <v>815</v>
      </c>
      <c r="T536" s="2" t="s">
        <v>14</v>
      </c>
      <c r="U536" s="3">
        <v>2</v>
      </c>
      <c r="V536" s="3">
        <v>2</v>
      </c>
      <c r="W536" s="4" t="s">
        <v>6884</v>
      </c>
      <c r="X536" s="4" t="s">
        <v>6884</v>
      </c>
      <c r="Y536" s="4" t="s">
        <v>6885</v>
      </c>
      <c r="Z536" s="4" t="s">
        <v>6885</v>
      </c>
      <c r="AA536" s="3">
        <v>108</v>
      </c>
      <c r="AB536" s="3">
        <v>95</v>
      </c>
      <c r="AC536" s="3">
        <v>97</v>
      </c>
      <c r="AD536" s="3">
        <v>3</v>
      </c>
      <c r="AE536" s="3">
        <v>3</v>
      </c>
      <c r="AF536" s="3">
        <v>5</v>
      </c>
      <c r="AG536" s="3">
        <v>5</v>
      </c>
      <c r="AH536" s="3">
        <v>0</v>
      </c>
      <c r="AI536" s="3">
        <v>0</v>
      </c>
      <c r="AJ536" s="3">
        <v>1</v>
      </c>
      <c r="AK536" s="3">
        <v>1</v>
      </c>
      <c r="AL536" s="3">
        <v>2</v>
      </c>
      <c r="AM536" s="3">
        <v>2</v>
      </c>
      <c r="AN536" s="3">
        <v>2</v>
      </c>
      <c r="AO536" s="3">
        <v>2</v>
      </c>
      <c r="AP536" s="3">
        <v>1</v>
      </c>
      <c r="AQ536" s="3">
        <v>1</v>
      </c>
      <c r="AR536" s="2" t="s">
        <v>8</v>
      </c>
      <c r="AS536" s="2" t="s">
        <v>6</v>
      </c>
      <c r="AT536" s="5" t="str">
        <f>HYPERLINK("http://catalog.hathitrust.org/Record/001825230","HathiTrust Record")</f>
        <v>HathiTrust Record</v>
      </c>
      <c r="AU536" s="5" t="str">
        <f>HYPERLINK("https://creighton-primo.hosted.exlibrisgroup.com/primo-explore/search?tab=default_tab&amp;search_scope=EVERYTHING&amp;vid=01CRU&amp;lang=en_US&amp;offset=0&amp;query=any,contains,991001309769702656","Catalog Record")</f>
        <v>Catalog Record</v>
      </c>
      <c r="AV536" s="5" t="str">
        <f>HYPERLINK("http://www.worldcat.org/oclc/19526206","WorldCat Record")</f>
        <v>WorldCat Record</v>
      </c>
      <c r="AW536" s="2" t="s">
        <v>6886</v>
      </c>
      <c r="AX536" s="2" t="s">
        <v>6887</v>
      </c>
      <c r="AY536" s="2" t="s">
        <v>6888</v>
      </c>
      <c r="AZ536" s="2" t="s">
        <v>6888</v>
      </c>
      <c r="BA536" s="2" t="s">
        <v>6889</v>
      </c>
      <c r="BB536" s="2" t="s">
        <v>21</v>
      </c>
      <c r="BE536" s="2" t="s">
        <v>6890</v>
      </c>
      <c r="BF536" s="2" t="s">
        <v>6891</v>
      </c>
    </row>
    <row r="537" spans="1:58" ht="42.75" customHeight="1" x14ac:dyDescent="0.25">
      <c r="A537" s="8" t="s">
        <v>8</v>
      </c>
      <c r="B537" s="1" t="s">
        <v>0</v>
      </c>
      <c r="C537" s="1" t="s">
        <v>1</v>
      </c>
      <c r="D537" s="1" t="s">
        <v>6892</v>
      </c>
      <c r="E537" s="1" t="s">
        <v>6893</v>
      </c>
      <c r="F537" s="1" t="s">
        <v>6894</v>
      </c>
      <c r="H537" s="2" t="s">
        <v>8</v>
      </c>
      <c r="I537" s="2" t="s">
        <v>7</v>
      </c>
      <c r="J537" s="2" t="s">
        <v>8</v>
      </c>
      <c r="K537" s="2" t="s">
        <v>8</v>
      </c>
      <c r="L537" s="2" t="s">
        <v>9</v>
      </c>
      <c r="M537" s="1" t="s">
        <v>6895</v>
      </c>
      <c r="N537" s="1" t="s">
        <v>6896</v>
      </c>
      <c r="O537" s="2" t="s">
        <v>224</v>
      </c>
      <c r="Q537" s="2" t="s">
        <v>12</v>
      </c>
      <c r="R537" s="2" t="s">
        <v>643</v>
      </c>
      <c r="T537" s="2" t="s">
        <v>14</v>
      </c>
      <c r="U537" s="3">
        <v>4</v>
      </c>
      <c r="V537" s="3">
        <v>4</v>
      </c>
      <c r="W537" s="4" t="s">
        <v>6897</v>
      </c>
      <c r="X537" s="4" t="s">
        <v>6897</v>
      </c>
      <c r="Y537" s="4" t="s">
        <v>4443</v>
      </c>
      <c r="Z537" s="4" t="s">
        <v>4443</v>
      </c>
      <c r="AA537" s="3">
        <v>18</v>
      </c>
      <c r="AB537" s="3">
        <v>7</v>
      </c>
      <c r="AC537" s="3">
        <v>7</v>
      </c>
      <c r="AD537" s="3">
        <v>1</v>
      </c>
      <c r="AE537" s="3">
        <v>1</v>
      </c>
      <c r="AF537" s="3">
        <v>0</v>
      </c>
      <c r="AG537" s="3">
        <v>0</v>
      </c>
      <c r="AH537" s="3">
        <v>0</v>
      </c>
      <c r="AI537" s="3">
        <v>0</v>
      </c>
      <c r="AJ537" s="3">
        <v>0</v>
      </c>
      <c r="AK537" s="3">
        <v>0</v>
      </c>
      <c r="AL537" s="3">
        <v>0</v>
      </c>
      <c r="AM537" s="3">
        <v>0</v>
      </c>
      <c r="AN537" s="3">
        <v>0</v>
      </c>
      <c r="AO537" s="3">
        <v>0</v>
      </c>
      <c r="AP537" s="3">
        <v>0</v>
      </c>
      <c r="AQ537" s="3">
        <v>0</v>
      </c>
      <c r="AR537" s="2" t="s">
        <v>8</v>
      </c>
      <c r="AS537" s="2" t="s">
        <v>8</v>
      </c>
      <c r="AU537" s="5" t="str">
        <f>HYPERLINK("https://creighton-primo.hosted.exlibrisgroup.com/primo-explore/search?tab=default_tab&amp;search_scope=EVERYTHING&amp;vid=01CRU&amp;lang=en_US&amp;offset=0&amp;query=any,contains,991001256559702656","Catalog Record")</f>
        <v>Catalog Record</v>
      </c>
      <c r="AV537" s="5" t="str">
        <f>HYPERLINK("http://www.worldcat.org/oclc/9010477","WorldCat Record")</f>
        <v>WorldCat Record</v>
      </c>
      <c r="AW537" s="2" t="s">
        <v>6898</v>
      </c>
      <c r="AX537" s="2" t="s">
        <v>6899</v>
      </c>
      <c r="AY537" s="2" t="s">
        <v>6900</v>
      </c>
      <c r="AZ537" s="2" t="s">
        <v>6900</v>
      </c>
      <c r="BA537" s="2" t="s">
        <v>6901</v>
      </c>
      <c r="BB537" s="2" t="s">
        <v>21</v>
      </c>
      <c r="BD537" s="2" t="s">
        <v>6902</v>
      </c>
      <c r="BE537" s="2" t="s">
        <v>6903</v>
      </c>
      <c r="BF537" s="2" t="s">
        <v>6904</v>
      </c>
    </row>
    <row r="538" spans="1:58" ht="42.75" customHeight="1" x14ac:dyDescent="0.25">
      <c r="A538" s="8" t="s">
        <v>8</v>
      </c>
      <c r="B538" s="1" t="s">
        <v>0</v>
      </c>
      <c r="C538" s="1" t="s">
        <v>1</v>
      </c>
      <c r="D538" s="1" t="s">
        <v>6905</v>
      </c>
      <c r="E538" s="1" t="s">
        <v>6906</v>
      </c>
      <c r="F538" s="1" t="s">
        <v>6907</v>
      </c>
      <c r="H538" s="2" t="s">
        <v>8</v>
      </c>
      <c r="I538" s="2" t="s">
        <v>7</v>
      </c>
      <c r="J538" s="2" t="s">
        <v>8</v>
      </c>
      <c r="K538" s="2" t="s">
        <v>8</v>
      </c>
      <c r="L538" s="2" t="s">
        <v>9</v>
      </c>
      <c r="N538" s="1" t="s">
        <v>6908</v>
      </c>
      <c r="O538" s="2" t="s">
        <v>1060</v>
      </c>
      <c r="Q538" s="2" t="s">
        <v>12</v>
      </c>
      <c r="R538" s="2" t="s">
        <v>145</v>
      </c>
      <c r="S538" s="1" t="s">
        <v>6909</v>
      </c>
      <c r="T538" s="2" t="s">
        <v>14</v>
      </c>
      <c r="U538" s="3">
        <v>10</v>
      </c>
      <c r="V538" s="3">
        <v>10</v>
      </c>
      <c r="W538" s="4" t="s">
        <v>6910</v>
      </c>
      <c r="X538" s="4" t="s">
        <v>6910</v>
      </c>
      <c r="Y538" s="4" t="s">
        <v>6513</v>
      </c>
      <c r="Z538" s="4" t="s">
        <v>6513</v>
      </c>
      <c r="AA538" s="3">
        <v>141</v>
      </c>
      <c r="AB538" s="3">
        <v>99</v>
      </c>
      <c r="AC538" s="3">
        <v>124</v>
      </c>
      <c r="AD538" s="3">
        <v>1</v>
      </c>
      <c r="AE538" s="3">
        <v>1</v>
      </c>
      <c r="AF538" s="3">
        <v>10</v>
      </c>
      <c r="AG538" s="3">
        <v>11</v>
      </c>
      <c r="AH538" s="3">
        <v>2</v>
      </c>
      <c r="AI538" s="3">
        <v>3</v>
      </c>
      <c r="AJ538" s="3">
        <v>3</v>
      </c>
      <c r="AK538" s="3">
        <v>3</v>
      </c>
      <c r="AL538" s="3">
        <v>6</v>
      </c>
      <c r="AM538" s="3">
        <v>7</v>
      </c>
      <c r="AN538" s="3">
        <v>0</v>
      </c>
      <c r="AO538" s="3">
        <v>0</v>
      </c>
      <c r="AP538" s="3">
        <v>1</v>
      </c>
      <c r="AQ538" s="3">
        <v>1</v>
      </c>
      <c r="AR538" s="2" t="s">
        <v>8</v>
      </c>
      <c r="AS538" s="2" t="s">
        <v>6</v>
      </c>
      <c r="AT538" s="5" t="str">
        <f>HYPERLINK("http://catalog.hathitrust.org/Record/003129524","HathiTrust Record")</f>
        <v>HathiTrust Record</v>
      </c>
      <c r="AU538" s="5" t="str">
        <f>HYPERLINK("https://creighton-primo.hosted.exlibrisgroup.com/primo-explore/search?tab=default_tab&amp;search_scope=EVERYTHING&amp;vid=01CRU&amp;lang=en_US&amp;offset=0&amp;query=any,contains,991001199439702656","Catalog Record")</f>
        <v>Catalog Record</v>
      </c>
      <c r="AV538" s="5" t="str">
        <f>HYPERLINK("http://www.worldcat.org/oclc/33012736","WorldCat Record")</f>
        <v>WorldCat Record</v>
      </c>
      <c r="AW538" s="2" t="s">
        <v>6911</v>
      </c>
      <c r="AX538" s="2" t="s">
        <v>6912</v>
      </c>
      <c r="AY538" s="2" t="s">
        <v>6913</v>
      </c>
      <c r="AZ538" s="2" t="s">
        <v>6913</v>
      </c>
      <c r="BA538" s="2" t="s">
        <v>6914</v>
      </c>
      <c r="BB538" s="2" t="s">
        <v>21</v>
      </c>
      <c r="BD538" s="2" t="s">
        <v>6915</v>
      </c>
      <c r="BE538" s="2" t="s">
        <v>6916</v>
      </c>
      <c r="BF538" s="2" t="s">
        <v>6917</v>
      </c>
    </row>
    <row r="539" spans="1:58" ht="42.75" customHeight="1" x14ac:dyDescent="0.25">
      <c r="A539" s="8" t="s">
        <v>8</v>
      </c>
      <c r="B539" s="1" t="s">
        <v>0</v>
      </c>
      <c r="C539" s="1" t="s">
        <v>1</v>
      </c>
      <c r="D539" s="1" t="s">
        <v>6918</v>
      </c>
      <c r="E539" s="1" t="s">
        <v>6919</v>
      </c>
      <c r="F539" s="1" t="s">
        <v>6920</v>
      </c>
      <c r="H539" s="2" t="s">
        <v>8</v>
      </c>
      <c r="I539" s="2" t="s">
        <v>7</v>
      </c>
      <c r="J539" s="2" t="s">
        <v>8</v>
      </c>
      <c r="K539" s="2" t="s">
        <v>8</v>
      </c>
      <c r="L539" s="2" t="s">
        <v>9</v>
      </c>
      <c r="M539" s="1" t="s">
        <v>6921</v>
      </c>
      <c r="N539" s="1" t="s">
        <v>6922</v>
      </c>
      <c r="O539" s="2" t="s">
        <v>844</v>
      </c>
      <c r="Q539" s="2" t="s">
        <v>12</v>
      </c>
      <c r="R539" s="2" t="s">
        <v>1211</v>
      </c>
      <c r="T539" s="2" t="s">
        <v>14</v>
      </c>
      <c r="U539" s="3">
        <v>4</v>
      </c>
      <c r="V539" s="3">
        <v>4</v>
      </c>
      <c r="W539" s="4" t="s">
        <v>6923</v>
      </c>
      <c r="X539" s="4" t="s">
        <v>6923</v>
      </c>
      <c r="Y539" s="4" t="s">
        <v>6924</v>
      </c>
      <c r="Z539" s="4" t="s">
        <v>6924</v>
      </c>
      <c r="AA539" s="3">
        <v>98</v>
      </c>
      <c r="AB539" s="3">
        <v>84</v>
      </c>
      <c r="AC539" s="3">
        <v>85</v>
      </c>
      <c r="AD539" s="3">
        <v>1</v>
      </c>
      <c r="AE539" s="3">
        <v>1</v>
      </c>
      <c r="AF539" s="3">
        <v>8</v>
      </c>
      <c r="AG539" s="3">
        <v>8</v>
      </c>
      <c r="AH539" s="3">
        <v>3</v>
      </c>
      <c r="AI539" s="3">
        <v>3</v>
      </c>
      <c r="AJ539" s="3">
        <v>0</v>
      </c>
      <c r="AK539" s="3">
        <v>0</v>
      </c>
      <c r="AL539" s="3">
        <v>5</v>
      </c>
      <c r="AM539" s="3">
        <v>5</v>
      </c>
      <c r="AN539" s="3">
        <v>0</v>
      </c>
      <c r="AO539" s="3">
        <v>0</v>
      </c>
      <c r="AP539" s="3">
        <v>2</v>
      </c>
      <c r="AQ539" s="3">
        <v>2</v>
      </c>
      <c r="AR539" s="2" t="s">
        <v>8</v>
      </c>
      <c r="AS539" s="2" t="s">
        <v>8</v>
      </c>
      <c r="AU539" s="5" t="str">
        <f>HYPERLINK("https://creighton-primo.hosted.exlibrisgroup.com/primo-explore/search?tab=default_tab&amp;search_scope=EVERYTHING&amp;vid=01CRU&amp;lang=en_US&amp;offset=0&amp;query=any,contains,991001293749702656","Catalog Record")</f>
        <v>Catalog Record</v>
      </c>
      <c r="AV539" s="5" t="str">
        <f>HYPERLINK("http://www.worldcat.org/oclc/31970408","WorldCat Record")</f>
        <v>WorldCat Record</v>
      </c>
      <c r="AW539" s="2" t="s">
        <v>6925</v>
      </c>
      <c r="AX539" s="2" t="s">
        <v>6926</v>
      </c>
      <c r="AY539" s="2" t="s">
        <v>6927</v>
      </c>
      <c r="AZ539" s="2" t="s">
        <v>6927</v>
      </c>
      <c r="BA539" s="2" t="s">
        <v>6928</v>
      </c>
      <c r="BB539" s="2" t="s">
        <v>21</v>
      </c>
      <c r="BD539" s="2" t="s">
        <v>6929</v>
      </c>
      <c r="BE539" s="2" t="s">
        <v>6930</v>
      </c>
      <c r="BF539" s="2" t="s">
        <v>6931</v>
      </c>
    </row>
    <row r="540" spans="1:58" ht="42.75" customHeight="1" x14ac:dyDescent="0.25">
      <c r="A540" s="8" t="s">
        <v>8</v>
      </c>
      <c r="B540" s="1" t="s">
        <v>0</v>
      </c>
      <c r="C540" s="1" t="s">
        <v>1</v>
      </c>
      <c r="D540" s="1" t="s">
        <v>6932</v>
      </c>
      <c r="E540" s="1" t="s">
        <v>6933</v>
      </c>
      <c r="F540" s="1" t="s">
        <v>6934</v>
      </c>
      <c r="G540" s="2" t="s">
        <v>25</v>
      </c>
      <c r="H540" s="2" t="s">
        <v>6</v>
      </c>
      <c r="I540" s="2" t="s">
        <v>7</v>
      </c>
      <c r="J540" s="2" t="s">
        <v>8</v>
      </c>
      <c r="K540" s="2" t="s">
        <v>8</v>
      </c>
      <c r="L540" s="2" t="s">
        <v>9</v>
      </c>
      <c r="N540" s="1" t="s">
        <v>5608</v>
      </c>
      <c r="O540" s="2" t="s">
        <v>298</v>
      </c>
      <c r="Q540" s="2" t="s">
        <v>12</v>
      </c>
      <c r="R540" s="2" t="s">
        <v>145</v>
      </c>
      <c r="S540" s="1" t="s">
        <v>6935</v>
      </c>
      <c r="T540" s="2" t="s">
        <v>14</v>
      </c>
      <c r="U540" s="3">
        <v>5</v>
      </c>
      <c r="V540" s="3">
        <v>13</v>
      </c>
      <c r="W540" s="4" t="s">
        <v>5036</v>
      </c>
      <c r="X540" s="4" t="s">
        <v>5036</v>
      </c>
      <c r="Y540" s="4" t="s">
        <v>6936</v>
      </c>
      <c r="Z540" s="4" t="s">
        <v>6936</v>
      </c>
      <c r="AA540" s="3">
        <v>411</v>
      </c>
      <c r="AB540" s="3">
        <v>322</v>
      </c>
      <c r="AC540" s="3">
        <v>337</v>
      </c>
      <c r="AD540" s="3">
        <v>2</v>
      </c>
      <c r="AE540" s="3">
        <v>2</v>
      </c>
      <c r="AF540" s="3">
        <v>22</v>
      </c>
      <c r="AG540" s="3">
        <v>23</v>
      </c>
      <c r="AH540" s="3">
        <v>8</v>
      </c>
      <c r="AI540" s="3">
        <v>9</v>
      </c>
      <c r="AJ540" s="3">
        <v>6</v>
      </c>
      <c r="AK540" s="3">
        <v>6</v>
      </c>
      <c r="AL540" s="3">
        <v>14</v>
      </c>
      <c r="AM540" s="3">
        <v>15</v>
      </c>
      <c r="AN540" s="3">
        <v>1</v>
      </c>
      <c r="AO540" s="3">
        <v>1</v>
      </c>
      <c r="AP540" s="3">
        <v>1</v>
      </c>
      <c r="AQ540" s="3">
        <v>1</v>
      </c>
      <c r="AR540" s="2" t="s">
        <v>8</v>
      </c>
      <c r="AS540" s="2" t="s">
        <v>6</v>
      </c>
      <c r="AT540" s="5" t="str">
        <f>HYPERLINK("http://catalog.hathitrust.org/Record/000815531","HathiTrust Record")</f>
        <v>HathiTrust Record</v>
      </c>
      <c r="AU540" s="5" t="str">
        <f>HYPERLINK("https://creighton-primo.hosted.exlibrisgroup.com/primo-explore/search?tab=default_tab&amp;search_scope=EVERYTHING&amp;vid=01CRU&amp;lang=en_US&amp;offset=0&amp;query=any,contains,991001245869702656","Catalog Record")</f>
        <v>Catalog Record</v>
      </c>
      <c r="AV540" s="5" t="str">
        <f>HYPERLINK("http://www.worldcat.org/oclc/14520869","WorldCat Record")</f>
        <v>WorldCat Record</v>
      </c>
      <c r="AW540" s="2" t="s">
        <v>6937</v>
      </c>
      <c r="AX540" s="2" t="s">
        <v>6938</v>
      </c>
      <c r="AY540" s="2" t="s">
        <v>6939</v>
      </c>
      <c r="AZ540" s="2" t="s">
        <v>6939</v>
      </c>
      <c r="BA540" s="2" t="s">
        <v>6940</v>
      </c>
      <c r="BB540" s="2" t="s">
        <v>21</v>
      </c>
      <c r="BD540" s="2" t="s">
        <v>6941</v>
      </c>
      <c r="BE540" s="2" t="s">
        <v>6942</v>
      </c>
      <c r="BF540" s="2" t="s">
        <v>6943</v>
      </c>
    </row>
    <row r="541" spans="1:58" ht="42.75" customHeight="1" x14ac:dyDescent="0.25">
      <c r="A541" s="8" t="s">
        <v>8</v>
      </c>
      <c r="B541" s="1" t="s">
        <v>0</v>
      </c>
      <c r="C541" s="1" t="s">
        <v>1</v>
      </c>
      <c r="D541" s="1" t="s">
        <v>6932</v>
      </c>
      <c r="E541" s="1" t="s">
        <v>6933</v>
      </c>
      <c r="F541" s="1" t="s">
        <v>6934</v>
      </c>
      <c r="G541" s="2" t="s">
        <v>5</v>
      </c>
      <c r="H541" s="2" t="s">
        <v>6</v>
      </c>
      <c r="I541" s="2" t="s">
        <v>7</v>
      </c>
      <c r="J541" s="2" t="s">
        <v>8</v>
      </c>
      <c r="K541" s="2" t="s">
        <v>8</v>
      </c>
      <c r="L541" s="2" t="s">
        <v>9</v>
      </c>
      <c r="N541" s="1" t="s">
        <v>5608</v>
      </c>
      <c r="O541" s="2" t="s">
        <v>298</v>
      </c>
      <c r="Q541" s="2" t="s">
        <v>12</v>
      </c>
      <c r="R541" s="2" t="s">
        <v>145</v>
      </c>
      <c r="S541" s="1" t="s">
        <v>6935</v>
      </c>
      <c r="T541" s="2" t="s">
        <v>14</v>
      </c>
      <c r="U541" s="3">
        <v>8</v>
      </c>
      <c r="V541" s="3">
        <v>13</v>
      </c>
      <c r="W541" s="4" t="s">
        <v>6944</v>
      </c>
      <c r="X541" s="4" t="s">
        <v>5036</v>
      </c>
      <c r="Y541" s="4" t="s">
        <v>6936</v>
      </c>
      <c r="Z541" s="4" t="s">
        <v>6936</v>
      </c>
      <c r="AA541" s="3">
        <v>411</v>
      </c>
      <c r="AB541" s="3">
        <v>322</v>
      </c>
      <c r="AC541" s="3">
        <v>337</v>
      </c>
      <c r="AD541" s="3">
        <v>2</v>
      </c>
      <c r="AE541" s="3">
        <v>2</v>
      </c>
      <c r="AF541" s="3">
        <v>22</v>
      </c>
      <c r="AG541" s="3">
        <v>23</v>
      </c>
      <c r="AH541" s="3">
        <v>8</v>
      </c>
      <c r="AI541" s="3">
        <v>9</v>
      </c>
      <c r="AJ541" s="3">
        <v>6</v>
      </c>
      <c r="AK541" s="3">
        <v>6</v>
      </c>
      <c r="AL541" s="3">
        <v>14</v>
      </c>
      <c r="AM541" s="3">
        <v>15</v>
      </c>
      <c r="AN541" s="3">
        <v>1</v>
      </c>
      <c r="AO541" s="3">
        <v>1</v>
      </c>
      <c r="AP541" s="3">
        <v>1</v>
      </c>
      <c r="AQ541" s="3">
        <v>1</v>
      </c>
      <c r="AR541" s="2" t="s">
        <v>8</v>
      </c>
      <c r="AS541" s="2" t="s">
        <v>6</v>
      </c>
      <c r="AT541" s="5" t="str">
        <f>HYPERLINK("http://catalog.hathitrust.org/Record/000815531","HathiTrust Record")</f>
        <v>HathiTrust Record</v>
      </c>
      <c r="AU541" s="5" t="str">
        <f>HYPERLINK("https://creighton-primo.hosted.exlibrisgroup.com/primo-explore/search?tab=default_tab&amp;search_scope=EVERYTHING&amp;vid=01CRU&amp;lang=en_US&amp;offset=0&amp;query=any,contains,991001245869702656","Catalog Record")</f>
        <v>Catalog Record</v>
      </c>
      <c r="AV541" s="5" t="str">
        <f>HYPERLINK("http://www.worldcat.org/oclc/14520869","WorldCat Record")</f>
        <v>WorldCat Record</v>
      </c>
      <c r="AW541" s="2" t="s">
        <v>6937</v>
      </c>
      <c r="AX541" s="2" t="s">
        <v>6938</v>
      </c>
      <c r="AY541" s="2" t="s">
        <v>6939</v>
      </c>
      <c r="AZ541" s="2" t="s">
        <v>6939</v>
      </c>
      <c r="BA541" s="2" t="s">
        <v>6940</v>
      </c>
      <c r="BB541" s="2" t="s">
        <v>21</v>
      </c>
      <c r="BD541" s="2" t="s">
        <v>6941</v>
      </c>
      <c r="BE541" s="2" t="s">
        <v>6945</v>
      </c>
      <c r="BF541" s="2" t="s">
        <v>6946</v>
      </c>
    </row>
    <row r="542" spans="1:58" ht="42.75" customHeight="1" x14ac:dyDescent="0.25">
      <c r="A542" s="8" t="s">
        <v>8</v>
      </c>
      <c r="B542" s="1" t="s">
        <v>0</v>
      </c>
      <c r="C542" s="1" t="s">
        <v>1</v>
      </c>
      <c r="D542" s="1" t="s">
        <v>6947</v>
      </c>
      <c r="E542" s="1" t="s">
        <v>6948</v>
      </c>
      <c r="F542" s="1" t="s">
        <v>6949</v>
      </c>
      <c r="H542" s="2" t="s">
        <v>8</v>
      </c>
      <c r="I542" s="2" t="s">
        <v>7</v>
      </c>
      <c r="J542" s="2" t="s">
        <v>8</v>
      </c>
      <c r="K542" s="2" t="s">
        <v>8</v>
      </c>
      <c r="L542" s="2" t="s">
        <v>9</v>
      </c>
      <c r="M542" s="1" t="s">
        <v>6950</v>
      </c>
      <c r="N542" s="1" t="s">
        <v>6951</v>
      </c>
      <c r="O542" s="2" t="s">
        <v>1629</v>
      </c>
      <c r="Q542" s="2" t="s">
        <v>12</v>
      </c>
      <c r="R542" s="2" t="s">
        <v>13</v>
      </c>
      <c r="S542" s="1" t="s">
        <v>6952</v>
      </c>
      <c r="T542" s="2" t="s">
        <v>14</v>
      </c>
      <c r="U542" s="3">
        <v>12</v>
      </c>
      <c r="V542" s="3">
        <v>12</v>
      </c>
      <c r="W542" s="4" t="s">
        <v>6953</v>
      </c>
      <c r="X542" s="4" t="s">
        <v>6953</v>
      </c>
      <c r="Y542" s="4" t="s">
        <v>4443</v>
      </c>
      <c r="Z542" s="4" t="s">
        <v>4443</v>
      </c>
      <c r="AA542" s="3">
        <v>152</v>
      </c>
      <c r="AB542" s="3">
        <v>121</v>
      </c>
      <c r="AC542" s="3">
        <v>123</v>
      </c>
      <c r="AD542" s="3">
        <v>1</v>
      </c>
      <c r="AE542" s="3">
        <v>1</v>
      </c>
      <c r="AF542" s="3">
        <v>6</v>
      </c>
      <c r="AG542" s="3">
        <v>6</v>
      </c>
      <c r="AH542" s="3">
        <v>1</v>
      </c>
      <c r="AI542" s="3">
        <v>1</v>
      </c>
      <c r="AJ542" s="3">
        <v>1</v>
      </c>
      <c r="AK542" s="3">
        <v>1</v>
      </c>
      <c r="AL542" s="3">
        <v>4</v>
      </c>
      <c r="AM542" s="3">
        <v>4</v>
      </c>
      <c r="AN542" s="3">
        <v>0</v>
      </c>
      <c r="AO542" s="3">
        <v>0</v>
      </c>
      <c r="AP542" s="3">
        <v>1</v>
      </c>
      <c r="AQ542" s="3">
        <v>1</v>
      </c>
      <c r="AR542" s="2" t="s">
        <v>8</v>
      </c>
      <c r="AS542" s="2" t="s">
        <v>6</v>
      </c>
      <c r="AT542" s="5" t="str">
        <f>HYPERLINK("http://catalog.hathitrust.org/Record/007991573","HathiTrust Record")</f>
        <v>HathiTrust Record</v>
      </c>
      <c r="AU542" s="5" t="str">
        <f>HYPERLINK("https://creighton-primo.hosted.exlibrisgroup.com/primo-explore/search?tab=default_tab&amp;search_scope=EVERYTHING&amp;vid=01CRU&amp;lang=en_US&amp;offset=0&amp;query=any,contains,991001459119702656","Catalog Record")</f>
        <v>Catalog Record</v>
      </c>
      <c r="AV542" s="5" t="str">
        <f>HYPERLINK("http://www.worldcat.org/oclc/11316674","WorldCat Record")</f>
        <v>WorldCat Record</v>
      </c>
      <c r="AW542" s="2" t="s">
        <v>6954</v>
      </c>
      <c r="AX542" s="2" t="s">
        <v>6955</v>
      </c>
      <c r="AY542" s="2" t="s">
        <v>6956</v>
      </c>
      <c r="AZ542" s="2" t="s">
        <v>6956</v>
      </c>
      <c r="BA542" s="2" t="s">
        <v>6957</v>
      </c>
      <c r="BB542" s="2" t="s">
        <v>21</v>
      </c>
      <c r="BD542" s="2" t="s">
        <v>6958</v>
      </c>
      <c r="BE542" s="2" t="s">
        <v>6959</v>
      </c>
      <c r="BF542" s="2" t="s">
        <v>6960</v>
      </c>
    </row>
    <row r="543" spans="1:58" ht="42.75" customHeight="1" x14ac:dyDescent="0.25">
      <c r="A543" s="8" t="s">
        <v>8</v>
      </c>
      <c r="B543" s="1" t="s">
        <v>0</v>
      </c>
      <c r="C543" s="1" t="s">
        <v>1</v>
      </c>
      <c r="D543" s="1" t="s">
        <v>6961</v>
      </c>
      <c r="E543" s="1" t="s">
        <v>6962</v>
      </c>
      <c r="F543" s="1" t="s">
        <v>6963</v>
      </c>
      <c r="H543" s="2" t="s">
        <v>8</v>
      </c>
      <c r="I543" s="2" t="s">
        <v>7</v>
      </c>
      <c r="J543" s="2" t="s">
        <v>8</v>
      </c>
      <c r="K543" s="2" t="s">
        <v>8</v>
      </c>
      <c r="L543" s="2" t="s">
        <v>9</v>
      </c>
      <c r="M543" s="1" t="s">
        <v>6964</v>
      </c>
      <c r="N543" s="1" t="s">
        <v>6965</v>
      </c>
      <c r="O543" s="2" t="s">
        <v>602</v>
      </c>
      <c r="Q543" s="2" t="s">
        <v>12</v>
      </c>
      <c r="R543" s="2" t="s">
        <v>145</v>
      </c>
      <c r="S543" s="1" t="s">
        <v>6966</v>
      </c>
      <c r="T543" s="2" t="s">
        <v>14</v>
      </c>
      <c r="U543" s="3">
        <v>8</v>
      </c>
      <c r="V543" s="3">
        <v>8</v>
      </c>
      <c r="W543" s="4" t="s">
        <v>6884</v>
      </c>
      <c r="X543" s="4" t="s">
        <v>6884</v>
      </c>
      <c r="Y543" s="4" t="s">
        <v>6967</v>
      </c>
      <c r="Z543" s="4" t="s">
        <v>6967</v>
      </c>
      <c r="AA543" s="3">
        <v>130</v>
      </c>
      <c r="AB543" s="3">
        <v>76</v>
      </c>
      <c r="AC543" s="3">
        <v>86</v>
      </c>
      <c r="AD543" s="3">
        <v>1</v>
      </c>
      <c r="AE543" s="3">
        <v>1</v>
      </c>
      <c r="AF543" s="3">
        <v>3</v>
      </c>
      <c r="AG543" s="3">
        <v>4</v>
      </c>
      <c r="AH543" s="3">
        <v>1</v>
      </c>
      <c r="AI543" s="3">
        <v>2</v>
      </c>
      <c r="AJ543" s="3">
        <v>2</v>
      </c>
      <c r="AK543" s="3">
        <v>2</v>
      </c>
      <c r="AL543" s="3">
        <v>3</v>
      </c>
      <c r="AM543" s="3">
        <v>4</v>
      </c>
      <c r="AN543" s="3">
        <v>0</v>
      </c>
      <c r="AO543" s="3">
        <v>0</v>
      </c>
      <c r="AP543" s="3">
        <v>0</v>
      </c>
      <c r="AQ543" s="3">
        <v>0</v>
      </c>
      <c r="AR543" s="2" t="s">
        <v>8</v>
      </c>
      <c r="AS543" s="2" t="s">
        <v>6</v>
      </c>
      <c r="AT543" s="5" t="str">
        <f>HYPERLINK("http://catalog.hathitrust.org/Record/002372330","HathiTrust Record")</f>
        <v>HathiTrust Record</v>
      </c>
      <c r="AU543" s="5" t="str">
        <f>HYPERLINK("https://creighton-primo.hosted.exlibrisgroup.com/primo-explore/search?tab=default_tab&amp;search_scope=EVERYTHING&amp;vid=01CRU&amp;lang=en_US&amp;offset=0&amp;query=any,contains,991001018149702656","Catalog Record")</f>
        <v>Catalog Record</v>
      </c>
      <c r="AV543" s="5" t="str">
        <f>HYPERLINK("http://www.worldcat.org/oclc/22543311","WorldCat Record")</f>
        <v>WorldCat Record</v>
      </c>
      <c r="AW543" s="2" t="s">
        <v>6968</v>
      </c>
      <c r="AX543" s="2" t="s">
        <v>6969</v>
      </c>
      <c r="AY543" s="2" t="s">
        <v>6970</v>
      </c>
      <c r="AZ543" s="2" t="s">
        <v>6970</v>
      </c>
      <c r="BA543" s="2" t="s">
        <v>6971</v>
      </c>
      <c r="BB543" s="2" t="s">
        <v>21</v>
      </c>
      <c r="BD543" s="2" t="s">
        <v>6972</v>
      </c>
      <c r="BE543" s="2" t="s">
        <v>6973</v>
      </c>
      <c r="BF543" s="2" t="s">
        <v>6974</v>
      </c>
    </row>
    <row r="544" spans="1:58" ht="42.75" customHeight="1" x14ac:dyDescent="0.25">
      <c r="A544" s="8" t="s">
        <v>8</v>
      </c>
      <c r="B544" s="1" t="s">
        <v>0</v>
      </c>
      <c r="C544" s="1" t="s">
        <v>1</v>
      </c>
      <c r="D544" s="1" t="s">
        <v>6975</v>
      </c>
      <c r="E544" s="1" t="s">
        <v>6976</v>
      </c>
      <c r="F544" s="1" t="s">
        <v>6977</v>
      </c>
      <c r="H544" s="2" t="s">
        <v>8</v>
      </c>
      <c r="I544" s="2" t="s">
        <v>7</v>
      </c>
      <c r="J544" s="2" t="s">
        <v>6</v>
      </c>
      <c r="K544" s="2" t="s">
        <v>8</v>
      </c>
      <c r="L544" s="2" t="s">
        <v>9</v>
      </c>
      <c r="M544" s="1" t="s">
        <v>6978</v>
      </c>
      <c r="N544" s="1" t="s">
        <v>6979</v>
      </c>
      <c r="O544" s="2" t="s">
        <v>614</v>
      </c>
      <c r="Q544" s="2" t="s">
        <v>12</v>
      </c>
      <c r="R544" s="2" t="s">
        <v>456</v>
      </c>
      <c r="T544" s="2" t="s">
        <v>14</v>
      </c>
      <c r="U544" s="3">
        <v>14</v>
      </c>
      <c r="V544" s="3">
        <v>15</v>
      </c>
      <c r="W544" s="4" t="s">
        <v>6980</v>
      </c>
      <c r="X544" s="4" t="s">
        <v>6981</v>
      </c>
      <c r="Y544" s="4" t="s">
        <v>6982</v>
      </c>
      <c r="Z544" s="4" t="s">
        <v>6981</v>
      </c>
      <c r="AA544" s="3">
        <v>796</v>
      </c>
      <c r="AB544" s="3">
        <v>660</v>
      </c>
      <c r="AC544" s="3">
        <v>664</v>
      </c>
      <c r="AD544" s="3">
        <v>5</v>
      </c>
      <c r="AE544" s="3">
        <v>5</v>
      </c>
      <c r="AF544" s="3">
        <v>47</v>
      </c>
      <c r="AG544" s="3">
        <v>47</v>
      </c>
      <c r="AH544" s="3">
        <v>18</v>
      </c>
      <c r="AI544" s="3">
        <v>18</v>
      </c>
      <c r="AJ544" s="3">
        <v>9</v>
      </c>
      <c r="AK544" s="3">
        <v>9</v>
      </c>
      <c r="AL544" s="3">
        <v>20</v>
      </c>
      <c r="AM544" s="3">
        <v>20</v>
      </c>
      <c r="AN544" s="3">
        <v>3</v>
      </c>
      <c r="AO544" s="3">
        <v>3</v>
      </c>
      <c r="AP544" s="3">
        <v>8</v>
      </c>
      <c r="AQ544" s="3">
        <v>8</v>
      </c>
      <c r="AR544" s="2" t="s">
        <v>8</v>
      </c>
      <c r="AS544" s="2" t="s">
        <v>8</v>
      </c>
      <c r="AU544" s="5" t="str">
        <f>HYPERLINK("https://creighton-primo.hosted.exlibrisgroup.com/primo-explore/search?tab=default_tab&amp;search_scope=EVERYTHING&amp;vid=01CRU&amp;lang=en_US&amp;offset=0&amp;query=any,contains,991001780709702656","Catalog Record")</f>
        <v>Catalog Record</v>
      </c>
      <c r="AV544" s="5" t="str">
        <f>HYPERLINK("http://www.worldcat.org/oclc/23654449","WorldCat Record")</f>
        <v>WorldCat Record</v>
      </c>
      <c r="AW544" s="2" t="s">
        <v>6983</v>
      </c>
      <c r="AX544" s="2" t="s">
        <v>6984</v>
      </c>
      <c r="AY544" s="2" t="s">
        <v>6985</v>
      </c>
      <c r="AZ544" s="2" t="s">
        <v>6985</v>
      </c>
      <c r="BA544" s="2" t="s">
        <v>6986</v>
      </c>
      <c r="BB544" s="2" t="s">
        <v>21</v>
      </c>
      <c r="BD544" s="2" t="s">
        <v>6987</v>
      </c>
      <c r="BE544" s="2" t="s">
        <v>6988</v>
      </c>
      <c r="BF544" s="2" t="s">
        <v>6989</v>
      </c>
    </row>
    <row r="545" spans="1:58" ht="42.75" customHeight="1" x14ac:dyDescent="0.25">
      <c r="A545" s="8" t="s">
        <v>8</v>
      </c>
      <c r="B545" s="1" t="s">
        <v>0</v>
      </c>
      <c r="C545" s="1" t="s">
        <v>1</v>
      </c>
      <c r="D545" s="1" t="s">
        <v>6990</v>
      </c>
      <c r="E545" s="1" t="s">
        <v>6991</v>
      </c>
      <c r="F545" s="1" t="s">
        <v>6992</v>
      </c>
      <c r="H545" s="2" t="s">
        <v>8</v>
      </c>
      <c r="I545" s="2" t="s">
        <v>7</v>
      </c>
      <c r="J545" s="2" t="s">
        <v>8</v>
      </c>
      <c r="K545" s="2" t="s">
        <v>8</v>
      </c>
      <c r="L545" s="2" t="s">
        <v>9</v>
      </c>
      <c r="M545" s="1" t="s">
        <v>6993</v>
      </c>
      <c r="N545" s="1" t="s">
        <v>6994</v>
      </c>
      <c r="O545" s="2" t="s">
        <v>1629</v>
      </c>
      <c r="Q545" s="2" t="s">
        <v>12</v>
      </c>
      <c r="R545" s="2" t="s">
        <v>774</v>
      </c>
      <c r="T545" s="2" t="s">
        <v>14</v>
      </c>
      <c r="U545" s="3">
        <v>5</v>
      </c>
      <c r="V545" s="3">
        <v>5</v>
      </c>
      <c r="W545" s="4" t="s">
        <v>1368</v>
      </c>
      <c r="X545" s="4" t="s">
        <v>1368</v>
      </c>
      <c r="Y545" s="4" t="s">
        <v>6995</v>
      </c>
      <c r="Z545" s="4" t="s">
        <v>6995</v>
      </c>
      <c r="AA545" s="3">
        <v>141</v>
      </c>
      <c r="AB545" s="3">
        <v>132</v>
      </c>
      <c r="AC545" s="3">
        <v>134</v>
      </c>
      <c r="AD545" s="3">
        <v>1</v>
      </c>
      <c r="AE545" s="3">
        <v>1</v>
      </c>
      <c r="AF545" s="3">
        <v>12</v>
      </c>
      <c r="AG545" s="3">
        <v>12</v>
      </c>
      <c r="AH545" s="3">
        <v>4</v>
      </c>
      <c r="AI545" s="3">
        <v>4</v>
      </c>
      <c r="AJ545" s="3">
        <v>1</v>
      </c>
      <c r="AK545" s="3">
        <v>1</v>
      </c>
      <c r="AL545" s="3">
        <v>8</v>
      </c>
      <c r="AM545" s="3">
        <v>8</v>
      </c>
      <c r="AN545" s="3">
        <v>0</v>
      </c>
      <c r="AO545" s="3">
        <v>0</v>
      </c>
      <c r="AP545" s="3">
        <v>4</v>
      </c>
      <c r="AQ545" s="3">
        <v>4</v>
      </c>
      <c r="AR545" s="2" t="s">
        <v>8</v>
      </c>
      <c r="AS545" s="2" t="s">
        <v>6</v>
      </c>
      <c r="AT545" s="5" t="str">
        <f>HYPERLINK("http://catalog.hathitrust.org/Record/000331232","HathiTrust Record")</f>
        <v>HathiTrust Record</v>
      </c>
      <c r="AU545" s="5" t="str">
        <f>HYPERLINK("https://creighton-primo.hosted.exlibrisgroup.com/primo-explore/search?tab=default_tab&amp;search_scope=EVERYTHING&amp;vid=01CRU&amp;lang=en_US&amp;offset=0&amp;query=any,contains,991000882209702656","Catalog Record")</f>
        <v>Catalog Record</v>
      </c>
      <c r="AV545" s="5" t="str">
        <f>HYPERLINK("http://www.worldcat.org/oclc/10163060","WorldCat Record")</f>
        <v>WorldCat Record</v>
      </c>
      <c r="AW545" s="2" t="s">
        <v>6996</v>
      </c>
      <c r="AX545" s="2" t="s">
        <v>6997</v>
      </c>
      <c r="AY545" s="2" t="s">
        <v>6998</v>
      </c>
      <c r="AZ545" s="2" t="s">
        <v>6998</v>
      </c>
      <c r="BA545" s="2" t="s">
        <v>6999</v>
      </c>
      <c r="BB545" s="2" t="s">
        <v>21</v>
      </c>
      <c r="BD545" s="2" t="s">
        <v>7000</v>
      </c>
      <c r="BE545" s="2" t="s">
        <v>7001</v>
      </c>
      <c r="BF545" s="2" t="s">
        <v>7002</v>
      </c>
    </row>
    <row r="546" spans="1:58" ht="42.75" customHeight="1" x14ac:dyDescent="0.25">
      <c r="A546" s="8" t="s">
        <v>8</v>
      </c>
      <c r="B546" s="1" t="s">
        <v>0</v>
      </c>
      <c r="C546" s="1" t="s">
        <v>1</v>
      </c>
      <c r="D546" s="1" t="s">
        <v>7003</v>
      </c>
      <c r="E546" s="1" t="s">
        <v>7004</v>
      </c>
      <c r="F546" s="1" t="s">
        <v>7005</v>
      </c>
      <c r="H546" s="2" t="s">
        <v>8</v>
      </c>
      <c r="I546" s="2" t="s">
        <v>7</v>
      </c>
      <c r="J546" s="2" t="s">
        <v>8</v>
      </c>
      <c r="K546" s="2" t="s">
        <v>8</v>
      </c>
      <c r="L546" s="2" t="s">
        <v>9</v>
      </c>
      <c r="M546" s="1" t="s">
        <v>7006</v>
      </c>
      <c r="N546" s="1" t="s">
        <v>7007</v>
      </c>
      <c r="O546" s="2" t="s">
        <v>627</v>
      </c>
      <c r="Q546" s="2" t="s">
        <v>12</v>
      </c>
      <c r="R546" s="2" t="s">
        <v>7008</v>
      </c>
      <c r="T546" s="2" t="s">
        <v>14</v>
      </c>
      <c r="U546" s="3">
        <v>3</v>
      </c>
      <c r="V546" s="3">
        <v>3</v>
      </c>
      <c r="W546" s="4" t="s">
        <v>7009</v>
      </c>
      <c r="X546" s="4" t="s">
        <v>7009</v>
      </c>
      <c r="Y546" s="4" t="s">
        <v>7010</v>
      </c>
      <c r="Z546" s="4" t="s">
        <v>7010</v>
      </c>
      <c r="AA546" s="3">
        <v>244</v>
      </c>
      <c r="AB546" s="3">
        <v>192</v>
      </c>
      <c r="AC546" s="3">
        <v>192</v>
      </c>
      <c r="AD546" s="3">
        <v>1</v>
      </c>
      <c r="AE546" s="3">
        <v>1</v>
      </c>
      <c r="AF546" s="3">
        <v>13</v>
      </c>
      <c r="AG546" s="3">
        <v>13</v>
      </c>
      <c r="AH546" s="3">
        <v>3</v>
      </c>
      <c r="AI546" s="3">
        <v>3</v>
      </c>
      <c r="AJ546" s="3">
        <v>1</v>
      </c>
      <c r="AK546" s="3">
        <v>1</v>
      </c>
      <c r="AL546" s="3">
        <v>5</v>
      </c>
      <c r="AM546" s="3">
        <v>5</v>
      </c>
      <c r="AN546" s="3">
        <v>0</v>
      </c>
      <c r="AO546" s="3">
        <v>0</v>
      </c>
      <c r="AP546" s="3">
        <v>8</v>
      </c>
      <c r="AQ546" s="3">
        <v>8</v>
      </c>
      <c r="AR546" s="2" t="s">
        <v>8</v>
      </c>
      <c r="AS546" s="2" t="s">
        <v>8</v>
      </c>
      <c r="AU546" s="5" t="str">
        <f>HYPERLINK("https://creighton-primo.hosted.exlibrisgroup.com/primo-explore/search?tab=default_tab&amp;search_scope=EVERYTHING&amp;vid=01CRU&amp;lang=en_US&amp;offset=0&amp;query=any,contains,991001033029702656","Catalog Record")</f>
        <v>Catalog Record</v>
      </c>
      <c r="AV546" s="5" t="str">
        <f>HYPERLINK("http://www.worldcat.org/oclc/32092575","WorldCat Record")</f>
        <v>WorldCat Record</v>
      </c>
      <c r="AW546" s="2" t="s">
        <v>7011</v>
      </c>
      <c r="AX546" s="2" t="s">
        <v>7012</v>
      </c>
      <c r="AY546" s="2" t="s">
        <v>7013</v>
      </c>
      <c r="AZ546" s="2" t="s">
        <v>7013</v>
      </c>
      <c r="BA546" s="2" t="s">
        <v>7014</v>
      </c>
      <c r="BB546" s="2" t="s">
        <v>21</v>
      </c>
      <c r="BD546" s="2" t="s">
        <v>7015</v>
      </c>
      <c r="BE546" s="2" t="s">
        <v>7016</v>
      </c>
      <c r="BF546" s="2" t="s">
        <v>7017</v>
      </c>
    </row>
    <row r="547" spans="1:58" ht="42.75" customHeight="1" x14ac:dyDescent="0.25">
      <c r="A547" s="8" t="s">
        <v>8</v>
      </c>
      <c r="B547" s="1" t="s">
        <v>0</v>
      </c>
      <c r="C547" s="1" t="s">
        <v>1</v>
      </c>
      <c r="D547" s="1" t="s">
        <v>7018</v>
      </c>
      <c r="E547" s="1" t="s">
        <v>7019</v>
      </c>
      <c r="F547" s="1" t="s">
        <v>7020</v>
      </c>
      <c r="H547" s="2" t="s">
        <v>8</v>
      </c>
      <c r="I547" s="2" t="s">
        <v>7</v>
      </c>
      <c r="J547" s="2" t="s">
        <v>8</v>
      </c>
      <c r="K547" s="2" t="s">
        <v>8</v>
      </c>
      <c r="L547" s="2" t="s">
        <v>9</v>
      </c>
      <c r="M547" s="1" t="s">
        <v>7021</v>
      </c>
      <c r="N547" s="1" t="s">
        <v>7022</v>
      </c>
      <c r="O547" s="2" t="s">
        <v>144</v>
      </c>
      <c r="Q547" s="2" t="s">
        <v>12</v>
      </c>
      <c r="R547" s="2" t="s">
        <v>590</v>
      </c>
      <c r="T547" s="2" t="s">
        <v>14</v>
      </c>
      <c r="U547" s="3">
        <v>14</v>
      </c>
      <c r="V547" s="3">
        <v>14</v>
      </c>
      <c r="W547" s="4" t="s">
        <v>7023</v>
      </c>
      <c r="X547" s="4" t="s">
        <v>7023</v>
      </c>
      <c r="Y547" s="4" t="s">
        <v>1254</v>
      </c>
      <c r="Z547" s="4" t="s">
        <v>1254</v>
      </c>
      <c r="AA547" s="3">
        <v>696</v>
      </c>
      <c r="AB547" s="3">
        <v>616</v>
      </c>
      <c r="AC547" s="3">
        <v>622</v>
      </c>
      <c r="AD547" s="3">
        <v>5</v>
      </c>
      <c r="AE547" s="3">
        <v>5</v>
      </c>
      <c r="AF547" s="3">
        <v>29</v>
      </c>
      <c r="AG547" s="3">
        <v>30</v>
      </c>
      <c r="AH547" s="3">
        <v>8</v>
      </c>
      <c r="AI547" s="3">
        <v>9</v>
      </c>
      <c r="AJ547" s="3">
        <v>5</v>
      </c>
      <c r="AK547" s="3">
        <v>5</v>
      </c>
      <c r="AL547" s="3">
        <v>17</v>
      </c>
      <c r="AM547" s="3">
        <v>18</v>
      </c>
      <c r="AN547" s="3">
        <v>2</v>
      </c>
      <c r="AO547" s="3">
        <v>2</v>
      </c>
      <c r="AP547" s="3">
        <v>4</v>
      </c>
      <c r="AQ547" s="3">
        <v>4</v>
      </c>
      <c r="AR547" s="2" t="s">
        <v>8</v>
      </c>
      <c r="AS547" s="2" t="s">
        <v>6</v>
      </c>
      <c r="AT547" s="5" t="str">
        <f>HYPERLINK("http://catalog.hathitrust.org/Record/001557843","HathiTrust Record")</f>
        <v>HathiTrust Record</v>
      </c>
      <c r="AU547" s="5" t="str">
        <f>HYPERLINK("https://creighton-primo.hosted.exlibrisgroup.com/primo-explore/search?tab=default_tab&amp;search_scope=EVERYTHING&amp;vid=01CRU&amp;lang=en_US&amp;offset=0&amp;query=any,contains,991001526359702656","Catalog Record")</f>
        <v>Catalog Record</v>
      </c>
      <c r="AV547" s="5" t="str">
        <f>HYPERLINK("http://www.worldcat.org/oclc/98084","WorldCat Record")</f>
        <v>WorldCat Record</v>
      </c>
      <c r="AW547" s="2" t="s">
        <v>7024</v>
      </c>
      <c r="AX547" s="2" t="s">
        <v>7025</v>
      </c>
      <c r="AY547" s="2" t="s">
        <v>7026</v>
      </c>
      <c r="AZ547" s="2" t="s">
        <v>7026</v>
      </c>
      <c r="BA547" s="2" t="s">
        <v>7027</v>
      </c>
      <c r="BB547" s="2" t="s">
        <v>21</v>
      </c>
      <c r="BD547" s="2" t="s">
        <v>7028</v>
      </c>
      <c r="BE547" s="2" t="s">
        <v>7029</v>
      </c>
      <c r="BF547" s="2" t="s">
        <v>7030</v>
      </c>
    </row>
    <row r="548" spans="1:58" ht="42.75" customHeight="1" x14ac:dyDescent="0.25">
      <c r="A548" s="8" t="s">
        <v>8</v>
      </c>
      <c r="B548" s="1" t="s">
        <v>0</v>
      </c>
      <c r="C548" s="1" t="s">
        <v>1</v>
      </c>
      <c r="D548" s="1" t="s">
        <v>7031</v>
      </c>
      <c r="E548" s="1" t="s">
        <v>7032</v>
      </c>
      <c r="F548" s="1" t="s">
        <v>7033</v>
      </c>
      <c r="H548" s="2" t="s">
        <v>8</v>
      </c>
      <c r="I548" s="2" t="s">
        <v>7</v>
      </c>
      <c r="J548" s="2" t="s">
        <v>8</v>
      </c>
      <c r="K548" s="2" t="s">
        <v>8</v>
      </c>
      <c r="L548" s="2" t="s">
        <v>9</v>
      </c>
      <c r="M548" s="1" t="s">
        <v>7034</v>
      </c>
      <c r="N548" s="1" t="s">
        <v>7035</v>
      </c>
      <c r="O548" s="2" t="s">
        <v>1327</v>
      </c>
      <c r="Q548" s="2" t="s">
        <v>12</v>
      </c>
      <c r="R548" s="2" t="s">
        <v>1211</v>
      </c>
      <c r="S548" s="1" t="s">
        <v>7036</v>
      </c>
      <c r="T548" s="2" t="s">
        <v>14</v>
      </c>
      <c r="U548" s="3">
        <v>6</v>
      </c>
      <c r="V548" s="3">
        <v>6</v>
      </c>
      <c r="W548" s="4" t="s">
        <v>7037</v>
      </c>
      <c r="X548" s="4" t="s">
        <v>7037</v>
      </c>
      <c r="Y548" s="4" t="s">
        <v>7038</v>
      </c>
      <c r="Z548" s="4" t="s">
        <v>7038</v>
      </c>
      <c r="AA548" s="3">
        <v>7</v>
      </c>
      <c r="AB548" s="3">
        <v>7</v>
      </c>
      <c r="AC548" s="3">
        <v>9</v>
      </c>
      <c r="AD548" s="3">
        <v>1</v>
      </c>
      <c r="AE548" s="3">
        <v>1</v>
      </c>
      <c r="AF548" s="3">
        <v>0</v>
      </c>
      <c r="AG548" s="3">
        <v>0</v>
      </c>
      <c r="AH548" s="3">
        <v>0</v>
      </c>
      <c r="AI548" s="3">
        <v>0</v>
      </c>
      <c r="AJ548" s="3">
        <v>0</v>
      </c>
      <c r="AK548" s="3">
        <v>0</v>
      </c>
      <c r="AL548" s="3">
        <v>0</v>
      </c>
      <c r="AM548" s="3">
        <v>0</v>
      </c>
      <c r="AN548" s="3">
        <v>0</v>
      </c>
      <c r="AO548" s="3">
        <v>0</v>
      </c>
      <c r="AP548" s="3">
        <v>0</v>
      </c>
      <c r="AQ548" s="3">
        <v>0</v>
      </c>
      <c r="AR548" s="2" t="s">
        <v>8</v>
      </c>
      <c r="AS548" s="2" t="s">
        <v>8</v>
      </c>
      <c r="AU548" s="5" t="str">
        <f>HYPERLINK("https://creighton-primo.hosted.exlibrisgroup.com/primo-explore/search?tab=default_tab&amp;search_scope=EVERYTHING&amp;vid=01CRU&amp;lang=en_US&amp;offset=0&amp;query=any,contains,991001454659702656","Catalog Record")</f>
        <v>Catalog Record</v>
      </c>
      <c r="AV548" s="5" t="str">
        <f>HYPERLINK("http://www.worldcat.org/oclc/15134564","WorldCat Record")</f>
        <v>WorldCat Record</v>
      </c>
      <c r="AW548" s="2" t="s">
        <v>7039</v>
      </c>
      <c r="AX548" s="2" t="s">
        <v>7040</v>
      </c>
      <c r="AY548" s="2" t="s">
        <v>7041</v>
      </c>
      <c r="AZ548" s="2" t="s">
        <v>7041</v>
      </c>
      <c r="BA548" s="2" t="s">
        <v>7042</v>
      </c>
      <c r="BB548" s="2" t="s">
        <v>21</v>
      </c>
      <c r="BE548" s="2" t="s">
        <v>7043</v>
      </c>
      <c r="BF548" s="2" t="s">
        <v>7044</v>
      </c>
    </row>
    <row r="549" spans="1:58" ht="42.75" customHeight="1" x14ac:dyDescent="0.25">
      <c r="A549" s="8" t="s">
        <v>8</v>
      </c>
      <c r="B549" s="1" t="s">
        <v>0</v>
      </c>
      <c r="C549" s="1" t="s">
        <v>1</v>
      </c>
      <c r="D549" s="1" t="s">
        <v>7045</v>
      </c>
      <c r="E549" s="1" t="s">
        <v>7046</v>
      </c>
      <c r="F549" s="1" t="s">
        <v>7047</v>
      </c>
      <c r="H549" s="2" t="s">
        <v>8</v>
      </c>
      <c r="I549" s="2" t="s">
        <v>7</v>
      </c>
      <c r="J549" s="2" t="s">
        <v>8</v>
      </c>
      <c r="K549" s="2" t="s">
        <v>8</v>
      </c>
      <c r="L549" s="2" t="s">
        <v>7</v>
      </c>
      <c r="N549" s="1" t="s">
        <v>7048</v>
      </c>
      <c r="O549" s="2" t="s">
        <v>907</v>
      </c>
      <c r="Q549" s="2" t="s">
        <v>12</v>
      </c>
      <c r="R549" s="2" t="s">
        <v>13</v>
      </c>
      <c r="T549" s="2" t="s">
        <v>14</v>
      </c>
      <c r="U549" s="3">
        <v>5</v>
      </c>
      <c r="V549" s="3">
        <v>5</v>
      </c>
      <c r="W549" s="4" t="s">
        <v>7049</v>
      </c>
      <c r="X549" s="4" t="s">
        <v>7049</v>
      </c>
      <c r="Y549" s="4" t="s">
        <v>4740</v>
      </c>
      <c r="Z549" s="4" t="s">
        <v>4740</v>
      </c>
      <c r="AA549" s="3">
        <v>324</v>
      </c>
      <c r="AB549" s="3">
        <v>264</v>
      </c>
      <c r="AC549" s="3">
        <v>1129</v>
      </c>
      <c r="AD549" s="3">
        <v>1</v>
      </c>
      <c r="AE549" s="3">
        <v>14</v>
      </c>
      <c r="AF549" s="3">
        <v>14</v>
      </c>
      <c r="AG549" s="3">
        <v>51</v>
      </c>
      <c r="AH549" s="3">
        <v>4</v>
      </c>
      <c r="AI549" s="3">
        <v>15</v>
      </c>
      <c r="AJ549" s="3">
        <v>3</v>
      </c>
      <c r="AK549" s="3">
        <v>11</v>
      </c>
      <c r="AL549" s="3">
        <v>10</v>
      </c>
      <c r="AM549" s="3">
        <v>19</v>
      </c>
      <c r="AN549" s="3">
        <v>0</v>
      </c>
      <c r="AO549" s="3">
        <v>12</v>
      </c>
      <c r="AP549" s="3">
        <v>2</v>
      </c>
      <c r="AQ549" s="3">
        <v>4</v>
      </c>
      <c r="AR549" s="2" t="s">
        <v>8</v>
      </c>
      <c r="AS549" s="2" t="s">
        <v>8</v>
      </c>
      <c r="AU549" s="5" t="str">
        <f>HYPERLINK("https://creighton-primo.hosted.exlibrisgroup.com/primo-explore/search?tab=default_tab&amp;search_scope=EVERYTHING&amp;vid=01CRU&amp;lang=en_US&amp;offset=0&amp;query=any,contains,991000377849702656","Catalog Record")</f>
        <v>Catalog Record</v>
      </c>
      <c r="AV549" s="5" t="str">
        <f>HYPERLINK("http://www.worldcat.org/oclc/41380504","WorldCat Record")</f>
        <v>WorldCat Record</v>
      </c>
      <c r="AW549" s="2" t="s">
        <v>7050</v>
      </c>
      <c r="AX549" s="2" t="s">
        <v>7051</v>
      </c>
      <c r="AY549" s="2" t="s">
        <v>7052</v>
      </c>
      <c r="AZ549" s="2" t="s">
        <v>7052</v>
      </c>
      <c r="BA549" s="2" t="s">
        <v>7053</v>
      </c>
      <c r="BB549" s="2" t="s">
        <v>21</v>
      </c>
      <c r="BD549" s="2" t="s">
        <v>7054</v>
      </c>
      <c r="BE549" s="2" t="s">
        <v>7055</v>
      </c>
      <c r="BF549" s="2" t="s">
        <v>7056</v>
      </c>
    </row>
    <row r="550" spans="1:58" ht="42.75" customHeight="1" x14ac:dyDescent="0.25">
      <c r="A550" s="8" t="s">
        <v>8</v>
      </c>
      <c r="B550" s="1" t="s">
        <v>0</v>
      </c>
      <c r="C550" s="1" t="s">
        <v>1</v>
      </c>
      <c r="D550" s="1" t="s">
        <v>7057</v>
      </c>
      <c r="E550" s="1" t="s">
        <v>7058</v>
      </c>
      <c r="F550" s="1" t="s">
        <v>7059</v>
      </c>
      <c r="H550" s="2" t="s">
        <v>8</v>
      </c>
      <c r="I550" s="2" t="s">
        <v>7</v>
      </c>
      <c r="J550" s="2" t="s">
        <v>8</v>
      </c>
      <c r="K550" s="2" t="s">
        <v>8</v>
      </c>
      <c r="L550" s="2" t="s">
        <v>9</v>
      </c>
      <c r="M550" s="1" t="s">
        <v>7060</v>
      </c>
      <c r="N550" s="1" t="s">
        <v>7061</v>
      </c>
      <c r="O550" s="2" t="s">
        <v>1034</v>
      </c>
      <c r="Q550" s="2" t="s">
        <v>12</v>
      </c>
      <c r="R550" s="2" t="s">
        <v>456</v>
      </c>
      <c r="T550" s="2" t="s">
        <v>14</v>
      </c>
      <c r="U550" s="3">
        <v>6</v>
      </c>
      <c r="V550" s="3">
        <v>6</v>
      </c>
      <c r="W550" s="4" t="s">
        <v>5211</v>
      </c>
      <c r="X550" s="4" t="s">
        <v>5211</v>
      </c>
      <c r="Y550" s="4" t="s">
        <v>4443</v>
      </c>
      <c r="Z550" s="4" t="s">
        <v>4443</v>
      </c>
      <c r="AA550" s="3">
        <v>1</v>
      </c>
      <c r="AB550" s="3">
        <v>1</v>
      </c>
      <c r="AC550" s="3">
        <v>3</v>
      </c>
      <c r="AD550" s="3">
        <v>1</v>
      </c>
      <c r="AE550" s="3">
        <v>1</v>
      </c>
      <c r="AF550" s="3">
        <v>0</v>
      </c>
      <c r="AG550" s="3">
        <v>0</v>
      </c>
      <c r="AH550" s="3">
        <v>0</v>
      </c>
      <c r="AI550" s="3">
        <v>0</v>
      </c>
      <c r="AJ550" s="3">
        <v>0</v>
      </c>
      <c r="AK550" s="3">
        <v>0</v>
      </c>
      <c r="AL550" s="3">
        <v>0</v>
      </c>
      <c r="AM550" s="3">
        <v>0</v>
      </c>
      <c r="AN550" s="3">
        <v>0</v>
      </c>
      <c r="AO550" s="3">
        <v>0</v>
      </c>
      <c r="AP550" s="3">
        <v>0</v>
      </c>
      <c r="AQ550" s="3">
        <v>0</v>
      </c>
      <c r="AR550" s="2" t="s">
        <v>8</v>
      </c>
      <c r="AS550" s="2" t="s">
        <v>8</v>
      </c>
      <c r="AU550" s="5" t="str">
        <f>HYPERLINK("https://creighton-primo.hosted.exlibrisgroup.com/primo-explore/search?tab=default_tab&amp;search_scope=EVERYTHING&amp;vid=01CRU&amp;lang=en_US&amp;offset=0&amp;query=any,contains,991001459399702656","Catalog Record")</f>
        <v>Catalog Record</v>
      </c>
      <c r="AV550" s="5" t="str">
        <f>HYPERLINK("http://www.worldcat.org/oclc/5122174","WorldCat Record")</f>
        <v>WorldCat Record</v>
      </c>
      <c r="AW550" s="2" t="s">
        <v>7062</v>
      </c>
      <c r="AX550" s="2" t="s">
        <v>7063</v>
      </c>
      <c r="AY550" s="2" t="s">
        <v>7064</v>
      </c>
      <c r="AZ550" s="2" t="s">
        <v>7064</v>
      </c>
      <c r="BA550" s="2" t="s">
        <v>7065</v>
      </c>
      <c r="BB550" s="2" t="s">
        <v>21</v>
      </c>
      <c r="BE550" s="2" t="s">
        <v>7066</v>
      </c>
      <c r="BF550" s="2" t="s">
        <v>7067</v>
      </c>
    </row>
    <row r="551" spans="1:58" ht="42.75" customHeight="1" x14ac:dyDescent="0.25">
      <c r="A551" s="8" t="s">
        <v>8</v>
      </c>
      <c r="B551" s="1" t="s">
        <v>0</v>
      </c>
      <c r="C551" s="1" t="s">
        <v>1</v>
      </c>
      <c r="D551" s="1" t="s">
        <v>7068</v>
      </c>
      <c r="E551" s="1" t="s">
        <v>7069</v>
      </c>
      <c r="F551" s="1" t="s">
        <v>7070</v>
      </c>
      <c r="H551" s="2" t="s">
        <v>8</v>
      </c>
      <c r="I551" s="2" t="s">
        <v>7</v>
      </c>
      <c r="J551" s="2" t="s">
        <v>8</v>
      </c>
      <c r="K551" s="2" t="s">
        <v>8</v>
      </c>
      <c r="L551" s="2" t="s">
        <v>9</v>
      </c>
      <c r="M551" s="1" t="s">
        <v>7071</v>
      </c>
      <c r="N551" s="1" t="s">
        <v>7061</v>
      </c>
      <c r="O551" s="2" t="s">
        <v>7072</v>
      </c>
      <c r="Q551" s="2" t="s">
        <v>12</v>
      </c>
      <c r="R551" s="2" t="s">
        <v>7073</v>
      </c>
      <c r="T551" s="2" t="s">
        <v>14</v>
      </c>
      <c r="U551" s="3">
        <v>11</v>
      </c>
      <c r="V551" s="3">
        <v>11</v>
      </c>
      <c r="W551" s="4" t="s">
        <v>7074</v>
      </c>
      <c r="X551" s="4" t="s">
        <v>7074</v>
      </c>
      <c r="Y551" s="4" t="s">
        <v>7075</v>
      </c>
      <c r="Z551" s="4" t="s">
        <v>7075</v>
      </c>
      <c r="AA551" s="3">
        <v>69</v>
      </c>
      <c r="AB551" s="3">
        <v>60</v>
      </c>
      <c r="AC551" s="3">
        <v>70</v>
      </c>
      <c r="AD551" s="3">
        <v>1</v>
      </c>
      <c r="AE551" s="3">
        <v>1</v>
      </c>
      <c r="AF551" s="3">
        <v>8</v>
      </c>
      <c r="AG551" s="3">
        <v>8</v>
      </c>
      <c r="AH551" s="3">
        <v>2</v>
      </c>
      <c r="AI551" s="3">
        <v>2</v>
      </c>
      <c r="AJ551" s="3">
        <v>0</v>
      </c>
      <c r="AK551" s="3">
        <v>0</v>
      </c>
      <c r="AL551" s="3">
        <v>8</v>
      </c>
      <c r="AM551" s="3">
        <v>8</v>
      </c>
      <c r="AN551" s="3">
        <v>0</v>
      </c>
      <c r="AO551" s="3">
        <v>0</v>
      </c>
      <c r="AP551" s="3">
        <v>0</v>
      </c>
      <c r="AQ551" s="3">
        <v>0</v>
      </c>
      <c r="AR551" s="2" t="s">
        <v>6</v>
      </c>
      <c r="AS551" s="2" t="s">
        <v>8</v>
      </c>
      <c r="AT551" s="5" t="str">
        <f>HYPERLINK("http://catalog.hathitrust.org/Record/007555946","HathiTrust Record")</f>
        <v>HathiTrust Record</v>
      </c>
      <c r="AU551" s="5" t="str">
        <f>HYPERLINK("https://creighton-primo.hosted.exlibrisgroup.com/primo-explore/search?tab=default_tab&amp;search_scope=EVERYTHING&amp;vid=01CRU&amp;lang=en_US&amp;offset=0&amp;query=any,contains,991001190889702656","Catalog Record")</f>
        <v>Catalog Record</v>
      </c>
      <c r="AV551" s="5" t="str">
        <f>HYPERLINK("http://www.worldcat.org/oclc/14669881","WorldCat Record")</f>
        <v>WorldCat Record</v>
      </c>
      <c r="AW551" s="2" t="s">
        <v>7076</v>
      </c>
      <c r="AX551" s="2" t="s">
        <v>7077</v>
      </c>
      <c r="AY551" s="2" t="s">
        <v>7078</v>
      </c>
      <c r="AZ551" s="2" t="s">
        <v>7078</v>
      </c>
      <c r="BA551" s="2" t="s">
        <v>7079</v>
      </c>
      <c r="BB551" s="2" t="s">
        <v>21</v>
      </c>
      <c r="BE551" s="2" t="s">
        <v>7080</v>
      </c>
      <c r="BF551" s="2" t="s">
        <v>7081</v>
      </c>
    </row>
    <row r="552" spans="1:58" ht="42.75" customHeight="1" x14ac:dyDescent="0.25">
      <c r="A552" s="8" t="s">
        <v>8</v>
      </c>
      <c r="B552" s="1" t="s">
        <v>0</v>
      </c>
      <c r="C552" s="1" t="s">
        <v>1</v>
      </c>
      <c r="D552" s="1" t="s">
        <v>7082</v>
      </c>
      <c r="E552" s="1" t="s">
        <v>7083</v>
      </c>
      <c r="F552" s="1" t="s">
        <v>7084</v>
      </c>
      <c r="H552" s="2" t="s">
        <v>8</v>
      </c>
      <c r="I552" s="2" t="s">
        <v>7</v>
      </c>
      <c r="J552" s="2" t="s">
        <v>8</v>
      </c>
      <c r="K552" s="2" t="s">
        <v>8</v>
      </c>
      <c r="L552" s="2" t="s">
        <v>9</v>
      </c>
      <c r="M552" s="1" t="s">
        <v>7085</v>
      </c>
      <c r="N552" s="1" t="s">
        <v>7086</v>
      </c>
      <c r="O552" s="2" t="s">
        <v>1034</v>
      </c>
      <c r="Q552" s="2" t="s">
        <v>12</v>
      </c>
      <c r="R552" s="2" t="s">
        <v>456</v>
      </c>
      <c r="T552" s="2" t="s">
        <v>14</v>
      </c>
      <c r="U552" s="3">
        <v>2</v>
      </c>
      <c r="V552" s="3">
        <v>2</v>
      </c>
      <c r="W552" s="4" t="s">
        <v>7087</v>
      </c>
      <c r="X552" s="4" t="s">
        <v>7087</v>
      </c>
      <c r="Y552" s="4" t="s">
        <v>4443</v>
      </c>
      <c r="Z552" s="4" t="s">
        <v>4443</v>
      </c>
      <c r="AA552" s="3">
        <v>15</v>
      </c>
      <c r="AB552" s="3">
        <v>13</v>
      </c>
      <c r="AC552" s="3">
        <v>13</v>
      </c>
      <c r="AD552" s="3">
        <v>1</v>
      </c>
      <c r="AE552" s="3">
        <v>1</v>
      </c>
      <c r="AF552" s="3">
        <v>0</v>
      </c>
      <c r="AG552" s="3">
        <v>0</v>
      </c>
      <c r="AH552" s="3">
        <v>0</v>
      </c>
      <c r="AI552" s="3">
        <v>0</v>
      </c>
      <c r="AJ552" s="3">
        <v>0</v>
      </c>
      <c r="AK552" s="3">
        <v>0</v>
      </c>
      <c r="AL552" s="3">
        <v>0</v>
      </c>
      <c r="AM552" s="3">
        <v>0</v>
      </c>
      <c r="AN552" s="3">
        <v>0</v>
      </c>
      <c r="AO552" s="3">
        <v>0</v>
      </c>
      <c r="AP552" s="3">
        <v>0</v>
      </c>
      <c r="AQ552" s="3">
        <v>0</v>
      </c>
      <c r="AR552" s="2" t="s">
        <v>8</v>
      </c>
      <c r="AS552" s="2" t="s">
        <v>8</v>
      </c>
      <c r="AU552" s="5" t="str">
        <f>HYPERLINK("https://creighton-primo.hosted.exlibrisgroup.com/primo-explore/search?tab=default_tab&amp;search_scope=EVERYTHING&amp;vid=01CRU&amp;lang=en_US&amp;offset=0&amp;query=any,contains,991001459439702656","Catalog Record")</f>
        <v>Catalog Record</v>
      </c>
      <c r="AV552" s="5" t="str">
        <f>HYPERLINK("http://www.worldcat.org/oclc/6157632","WorldCat Record")</f>
        <v>WorldCat Record</v>
      </c>
      <c r="AW552" s="2" t="s">
        <v>7088</v>
      </c>
      <c r="AX552" s="2" t="s">
        <v>7089</v>
      </c>
      <c r="AY552" s="2" t="s">
        <v>7090</v>
      </c>
      <c r="AZ552" s="2" t="s">
        <v>7090</v>
      </c>
      <c r="BA552" s="2" t="s">
        <v>7091</v>
      </c>
      <c r="BB552" s="2" t="s">
        <v>21</v>
      </c>
      <c r="BE552" s="2" t="s">
        <v>7092</v>
      </c>
      <c r="BF552" s="2" t="s">
        <v>7093</v>
      </c>
    </row>
    <row r="553" spans="1:58" ht="42.75" customHeight="1" x14ac:dyDescent="0.25">
      <c r="A553" s="8" t="s">
        <v>8</v>
      </c>
      <c r="B553" s="1" t="s">
        <v>0</v>
      </c>
      <c r="C553" s="1" t="s">
        <v>1</v>
      </c>
      <c r="D553" s="1" t="s">
        <v>7094</v>
      </c>
      <c r="E553" s="1" t="s">
        <v>7095</v>
      </c>
      <c r="F553" s="1" t="s">
        <v>7096</v>
      </c>
      <c r="H553" s="2" t="s">
        <v>8</v>
      </c>
      <c r="I553" s="2" t="s">
        <v>7</v>
      </c>
      <c r="J553" s="2" t="s">
        <v>8</v>
      </c>
      <c r="K553" s="2" t="s">
        <v>8</v>
      </c>
      <c r="L553" s="2" t="s">
        <v>9</v>
      </c>
      <c r="M553" s="1" t="s">
        <v>7097</v>
      </c>
      <c r="N553" s="1" t="s">
        <v>7098</v>
      </c>
      <c r="O553" s="2" t="s">
        <v>1629</v>
      </c>
      <c r="Q553" s="2" t="s">
        <v>12</v>
      </c>
      <c r="R553" s="2" t="s">
        <v>267</v>
      </c>
      <c r="T553" s="2" t="s">
        <v>14</v>
      </c>
      <c r="U553" s="3">
        <v>6</v>
      </c>
      <c r="V553" s="3">
        <v>6</v>
      </c>
      <c r="W553" s="4" t="s">
        <v>7099</v>
      </c>
      <c r="X553" s="4" t="s">
        <v>7099</v>
      </c>
      <c r="Y553" s="4" t="s">
        <v>7100</v>
      </c>
      <c r="Z553" s="4" t="s">
        <v>7100</v>
      </c>
      <c r="AA553" s="3">
        <v>2</v>
      </c>
      <c r="AB553" s="3">
        <v>2</v>
      </c>
      <c r="AC553" s="3">
        <v>2</v>
      </c>
      <c r="AD553" s="3">
        <v>1</v>
      </c>
      <c r="AE553" s="3">
        <v>1</v>
      </c>
      <c r="AF553" s="3">
        <v>0</v>
      </c>
      <c r="AG553" s="3">
        <v>0</v>
      </c>
      <c r="AH553" s="3">
        <v>0</v>
      </c>
      <c r="AI553" s="3">
        <v>0</v>
      </c>
      <c r="AJ553" s="3">
        <v>0</v>
      </c>
      <c r="AK553" s="3">
        <v>0</v>
      </c>
      <c r="AL553" s="3">
        <v>0</v>
      </c>
      <c r="AM553" s="3">
        <v>0</v>
      </c>
      <c r="AN553" s="3">
        <v>0</v>
      </c>
      <c r="AO553" s="3">
        <v>0</v>
      </c>
      <c r="AP553" s="3">
        <v>0</v>
      </c>
      <c r="AQ553" s="3">
        <v>0</v>
      </c>
      <c r="AR553" s="2" t="s">
        <v>8</v>
      </c>
      <c r="AS553" s="2" t="s">
        <v>8</v>
      </c>
      <c r="AU553" s="5" t="str">
        <f>HYPERLINK("https://creighton-primo.hosted.exlibrisgroup.com/primo-explore/search?tab=default_tab&amp;search_scope=EVERYTHING&amp;vid=01CRU&amp;lang=en_US&amp;offset=0&amp;query=any,contains,991001242959702656","Catalog Record")</f>
        <v>Catalog Record</v>
      </c>
      <c r="AV553" s="5" t="str">
        <f>HYPERLINK("http://www.worldcat.org/oclc/11542285","WorldCat Record")</f>
        <v>WorldCat Record</v>
      </c>
      <c r="AW553" s="2" t="s">
        <v>7101</v>
      </c>
      <c r="AX553" s="2" t="s">
        <v>7102</v>
      </c>
      <c r="AY553" s="2" t="s">
        <v>7103</v>
      </c>
      <c r="AZ553" s="2" t="s">
        <v>7103</v>
      </c>
      <c r="BA553" s="2" t="s">
        <v>7104</v>
      </c>
      <c r="BB553" s="2" t="s">
        <v>21</v>
      </c>
      <c r="BE553" s="2" t="s">
        <v>7105</v>
      </c>
      <c r="BF553" s="2" t="s">
        <v>7106</v>
      </c>
    </row>
    <row r="554" spans="1:58" ht="42.75" customHeight="1" x14ac:dyDescent="0.25">
      <c r="A554" s="8" t="s">
        <v>8</v>
      </c>
      <c r="B554" s="1" t="s">
        <v>0</v>
      </c>
      <c r="C554" s="1" t="s">
        <v>1</v>
      </c>
      <c r="D554" s="1" t="s">
        <v>7107</v>
      </c>
      <c r="E554" s="1" t="s">
        <v>7108</v>
      </c>
      <c r="F554" s="1" t="s">
        <v>7109</v>
      </c>
      <c r="H554" s="2" t="s">
        <v>8</v>
      </c>
      <c r="I554" s="2" t="s">
        <v>7</v>
      </c>
      <c r="J554" s="2" t="s">
        <v>8</v>
      </c>
      <c r="K554" s="2" t="s">
        <v>8</v>
      </c>
      <c r="L554" s="2" t="s">
        <v>9</v>
      </c>
      <c r="M554" s="1" t="s">
        <v>7110</v>
      </c>
      <c r="N554" s="1" t="s">
        <v>7111</v>
      </c>
      <c r="O554" s="2" t="s">
        <v>114</v>
      </c>
      <c r="Q554" s="2" t="s">
        <v>12</v>
      </c>
      <c r="R554" s="2" t="s">
        <v>13</v>
      </c>
      <c r="T554" s="2" t="s">
        <v>14</v>
      </c>
      <c r="U554" s="3">
        <v>3</v>
      </c>
      <c r="V554" s="3">
        <v>3</v>
      </c>
      <c r="W554" s="4" t="s">
        <v>7112</v>
      </c>
      <c r="X554" s="4" t="s">
        <v>7112</v>
      </c>
      <c r="Y554" s="4" t="s">
        <v>1254</v>
      </c>
      <c r="Z554" s="4" t="s">
        <v>1254</v>
      </c>
      <c r="AA554" s="3">
        <v>18</v>
      </c>
      <c r="AB554" s="3">
        <v>13</v>
      </c>
      <c r="AC554" s="3">
        <v>13</v>
      </c>
      <c r="AD554" s="3">
        <v>1</v>
      </c>
      <c r="AE554" s="3">
        <v>1</v>
      </c>
      <c r="AF554" s="3">
        <v>0</v>
      </c>
      <c r="AG554" s="3">
        <v>0</v>
      </c>
      <c r="AH554" s="3">
        <v>0</v>
      </c>
      <c r="AI554" s="3">
        <v>0</v>
      </c>
      <c r="AJ554" s="3">
        <v>0</v>
      </c>
      <c r="AK554" s="3">
        <v>0</v>
      </c>
      <c r="AL554" s="3">
        <v>0</v>
      </c>
      <c r="AM554" s="3">
        <v>0</v>
      </c>
      <c r="AN554" s="3">
        <v>0</v>
      </c>
      <c r="AO554" s="3">
        <v>0</v>
      </c>
      <c r="AP554" s="3">
        <v>0</v>
      </c>
      <c r="AQ554" s="3">
        <v>0</v>
      </c>
      <c r="AR554" s="2" t="s">
        <v>8</v>
      </c>
      <c r="AS554" s="2" t="s">
        <v>8</v>
      </c>
      <c r="AU554" s="5" t="str">
        <f>HYPERLINK("https://creighton-primo.hosted.exlibrisgroup.com/primo-explore/search?tab=default_tab&amp;search_scope=EVERYTHING&amp;vid=01CRU&amp;lang=en_US&amp;offset=0&amp;query=any,contains,991001459339702656","Catalog Record")</f>
        <v>Catalog Record</v>
      </c>
      <c r="AV554" s="5" t="str">
        <f>HYPERLINK("http://www.worldcat.org/oclc/14416105","WorldCat Record")</f>
        <v>WorldCat Record</v>
      </c>
      <c r="AW554" s="2" t="s">
        <v>7113</v>
      </c>
      <c r="AX554" s="2" t="s">
        <v>7114</v>
      </c>
      <c r="AY554" s="2" t="s">
        <v>7115</v>
      </c>
      <c r="AZ554" s="2" t="s">
        <v>7115</v>
      </c>
      <c r="BA554" s="2" t="s">
        <v>7116</v>
      </c>
      <c r="BB554" s="2" t="s">
        <v>21</v>
      </c>
      <c r="BE554" s="2" t="s">
        <v>7117</v>
      </c>
      <c r="BF554" s="2" t="s">
        <v>7118</v>
      </c>
    </row>
    <row r="555" spans="1:58" ht="42.75" customHeight="1" x14ac:dyDescent="0.25">
      <c r="A555" s="8" t="s">
        <v>8</v>
      </c>
      <c r="B555" s="1" t="s">
        <v>0</v>
      </c>
      <c r="C555" s="1" t="s">
        <v>1</v>
      </c>
      <c r="D555" s="1" t="s">
        <v>7119</v>
      </c>
      <c r="E555" s="1" t="s">
        <v>7120</v>
      </c>
      <c r="F555" s="1" t="s">
        <v>7121</v>
      </c>
      <c r="H555" s="2" t="s">
        <v>8</v>
      </c>
      <c r="I555" s="2" t="s">
        <v>7</v>
      </c>
      <c r="J555" s="2" t="s">
        <v>8</v>
      </c>
      <c r="K555" s="2" t="s">
        <v>6</v>
      </c>
      <c r="L555" s="2" t="s">
        <v>9</v>
      </c>
      <c r="N555" s="1" t="s">
        <v>7122</v>
      </c>
      <c r="O555" s="2" t="s">
        <v>1629</v>
      </c>
      <c r="P555" s="1" t="s">
        <v>1225</v>
      </c>
      <c r="Q555" s="2" t="s">
        <v>12</v>
      </c>
      <c r="R555" s="2" t="s">
        <v>628</v>
      </c>
      <c r="T555" s="2" t="s">
        <v>14</v>
      </c>
      <c r="U555" s="3">
        <v>27</v>
      </c>
      <c r="V555" s="3">
        <v>27</v>
      </c>
      <c r="W555" s="4" t="s">
        <v>7123</v>
      </c>
      <c r="X555" s="4" t="s">
        <v>7123</v>
      </c>
      <c r="Y555" s="4" t="s">
        <v>4443</v>
      </c>
      <c r="Z555" s="4" t="s">
        <v>4443</v>
      </c>
      <c r="AA555" s="3">
        <v>170</v>
      </c>
      <c r="AB555" s="3">
        <v>156</v>
      </c>
      <c r="AC555" s="3">
        <v>1311</v>
      </c>
      <c r="AD555" s="3">
        <v>2</v>
      </c>
      <c r="AE555" s="3">
        <v>7</v>
      </c>
      <c r="AF555" s="3">
        <v>7</v>
      </c>
      <c r="AG555" s="3">
        <v>33</v>
      </c>
      <c r="AH555" s="3">
        <v>3</v>
      </c>
      <c r="AI555" s="3">
        <v>14</v>
      </c>
      <c r="AJ555" s="3">
        <v>0</v>
      </c>
      <c r="AK555" s="3">
        <v>4</v>
      </c>
      <c r="AL555" s="3">
        <v>5</v>
      </c>
      <c r="AM555" s="3">
        <v>17</v>
      </c>
      <c r="AN555" s="3">
        <v>0</v>
      </c>
      <c r="AO555" s="3">
        <v>2</v>
      </c>
      <c r="AP555" s="3">
        <v>0</v>
      </c>
      <c r="AQ555" s="3">
        <v>4</v>
      </c>
      <c r="AR555" s="2" t="s">
        <v>8</v>
      </c>
      <c r="AS555" s="2" t="s">
        <v>8</v>
      </c>
      <c r="AU555" s="5" t="str">
        <f>HYPERLINK("https://creighton-primo.hosted.exlibrisgroup.com/primo-explore/search?tab=default_tab&amp;search_scope=EVERYTHING&amp;vid=01CRU&amp;lang=en_US&amp;offset=0&amp;query=any,contains,991001459529702656","Catalog Record")</f>
        <v>Catalog Record</v>
      </c>
      <c r="AV555" s="5" t="str">
        <f>HYPERLINK("http://www.worldcat.org/oclc/10777591","WorldCat Record")</f>
        <v>WorldCat Record</v>
      </c>
      <c r="AW555" s="2" t="s">
        <v>7124</v>
      </c>
      <c r="AX555" s="2" t="s">
        <v>7125</v>
      </c>
      <c r="AY555" s="2" t="s">
        <v>7126</v>
      </c>
      <c r="AZ555" s="2" t="s">
        <v>7126</v>
      </c>
      <c r="BA555" s="2" t="s">
        <v>7127</v>
      </c>
      <c r="BB555" s="2" t="s">
        <v>21</v>
      </c>
      <c r="BD555" s="2" t="s">
        <v>7128</v>
      </c>
      <c r="BE555" s="2" t="s">
        <v>7129</v>
      </c>
      <c r="BF555" s="2" t="s">
        <v>7130</v>
      </c>
    </row>
    <row r="556" spans="1:58" ht="42.75" customHeight="1" x14ac:dyDescent="0.25">
      <c r="A556" s="8" t="s">
        <v>8</v>
      </c>
      <c r="B556" s="1" t="s">
        <v>0</v>
      </c>
      <c r="C556" s="1" t="s">
        <v>1</v>
      </c>
      <c r="D556" s="1" t="s">
        <v>7131</v>
      </c>
      <c r="E556" s="1" t="s">
        <v>7132</v>
      </c>
      <c r="F556" s="1" t="s">
        <v>7133</v>
      </c>
      <c r="H556" s="2" t="s">
        <v>8</v>
      </c>
      <c r="I556" s="2" t="s">
        <v>7</v>
      </c>
      <c r="J556" s="2" t="s">
        <v>8</v>
      </c>
      <c r="K556" s="2" t="s">
        <v>8</v>
      </c>
      <c r="L556" s="2" t="s">
        <v>9</v>
      </c>
      <c r="N556" s="1" t="s">
        <v>7134</v>
      </c>
      <c r="O556" s="2" t="s">
        <v>67</v>
      </c>
      <c r="Q556" s="2" t="s">
        <v>12</v>
      </c>
      <c r="R556" s="2" t="s">
        <v>1211</v>
      </c>
      <c r="T556" s="2" t="s">
        <v>14</v>
      </c>
      <c r="U556" s="3">
        <v>6</v>
      </c>
      <c r="V556" s="3">
        <v>6</v>
      </c>
      <c r="W556" s="4" t="s">
        <v>7135</v>
      </c>
      <c r="X556" s="4" t="s">
        <v>7135</v>
      </c>
      <c r="Y556" s="4" t="s">
        <v>7038</v>
      </c>
      <c r="Z556" s="4" t="s">
        <v>7038</v>
      </c>
      <c r="AA556" s="3">
        <v>18</v>
      </c>
      <c r="AB556" s="3">
        <v>18</v>
      </c>
      <c r="AC556" s="3">
        <v>18</v>
      </c>
      <c r="AD556" s="3">
        <v>1</v>
      </c>
      <c r="AE556" s="3">
        <v>1</v>
      </c>
      <c r="AF556" s="3">
        <v>2</v>
      </c>
      <c r="AG556" s="3">
        <v>2</v>
      </c>
      <c r="AH556" s="3">
        <v>0</v>
      </c>
      <c r="AI556" s="3">
        <v>0</v>
      </c>
      <c r="AJ556" s="3">
        <v>0</v>
      </c>
      <c r="AK556" s="3">
        <v>0</v>
      </c>
      <c r="AL556" s="3">
        <v>0</v>
      </c>
      <c r="AM556" s="3">
        <v>0</v>
      </c>
      <c r="AN556" s="3">
        <v>0</v>
      </c>
      <c r="AO556" s="3">
        <v>0</v>
      </c>
      <c r="AP556" s="3">
        <v>2</v>
      </c>
      <c r="AQ556" s="3">
        <v>2</v>
      </c>
      <c r="AR556" s="2" t="s">
        <v>8</v>
      </c>
      <c r="AS556" s="2" t="s">
        <v>8</v>
      </c>
      <c r="AU556" s="5" t="str">
        <f>HYPERLINK("https://creighton-primo.hosted.exlibrisgroup.com/primo-explore/search?tab=default_tab&amp;search_scope=EVERYTHING&amp;vid=01CRU&amp;lang=en_US&amp;offset=0&amp;query=any,contains,991001454739702656","Catalog Record")</f>
        <v>Catalog Record</v>
      </c>
      <c r="AV556" s="5" t="str">
        <f>HYPERLINK("http://www.worldcat.org/oclc/12790261","WorldCat Record")</f>
        <v>WorldCat Record</v>
      </c>
      <c r="AW556" s="2" t="s">
        <v>7136</v>
      </c>
      <c r="AX556" s="2" t="s">
        <v>7137</v>
      </c>
      <c r="AY556" s="2" t="s">
        <v>7138</v>
      </c>
      <c r="AZ556" s="2" t="s">
        <v>7138</v>
      </c>
      <c r="BA556" s="2" t="s">
        <v>7139</v>
      </c>
      <c r="BB556" s="2" t="s">
        <v>21</v>
      </c>
      <c r="BE556" s="2" t="s">
        <v>7140</v>
      </c>
      <c r="BF556" s="2" t="s">
        <v>7141</v>
      </c>
    </row>
    <row r="557" spans="1:58" ht="42.75" customHeight="1" x14ac:dyDescent="0.25">
      <c r="A557" s="8" t="s">
        <v>8</v>
      </c>
      <c r="B557" s="1" t="s">
        <v>0</v>
      </c>
      <c r="C557" s="1" t="s">
        <v>1</v>
      </c>
      <c r="D557" s="1" t="s">
        <v>7142</v>
      </c>
      <c r="E557" s="1" t="s">
        <v>7143</v>
      </c>
      <c r="F557" s="1" t="s">
        <v>7144</v>
      </c>
      <c r="H557" s="2" t="s">
        <v>8</v>
      </c>
      <c r="I557" s="2" t="s">
        <v>7</v>
      </c>
      <c r="J557" s="2" t="s">
        <v>8</v>
      </c>
      <c r="K557" s="2" t="s">
        <v>6</v>
      </c>
      <c r="L557" s="2" t="s">
        <v>9</v>
      </c>
      <c r="N557" s="1" t="s">
        <v>7145</v>
      </c>
      <c r="O557" s="2" t="s">
        <v>2089</v>
      </c>
      <c r="P557" s="1" t="s">
        <v>7146</v>
      </c>
      <c r="Q557" s="2" t="s">
        <v>12</v>
      </c>
      <c r="R557" s="2" t="s">
        <v>628</v>
      </c>
      <c r="T557" s="2" t="s">
        <v>14</v>
      </c>
      <c r="U557" s="3">
        <v>4</v>
      </c>
      <c r="V557" s="3">
        <v>4</v>
      </c>
      <c r="W557" s="4" t="s">
        <v>7147</v>
      </c>
      <c r="X557" s="4" t="s">
        <v>7147</v>
      </c>
      <c r="Y557" s="4" t="s">
        <v>7148</v>
      </c>
      <c r="Z557" s="4" t="s">
        <v>7148</v>
      </c>
      <c r="AA557" s="3">
        <v>250</v>
      </c>
      <c r="AB557" s="3">
        <v>211</v>
      </c>
      <c r="AC557" s="3">
        <v>1311</v>
      </c>
      <c r="AD557" s="3">
        <v>2</v>
      </c>
      <c r="AE557" s="3">
        <v>7</v>
      </c>
      <c r="AF557" s="3">
        <v>7</v>
      </c>
      <c r="AG557" s="3">
        <v>33</v>
      </c>
      <c r="AH557" s="3">
        <v>4</v>
      </c>
      <c r="AI557" s="3">
        <v>14</v>
      </c>
      <c r="AJ557" s="3">
        <v>1</v>
      </c>
      <c r="AK557" s="3">
        <v>4</v>
      </c>
      <c r="AL557" s="3">
        <v>5</v>
      </c>
      <c r="AM557" s="3">
        <v>17</v>
      </c>
      <c r="AN557" s="3">
        <v>1</v>
      </c>
      <c r="AO557" s="3">
        <v>2</v>
      </c>
      <c r="AP557" s="3">
        <v>0</v>
      </c>
      <c r="AQ557" s="3">
        <v>4</v>
      </c>
      <c r="AR557" s="2" t="s">
        <v>8</v>
      </c>
      <c r="AS557" s="2" t="s">
        <v>8</v>
      </c>
      <c r="AU557" s="5" t="str">
        <f>HYPERLINK("https://creighton-primo.hosted.exlibrisgroup.com/primo-explore/search?tab=default_tab&amp;search_scope=EVERYTHING&amp;vid=01CRU&amp;lang=en_US&amp;offset=0&amp;query=any,contains,991000593699702656","Catalog Record")</f>
        <v>Catalog Record</v>
      </c>
      <c r="AV557" s="5" t="str">
        <f>HYPERLINK("http://www.worldcat.org/oclc/60531543","WorldCat Record")</f>
        <v>WorldCat Record</v>
      </c>
      <c r="AW557" s="2" t="s">
        <v>7124</v>
      </c>
      <c r="AX557" s="2" t="s">
        <v>7149</v>
      </c>
      <c r="AY557" s="2" t="s">
        <v>7150</v>
      </c>
      <c r="AZ557" s="2" t="s">
        <v>7150</v>
      </c>
      <c r="BA557" s="2" t="s">
        <v>7151</v>
      </c>
      <c r="BB557" s="2" t="s">
        <v>21</v>
      </c>
      <c r="BD557" s="2" t="s">
        <v>7152</v>
      </c>
      <c r="BE557" s="2" t="s">
        <v>7153</v>
      </c>
      <c r="BF557" s="2" t="s">
        <v>7154</v>
      </c>
    </row>
    <row r="558" spans="1:58" ht="42.75" customHeight="1" x14ac:dyDescent="0.25">
      <c r="A558" s="8" t="s">
        <v>8</v>
      </c>
      <c r="B558" s="1" t="s">
        <v>0</v>
      </c>
      <c r="C558" s="1" t="s">
        <v>1</v>
      </c>
      <c r="D558" s="1" t="s">
        <v>7155</v>
      </c>
      <c r="E558" s="1" t="s">
        <v>7156</v>
      </c>
      <c r="F558" s="1" t="s">
        <v>7157</v>
      </c>
      <c r="H558" s="2" t="s">
        <v>8</v>
      </c>
      <c r="I558" s="2" t="s">
        <v>7</v>
      </c>
      <c r="J558" s="2" t="s">
        <v>8</v>
      </c>
      <c r="K558" s="2" t="s">
        <v>6</v>
      </c>
      <c r="L558" s="2" t="s">
        <v>9</v>
      </c>
      <c r="M558" s="1" t="s">
        <v>7158</v>
      </c>
      <c r="N558" s="1" t="s">
        <v>7159</v>
      </c>
      <c r="O558" s="2" t="s">
        <v>298</v>
      </c>
      <c r="Q558" s="2" t="s">
        <v>12</v>
      </c>
      <c r="R558" s="2" t="s">
        <v>5455</v>
      </c>
      <c r="T558" s="2" t="s">
        <v>14</v>
      </c>
      <c r="U558" s="3">
        <v>6</v>
      </c>
      <c r="V558" s="3">
        <v>6</v>
      </c>
      <c r="W558" s="4" t="s">
        <v>5149</v>
      </c>
      <c r="X558" s="4" t="s">
        <v>5149</v>
      </c>
      <c r="Y558" s="4" t="s">
        <v>2408</v>
      </c>
      <c r="Z558" s="4" t="s">
        <v>2408</v>
      </c>
      <c r="AA558" s="3">
        <v>158</v>
      </c>
      <c r="AB558" s="3">
        <v>118</v>
      </c>
      <c r="AC558" s="3">
        <v>252</v>
      </c>
      <c r="AD558" s="3">
        <v>4</v>
      </c>
      <c r="AE558" s="3">
        <v>5</v>
      </c>
      <c r="AF558" s="3">
        <v>4</v>
      </c>
      <c r="AG558" s="3">
        <v>12</v>
      </c>
      <c r="AH558" s="3">
        <v>0</v>
      </c>
      <c r="AI558" s="3">
        <v>6</v>
      </c>
      <c r="AJ558" s="3">
        <v>1</v>
      </c>
      <c r="AK558" s="3">
        <v>2</v>
      </c>
      <c r="AL558" s="3">
        <v>2</v>
      </c>
      <c r="AM558" s="3">
        <v>8</v>
      </c>
      <c r="AN558" s="3">
        <v>1</v>
      </c>
      <c r="AO558" s="3">
        <v>1</v>
      </c>
      <c r="AP558" s="3">
        <v>0</v>
      </c>
      <c r="AQ558" s="3">
        <v>0</v>
      </c>
      <c r="AR558" s="2" t="s">
        <v>8</v>
      </c>
      <c r="AS558" s="2" t="s">
        <v>6</v>
      </c>
      <c r="AT558" s="5" t="str">
        <f>HYPERLINK("http://catalog.hathitrust.org/Record/009919946","HathiTrust Record")</f>
        <v>HathiTrust Record</v>
      </c>
      <c r="AU558" s="5" t="str">
        <f>HYPERLINK("https://creighton-primo.hosted.exlibrisgroup.com/primo-explore/search?tab=default_tab&amp;search_scope=EVERYTHING&amp;vid=01CRU&amp;lang=en_US&amp;offset=0&amp;query=any,contains,991001176159702656","Catalog Record")</f>
        <v>Catalog Record</v>
      </c>
      <c r="AV558" s="5" t="str">
        <f>HYPERLINK("http://www.worldcat.org/oclc/16183705","WorldCat Record")</f>
        <v>WorldCat Record</v>
      </c>
      <c r="AW558" s="2" t="s">
        <v>7160</v>
      </c>
      <c r="AX558" s="2" t="s">
        <v>7161</v>
      </c>
      <c r="AY558" s="2" t="s">
        <v>7162</v>
      </c>
      <c r="AZ558" s="2" t="s">
        <v>7162</v>
      </c>
      <c r="BA558" s="2" t="s">
        <v>7163</v>
      </c>
      <c r="BB558" s="2" t="s">
        <v>21</v>
      </c>
      <c r="BD558" s="2" t="s">
        <v>7164</v>
      </c>
      <c r="BE558" s="2" t="s">
        <v>7165</v>
      </c>
      <c r="BF558" s="2" t="s">
        <v>7166</v>
      </c>
    </row>
    <row r="559" spans="1:58" ht="42.75" customHeight="1" x14ac:dyDescent="0.25">
      <c r="A559" s="8" t="s">
        <v>8</v>
      </c>
      <c r="B559" s="1" t="s">
        <v>0</v>
      </c>
      <c r="C559" s="1" t="s">
        <v>1</v>
      </c>
      <c r="D559" s="1" t="s">
        <v>7167</v>
      </c>
      <c r="E559" s="1" t="s">
        <v>7168</v>
      </c>
      <c r="F559" s="1" t="s">
        <v>7169</v>
      </c>
      <c r="H559" s="2" t="s">
        <v>8</v>
      </c>
      <c r="I559" s="2" t="s">
        <v>7</v>
      </c>
      <c r="J559" s="2" t="s">
        <v>8</v>
      </c>
      <c r="K559" s="2" t="s">
        <v>8</v>
      </c>
      <c r="L559" s="2" t="s">
        <v>9</v>
      </c>
      <c r="M559" s="1" t="s">
        <v>7170</v>
      </c>
      <c r="N559" s="1" t="s">
        <v>7171</v>
      </c>
      <c r="O559" s="2" t="s">
        <v>874</v>
      </c>
      <c r="Q559" s="2" t="s">
        <v>12</v>
      </c>
      <c r="R559" s="2" t="s">
        <v>658</v>
      </c>
      <c r="T559" s="2" t="s">
        <v>14</v>
      </c>
      <c r="U559" s="3">
        <v>16</v>
      </c>
      <c r="V559" s="3">
        <v>16</v>
      </c>
      <c r="W559" s="4" t="s">
        <v>7147</v>
      </c>
      <c r="X559" s="4" t="s">
        <v>7147</v>
      </c>
      <c r="Y559" s="4" t="s">
        <v>1994</v>
      </c>
      <c r="Z559" s="4" t="s">
        <v>1994</v>
      </c>
      <c r="AA559" s="3">
        <v>472</v>
      </c>
      <c r="AB559" s="3">
        <v>367</v>
      </c>
      <c r="AC559" s="3">
        <v>385</v>
      </c>
      <c r="AD559" s="3">
        <v>2</v>
      </c>
      <c r="AE559" s="3">
        <v>2</v>
      </c>
      <c r="AF559" s="3">
        <v>26</v>
      </c>
      <c r="AG559" s="3">
        <v>27</v>
      </c>
      <c r="AH559" s="3">
        <v>10</v>
      </c>
      <c r="AI559" s="3">
        <v>10</v>
      </c>
      <c r="AJ559" s="3">
        <v>7</v>
      </c>
      <c r="AK559" s="3">
        <v>7</v>
      </c>
      <c r="AL559" s="3">
        <v>15</v>
      </c>
      <c r="AM559" s="3">
        <v>16</v>
      </c>
      <c r="AN559" s="3">
        <v>1</v>
      </c>
      <c r="AO559" s="3">
        <v>1</v>
      </c>
      <c r="AP559" s="3">
        <v>1</v>
      </c>
      <c r="AQ559" s="3">
        <v>1</v>
      </c>
      <c r="AR559" s="2" t="s">
        <v>8</v>
      </c>
      <c r="AS559" s="2" t="s">
        <v>6</v>
      </c>
      <c r="AT559" s="5" t="str">
        <f>HYPERLINK("http://catalog.hathitrust.org/Record/003180185","HathiTrust Record")</f>
        <v>HathiTrust Record</v>
      </c>
      <c r="AU559" s="5" t="str">
        <f>HYPERLINK("https://creighton-primo.hosted.exlibrisgroup.com/primo-explore/search?tab=default_tab&amp;search_scope=EVERYTHING&amp;vid=01CRU&amp;lang=en_US&amp;offset=0&amp;query=any,contains,991001227179702656","Catalog Record")</f>
        <v>Catalog Record</v>
      </c>
      <c r="AV559" s="5" t="str">
        <f>HYPERLINK("http://www.worldcat.org/oclc/35650691","WorldCat Record")</f>
        <v>WorldCat Record</v>
      </c>
      <c r="AW559" s="2" t="s">
        <v>7172</v>
      </c>
      <c r="AX559" s="2" t="s">
        <v>7173</v>
      </c>
      <c r="AY559" s="2" t="s">
        <v>7174</v>
      </c>
      <c r="AZ559" s="2" t="s">
        <v>7174</v>
      </c>
      <c r="BA559" s="2" t="s">
        <v>7175</v>
      </c>
      <c r="BB559" s="2" t="s">
        <v>21</v>
      </c>
      <c r="BD559" s="2" t="s">
        <v>7176</v>
      </c>
      <c r="BE559" s="2" t="s">
        <v>7177</v>
      </c>
      <c r="BF559" s="2" t="s">
        <v>7178</v>
      </c>
    </row>
    <row r="560" spans="1:58" ht="42.75" customHeight="1" x14ac:dyDescent="0.25">
      <c r="A560" s="8" t="s">
        <v>8</v>
      </c>
      <c r="B560" s="1" t="s">
        <v>0</v>
      </c>
      <c r="C560" s="1" t="s">
        <v>1</v>
      </c>
      <c r="D560" s="1" t="s">
        <v>7179</v>
      </c>
      <c r="E560" s="1" t="s">
        <v>7180</v>
      </c>
      <c r="F560" s="1" t="s">
        <v>7181</v>
      </c>
      <c r="H560" s="2" t="s">
        <v>8</v>
      </c>
      <c r="I560" s="2" t="s">
        <v>7</v>
      </c>
      <c r="J560" s="2" t="s">
        <v>6</v>
      </c>
      <c r="K560" s="2" t="s">
        <v>8</v>
      </c>
      <c r="L560" s="2" t="s">
        <v>9</v>
      </c>
      <c r="N560" s="1" t="s">
        <v>7182</v>
      </c>
      <c r="O560" s="2" t="s">
        <v>602</v>
      </c>
      <c r="Q560" s="2" t="s">
        <v>12</v>
      </c>
      <c r="R560" s="2" t="s">
        <v>815</v>
      </c>
      <c r="S560" s="1" t="s">
        <v>7183</v>
      </c>
      <c r="T560" s="2" t="s">
        <v>14</v>
      </c>
      <c r="U560" s="3">
        <v>9</v>
      </c>
      <c r="V560" s="3">
        <v>9</v>
      </c>
      <c r="W560" s="4" t="s">
        <v>7184</v>
      </c>
      <c r="X560" s="4" t="s">
        <v>7184</v>
      </c>
      <c r="Y560" s="4" t="s">
        <v>7185</v>
      </c>
      <c r="Z560" s="4" t="s">
        <v>7186</v>
      </c>
      <c r="AA560" s="3">
        <v>683</v>
      </c>
      <c r="AB560" s="3">
        <v>595</v>
      </c>
      <c r="AC560" s="3">
        <v>602</v>
      </c>
      <c r="AD560" s="3">
        <v>5</v>
      </c>
      <c r="AE560" s="3">
        <v>5</v>
      </c>
      <c r="AF560" s="3">
        <v>35</v>
      </c>
      <c r="AG560" s="3">
        <v>35</v>
      </c>
      <c r="AH560" s="3">
        <v>12</v>
      </c>
      <c r="AI560" s="3">
        <v>12</v>
      </c>
      <c r="AJ560" s="3">
        <v>8</v>
      </c>
      <c r="AK560" s="3">
        <v>8</v>
      </c>
      <c r="AL560" s="3">
        <v>15</v>
      </c>
      <c r="AM560" s="3">
        <v>15</v>
      </c>
      <c r="AN560" s="3">
        <v>3</v>
      </c>
      <c r="AO560" s="3">
        <v>3</v>
      </c>
      <c r="AP560" s="3">
        <v>6</v>
      </c>
      <c r="AQ560" s="3">
        <v>6</v>
      </c>
      <c r="AR560" s="2" t="s">
        <v>8</v>
      </c>
      <c r="AS560" s="2" t="s">
        <v>8</v>
      </c>
      <c r="AU560" s="5" t="str">
        <f>HYPERLINK("https://creighton-primo.hosted.exlibrisgroup.com/primo-explore/search?tab=default_tab&amp;search_scope=EVERYTHING&amp;vid=01CRU&amp;lang=en_US&amp;offset=0&amp;query=any,contains,991001647339702656","Catalog Record")</f>
        <v>Catalog Record</v>
      </c>
      <c r="AV560" s="5" t="str">
        <f>HYPERLINK("http://www.worldcat.org/oclc/22733749","WorldCat Record")</f>
        <v>WorldCat Record</v>
      </c>
      <c r="AW560" s="2" t="s">
        <v>7187</v>
      </c>
      <c r="AX560" s="2" t="s">
        <v>7188</v>
      </c>
      <c r="AY560" s="2" t="s">
        <v>7189</v>
      </c>
      <c r="AZ560" s="2" t="s">
        <v>7189</v>
      </c>
      <c r="BA560" s="2" t="s">
        <v>7190</v>
      </c>
      <c r="BB560" s="2" t="s">
        <v>21</v>
      </c>
      <c r="BD560" s="2" t="s">
        <v>7191</v>
      </c>
      <c r="BE560" s="2" t="s">
        <v>7192</v>
      </c>
      <c r="BF560" s="2" t="s">
        <v>7193</v>
      </c>
    </row>
    <row r="561" spans="1:58" ht="42.75" customHeight="1" x14ac:dyDescent="0.25">
      <c r="A561" s="8" t="s">
        <v>8</v>
      </c>
      <c r="B561" s="1" t="s">
        <v>0</v>
      </c>
      <c r="C561" s="1" t="s">
        <v>1</v>
      </c>
      <c r="D561" s="1" t="s">
        <v>7194</v>
      </c>
      <c r="E561" s="1" t="s">
        <v>7195</v>
      </c>
      <c r="F561" s="1" t="s">
        <v>7196</v>
      </c>
      <c r="H561" s="2" t="s">
        <v>8</v>
      </c>
      <c r="I561" s="2" t="s">
        <v>7</v>
      </c>
      <c r="J561" s="2" t="s">
        <v>8</v>
      </c>
      <c r="K561" s="2" t="s">
        <v>8</v>
      </c>
      <c r="L561" s="2" t="s">
        <v>7</v>
      </c>
      <c r="N561" s="1" t="s">
        <v>7197</v>
      </c>
      <c r="O561" s="2" t="s">
        <v>2044</v>
      </c>
      <c r="Q561" s="2" t="s">
        <v>12</v>
      </c>
      <c r="R561" s="2" t="s">
        <v>520</v>
      </c>
      <c r="T561" s="2" t="s">
        <v>14</v>
      </c>
      <c r="U561" s="3">
        <v>1</v>
      </c>
      <c r="V561" s="3">
        <v>1</v>
      </c>
      <c r="W561" s="4" t="s">
        <v>7198</v>
      </c>
      <c r="X561" s="4" t="s">
        <v>7198</v>
      </c>
      <c r="Y561" s="4" t="s">
        <v>4740</v>
      </c>
      <c r="Z561" s="4" t="s">
        <v>4740</v>
      </c>
      <c r="AA561" s="3">
        <v>160</v>
      </c>
      <c r="AB561" s="3">
        <v>148</v>
      </c>
      <c r="AC561" s="3">
        <v>1416</v>
      </c>
      <c r="AD561" s="3">
        <v>1</v>
      </c>
      <c r="AE561" s="3">
        <v>31</v>
      </c>
      <c r="AF561" s="3">
        <v>7</v>
      </c>
      <c r="AG561" s="3">
        <v>46</v>
      </c>
      <c r="AH561" s="3">
        <v>2</v>
      </c>
      <c r="AI561" s="3">
        <v>13</v>
      </c>
      <c r="AJ561" s="3">
        <v>1</v>
      </c>
      <c r="AK561" s="3">
        <v>8</v>
      </c>
      <c r="AL561" s="3">
        <v>4</v>
      </c>
      <c r="AM561" s="3">
        <v>15</v>
      </c>
      <c r="AN561" s="3">
        <v>0</v>
      </c>
      <c r="AO561" s="3">
        <v>15</v>
      </c>
      <c r="AP561" s="3">
        <v>1</v>
      </c>
      <c r="AQ561" s="3">
        <v>2</v>
      </c>
      <c r="AR561" s="2" t="s">
        <v>8</v>
      </c>
      <c r="AS561" s="2" t="s">
        <v>8</v>
      </c>
      <c r="AU561" s="5" t="str">
        <f>HYPERLINK("https://creighton-primo.hosted.exlibrisgroup.com/primo-explore/search?tab=default_tab&amp;search_scope=EVERYTHING&amp;vid=01CRU&amp;lang=en_US&amp;offset=0&amp;query=any,contains,991000377889702656","Catalog Record")</f>
        <v>Catalog Record</v>
      </c>
      <c r="AV561" s="5" t="str">
        <f>HYPERLINK("http://www.worldcat.org/oclc/47141968","WorldCat Record")</f>
        <v>WorldCat Record</v>
      </c>
      <c r="AW561" s="2" t="s">
        <v>7199</v>
      </c>
      <c r="AX561" s="2" t="s">
        <v>7200</v>
      </c>
      <c r="AY561" s="2" t="s">
        <v>7201</v>
      </c>
      <c r="AZ561" s="2" t="s">
        <v>7201</v>
      </c>
      <c r="BA561" s="2" t="s">
        <v>7202</v>
      </c>
      <c r="BB561" s="2" t="s">
        <v>21</v>
      </c>
      <c r="BD561" s="2" t="s">
        <v>7203</v>
      </c>
      <c r="BE561" s="2" t="s">
        <v>7204</v>
      </c>
      <c r="BF561" s="2" t="s">
        <v>7205</v>
      </c>
    </row>
    <row r="562" spans="1:58" ht="42.75" customHeight="1" x14ac:dyDescent="0.25">
      <c r="A562" s="8" t="s">
        <v>8</v>
      </c>
      <c r="B562" s="1" t="s">
        <v>0</v>
      </c>
      <c r="C562" s="1" t="s">
        <v>1</v>
      </c>
      <c r="D562" s="1" t="s">
        <v>7206</v>
      </c>
      <c r="E562" s="1" t="s">
        <v>7207</v>
      </c>
      <c r="F562" s="1" t="s">
        <v>7208</v>
      </c>
      <c r="H562" s="2" t="s">
        <v>8</v>
      </c>
      <c r="I562" s="2" t="s">
        <v>7</v>
      </c>
      <c r="J562" s="2" t="s">
        <v>8</v>
      </c>
      <c r="K562" s="2" t="s">
        <v>8</v>
      </c>
      <c r="L562" s="2" t="s">
        <v>9</v>
      </c>
      <c r="M562" s="1" t="s">
        <v>3535</v>
      </c>
      <c r="N562" s="1" t="s">
        <v>7209</v>
      </c>
      <c r="O562" s="2" t="s">
        <v>830</v>
      </c>
      <c r="P562" s="1" t="s">
        <v>83</v>
      </c>
      <c r="Q562" s="2" t="s">
        <v>12</v>
      </c>
      <c r="R562" s="2" t="s">
        <v>577</v>
      </c>
      <c r="T562" s="2" t="s">
        <v>14</v>
      </c>
      <c r="U562" s="3">
        <v>1</v>
      </c>
      <c r="V562" s="3">
        <v>1</v>
      </c>
      <c r="W562" s="4" t="s">
        <v>7210</v>
      </c>
      <c r="X562" s="4" t="s">
        <v>7210</v>
      </c>
      <c r="Y562" s="4" t="s">
        <v>2159</v>
      </c>
      <c r="Z562" s="4" t="s">
        <v>2159</v>
      </c>
      <c r="AA562" s="3">
        <v>256</v>
      </c>
      <c r="AB562" s="3">
        <v>188</v>
      </c>
      <c r="AC562" s="3">
        <v>412</v>
      </c>
      <c r="AD562" s="3">
        <v>2</v>
      </c>
      <c r="AE562" s="3">
        <v>3</v>
      </c>
      <c r="AF562" s="3">
        <v>12</v>
      </c>
      <c r="AG562" s="3">
        <v>21</v>
      </c>
      <c r="AH562" s="3">
        <v>4</v>
      </c>
      <c r="AI562" s="3">
        <v>9</v>
      </c>
      <c r="AJ562" s="3">
        <v>4</v>
      </c>
      <c r="AK562" s="3">
        <v>5</v>
      </c>
      <c r="AL562" s="3">
        <v>9</v>
      </c>
      <c r="AM562" s="3">
        <v>14</v>
      </c>
      <c r="AN562" s="3">
        <v>1</v>
      </c>
      <c r="AO562" s="3">
        <v>2</v>
      </c>
      <c r="AP562" s="3">
        <v>0</v>
      </c>
      <c r="AQ562" s="3">
        <v>0</v>
      </c>
      <c r="AR562" s="2" t="s">
        <v>8</v>
      </c>
      <c r="AS562" s="2" t="s">
        <v>6</v>
      </c>
      <c r="AT562" s="5" t="str">
        <f>HYPERLINK("http://catalog.hathitrust.org/Record/003799530","HathiTrust Record")</f>
        <v>HathiTrust Record</v>
      </c>
      <c r="AU562" s="5" t="str">
        <f>HYPERLINK("https://creighton-primo.hosted.exlibrisgroup.com/primo-explore/search?tab=default_tab&amp;search_scope=EVERYTHING&amp;vid=01CRU&amp;lang=en_US&amp;offset=0&amp;query=any,contains,991001718919702656","Catalog Record")</f>
        <v>Catalog Record</v>
      </c>
      <c r="AV562" s="5" t="str">
        <f>HYPERLINK("http://www.worldcat.org/oclc/49699433","WorldCat Record")</f>
        <v>WorldCat Record</v>
      </c>
      <c r="AW562" s="2" t="s">
        <v>7211</v>
      </c>
      <c r="AX562" s="2" t="s">
        <v>7212</v>
      </c>
      <c r="AY562" s="2" t="s">
        <v>7213</v>
      </c>
      <c r="AZ562" s="2" t="s">
        <v>7213</v>
      </c>
      <c r="BA562" s="2" t="s">
        <v>7214</v>
      </c>
      <c r="BB562" s="2" t="s">
        <v>21</v>
      </c>
      <c r="BD562" s="2" t="s">
        <v>7215</v>
      </c>
      <c r="BE562" s="2" t="s">
        <v>7216</v>
      </c>
      <c r="BF562" s="2" t="s">
        <v>7217</v>
      </c>
    </row>
    <row r="563" spans="1:58" ht="42.75" customHeight="1" x14ac:dyDescent="0.25">
      <c r="A563" s="8" t="s">
        <v>8</v>
      </c>
      <c r="B563" s="1" t="s">
        <v>0</v>
      </c>
      <c r="C563" s="1" t="s">
        <v>1</v>
      </c>
      <c r="D563" s="1" t="s">
        <v>7218</v>
      </c>
      <c r="E563" s="1" t="s">
        <v>7219</v>
      </c>
      <c r="F563" s="1" t="s">
        <v>7220</v>
      </c>
      <c r="H563" s="2" t="s">
        <v>8</v>
      </c>
      <c r="I563" s="2" t="s">
        <v>7</v>
      </c>
      <c r="J563" s="2" t="s">
        <v>8</v>
      </c>
      <c r="K563" s="2" t="s">
        <v>6</v>
      </c>
      <c r="L563" s="2" t="s">
        <v>9</v>
      </c>
      <c r="M563" s="1" t="s">
        <v>3535</v>
      </c>
      <c r="N563" s="1" t="s">
        <v>626</v>
      </c>
      <c r="O563" s="2" t="s">
        <v>627</v>
      </c>
      <c r="P563" s="1" t="s">
        <v>7221</v>
      </c>
      <c r="Q563" s="2" t="s">
        <v>12</v>
      </c>
      <c r="R563" s="2" t="s">
        <v>628</v>
      </c>
      <c r="T563" s="2" t="s">
        <v>14</v>
      </c>
      <c r="U563" s="3">
        <v>25</v>
      </c>
      <c r="V563" s="3">
        <v>25</v>
      </c>
      <c r="W563" s="4" t="s">
        <v>6405</v>
      </c>
      <c r="X563" s="4" t="s">
        <v>6405</v>
      </c>
      <c r="Y563" s="4" t="s">
        <v>458</v>
      </c>
      <c r="Z563" s="4" t="s">
        <v>458</v>
      </c>
      <c r="AA563" s="3">
        <v>497</v>
      </c>
      <c r="AB563" s="3">
        <v>412</v>
      </c>
      <c r="AC563" s="3">
        <v>1468</v>
      </c>
      <c r="AD563" s="3">
        <v>2</v>
      </c>
      <c r="AE563" s="3">
        <v>11</v>
      </c>
      <c r="AF563" s="3">
        <v>34</v>
      </c>
      <c r="AG563" s="3">
        <v>64</v>
      </c>
      <c r="AH563" s="3">
        <v>9</v>
      </c>
      <c r="AI563" s="3">
        <v>18</v>
      </c>
      <c r="AJ563" s="3">
        <v>4</v>
      </c>
      <c r="AK563" s="3">
        <v>9</v>
      </c>
      <c r="AL563" s="3">
        <v>16</v>
      </c>
      <c r="AM563" s="3">
        <v>25</v>
      </c>
      <c r="AN563" s="3">
        <v>1</v>
      </c>
      <c r="AO563" s="3">
        <v>6</v>
      </c>
      <c r="AP563" s="3">
        <v>11</v>
      </c>
      <c r="AQ563" s="3">
        <v>17</v>
      </c>
      <c r="AR563" s="2" t="s">
        <v>8</v>
      </c>
      <c r="AS563" s="2" t="s">
        <v>8</v>
      </c>
      <c r="AU563" s="5" t="str">
        <f>HYPERLINK("https://creighton-primo.hosted.exlibrisgroup.com/primo-explore/search?tab=default_tab&amp;search_scope=EVERYTHING&amp;vid=01CRU&amp;lang=en_US&amp;offset=0&amp;query=any,contains,991001449969702656","Catalog Record")</f>
        <v>Catalog Record</v>
      </c>
      <c r="AV563" s="5" t="str">
        <f>HYPERLINK("http://www.worldcat.org/oclc/18946283","WorldCat Record")</f>
        <v>WorldCat Record</v>
      </c>
      <c r="AW563" s="2" t="s">
        <v>7222</v>
      </c>
      <c r="AX563" s="2" t="s">
        <v>7223</v>
      </c>
      <c r="AY563" s="2" t="s">
        <v>7224</v>
      </c>
      <c r="AZ563" s="2" t="s">
        <v>7224</v>
      </c>
      <c r="BA563" s="2" t="s">
        <v>7225</v>
      </c>
      <c r="BB563" s="2" t="s">
        <v>21</v>
      </c>
      <c r="BD563" s="2" t="s">
        <v>7226</v>
      </c>
      <c r="BE563" s="2" t="s">
        <v>7227</v>
      </c>
      <c r="BF563" s="2" t="s">
        <v>7228</v>
      </c>
    </row>
    <row r="564" spans="1:58" ht="42.75" customHeight="1" x14ac:dyDescent="0.25">
      <c r="A564" s="8" t="s">
        <v>8</v>
      </c>
      <c r="B564" s="1" t="s">
        <v>0</v>
      </c>
      <c r="C564" s="1" t="s">
        <v>1</v>
      </c>
      <c r="D564" s="1" t="s">
        <v>7229</v>
      </c>
      <c r="E564" s="1" t="s">
        <v>7230</v>
      </c>
      <c r="F564" s="1" t="s">
        <v>7231</v>
      </c>
      <c r="H564" s="2" t="s">
        <v>8</v>
      </c>
      <c r="I564" s="2" t="s">
        <v>7</v>
      </c>
      <c r="J564" s="2" t="s">
        <v>8</v>
      </c>
      <c r="K564" s="2" t="s">
        <v>8</v>
      </c>
      <c r="L564" s="2" t="s">
        <v>7</v>
      </c>
      <c r="M564" s="1" t="s">
        <v>3535</v>
      </c>
      <c r="N564" s="1" t="s">
        <v>7232</v>
      </c>
      <c r="O564" s="2" t="s">
        <v>959</v>
      </c>
      <c r="Q564" s="2" t="s">
        <v>12</v>
      </c>
      <c r="R564" s="2" t="s">
        <v>643</v>
      </c>
      <c r="T564" s="2" t="s">
        <v>14</v>
      </c>
      <c r="U564" s="3">
        <v>0</v>
      </c>
      <c r="V564" s="3">
        <v>0</v>
      </c>
      <c r="W564" s="4" t="s">
        <v>7233</v>
      </c>
      <c r="X564" s="4" t="s">
        <v>7233</v>
      </c>
      <c r="Y564" s="4" t="s">
        <v>6194</v>
      </c>
      <c r="Z564" s="4" t="s">
        <v>6194</v>
      </c>
      <c r="AA564" s="3">
        <v>265</v>
      </c>
      <c r="AB564" s="3">
        <v>215</v>
      </c>
      <c r="AC564" s="3">
        <v>1214</v>
      </c>
      <c r="AD564" s="3">
        <v>2</v>
      </c>
      <c r="AE564" s="3">
        <v>18</v>
      </c>
      <c r="AF564" s="3">
        <v>12</v>
      </c>
      <c r="AG564" s="3">
        <v>50</v>
      </c>
      <c r="AH564" s="3">
        <v>2</v>
      </c>
      <c r="AI564" s="3">
        <v>14</v>
      </c>
      <c r="AJ564" s="3">
        <v>2</v>
      </c>
      <c r="AK564" s="3">
        <v>10</v>
      </c>
      <c r="AL564" s="3">
        <v>9</v>
      </c>
      <c r="AM564" s="3">
        <v>18</v>
      </c>
      <c r="AN564" s="3">
        <v>1</v>
      </c>
      <c r="AO564" s="3">
        <v>14</v>
      </c>
      <c r="AP564" s="3">
        <v>1</v>
      </c>
      <c r="AQ564" s="3">
        <v>3</v>
      </c>
      <c r="AR564" s="2" t="s">
        <v>8</v>
      </c>
      <c r="AS564" s="2" t="s">
        <v>6</v>
      </c>
      <c r="AT564" s="5" t="str">
        <f>HYPERLINK("http://catalog.hathitrust.org/Record/004920680","HathiTrust Record")</f>
        <v>HathiTrust Record</v>
      </c>
      <c r="AU564" s="5" t="str">
        <f>HYPERLINK("https://creighton-primo.hosted.exlibrisgroup.com/primo-explore/search?tab=default_tab&amp;search_scope=EVERYTHING&amp;vid=01CRU&amp;lang=en_US&amp;offset=0&amp;query=any,contains,991000425049702656","Catalog Record")</f>
        <v>Catalog Record</v>
      </c>
      <c r="AV564" s="5" t="str">
        <f>HYPERLINK("http://www.worldcat.org/oclc/55036946","WorldCat Record")</f>
        <v>WorldCat Record</v>
      </c>
      <c r="AW564" s="2" t="s">
        <v>7234</v>
      </c>
      <c r="AX564" s="2" t="s">
        <v>7235</v>
      </c>
      <c r="AY564" s="2" t="s">
        <v>7236</v>
      </c>
      <c r="AZ564" s="2" t="s">
        <v>7236</v>
      </c>
      <c r="BA564" s="2" t="s">
        <v>7237</v>
      </c>
      <c r="BB564" s="2" t="s">
        <v>21</v>
      </c>
      <c r="BD564" s="2" t="s">
        <v>7238</v>
      </c>
      <c r="BE564" s="2" t="s">
        <v>7239</v>
      </c>
      <c r="BF564" s="2" t="s">
        <v>7240</v>
      </c>
    </row>
    <row r="565" spans="1:58" ht="42.75" customHeight="1" x14ac:dyDescent="0.25">
      <c r="A565" s="8" t="s">
        <v>8</v>
      </c>
      <c r="B565" s="1" t="s">
        <v>0</v>
      </c>
      <c r="C565" s="1" t="s">
        <v>1</v>
      </c>
      <c r="D565" s="1" t="s">
        <v>7241</v>
      </c>
      <c r="E565" s="1" t="s">
        <v>7242</v>
      </c>
      <c r="F565" s="1" t="s">
        <v>7243</v>
      </c>
      <c r="G565" s="2" t="s">
        <v>7244</v>
      </c>
      <c r="H565" s="2" t="s">
        <v>8</v>
      </c>
      <c r="I565" s="2" t="s">
        <v>7</v>
      </c>
      <c r="J565" s="2" t="s">
        <v>8</v>
      </c>
      <c r="K565" s="2" t="s">
        <v>8</v>
      </c>
      <c r="L565" s="2" t="s">
        <v>7</v>
      </c>
      <c r="M565" s="1" t="s">
        <v>3535</v>
      </c>
      <c r="N565" s="1" t="s">
        <v>7245</v>
      </c>
      <c r="O565" s="2" t="s">
        <v>602</v>
      </c>
      <c r="Q565" s="2" t="s">
        <v>12</v>
      </c>
      <c r="R565" s="2" t="s">
        <v>34</v>
      </c>
      <c r="S565" s="1" t="s">
        <v>4980</v>
      </c>
      <c r="T565" s="2" t="s">
        <v>14</v>
      </c>
      <c r="U565" s="3">
        <v>6</v>
      </c>
      <c r="V565" s="3">
        <v>6</v>
      </c>
      <c r="W565" s="4" t="s">
        <v>7246</v>
      </c>
      <c r="X565" s="4" t="s">
        <v>7246</v>
      </c>
      <c r="Y565" s="4" t="s">
        <v>7247</v>
      </c>
      <c r="Z565" s="4" t="s">
        <v>7247</v>
      </c>
      <c r="AA565" s="3">
        <v>377</v>
      </c>
      <c r="AB565" s="3">
        <v>331</v>
      </c>
      <c r="AC565" s="3">
        <v>1227</v>
      </c>
      <c r="AD565" s="3">
        <v>1</v>
      </c>
      <c r="AE565" s="3">
        <v>15</v>
      </c>
      <c r="AF565" s="3">
        <v>19</v>
      </c>
      <c r="AG565" s="3">
        <v>45</v>
      </c>
      <c r="AH565" s="3">
        <v>8</v>
      </c>
      <c r="AI565" s="3">
        <v>16</v>
      </c>
      <c r="AJ565" s="3">
        <v>5</v>
      </c>
      <c r="AK565" s="3">
        <v>7</v>
      </c>
      <c r="AL565" s="3">
        <v>14</v>
      </c>
      <c r="AM565" s="3">
        <v>18</v>
      </c>
      <c r="AN565" s="3">
        <v>0</v>
      </c>
      <c r="AO565" s="3">
        <v>12</v>
      </c>
      <c r="AP565" s="3">
        <v>1</v>
      </c>
      <c r="AQ565" s="3">
        <v>2</v>
      </c>
      <c r="AR565" s="2" t="s">
        <v>8</v>
      </c>
      <c r="AS565" s="2" t="s">
        <v>8</v>
      </c>
      <c r="AU565" s="5" t="str">
        <f>HYPERLINK("https://creighton-primo.hosted.exlibrisgroup.com/primo-explore/search?tab=default_tab&amp;search_scope=EVERYTHING&amp;vid=01CRU&amp;lang=en_US&amp;offset=0&amp;query=any,contains,991000825799702656","Catalog Record")</f>
        <v>Catalog Record</v>
      </c>
      <c r="AV565" s="5" t="str">
        <f>HYPERLINK("http://www.worldcat.org/oclc/21294846","WorldCat Record")</f>
        <v>WorldCat Record</v>
      </c>
      <c r="AW565" s="2" t="s">
        <v>7248</v>
      </c>
      <c r="AX565" s="2" t="s">
        <v>7249</v>
      </c>
      <c r="AY565" s="2" t="s">
        <v>7250</v>
      </c>
      <c r="AZ565" s="2" t="s">
        <v>7250</v>
      </c>
      <c r="BA565" s="2" t="s">
        <v>7251</v>
      </c>
      <c r="BB565" s="2" t="s">
        <v>21</v>
      </c>
      <c r="BD565" s="2" t="s">
        <v>7252</v>
      </c>
      <c r="BE565" s="2" t="s">
        <v>7253</v>
      </c>
      <c r="BF565" s="2" t="s">
        <v>7254</v>
      </c>
    </row>
    <row r="566" spans="1:58" ht="42.75" customHeight="1" x14ac:dyDescent="0.25">
      <c r="A566" s="8" t="s">
        <v>8</v>
      </c>
      <c r="B566" s="1" t="s">
        <v>0</v>
      </c>
      <c r="C566" s="1" t="s">
        <v>1</v>
      </c>
      <c r="D566" s="1" t="s">
        <v>7255</v>
      </c>
      <c r="E566" s="1" t="s">
        <v>7256</v>
      </c>
      <c r="F566" s="1" t="s">
        <v>7257</v>
      </c>
      <c r="H566" s="2" t="s">
        <v>8</v>
      </c>
      <c r="I566" s="2" t="s">
        <v>7</v>
      </c>
      <c r="J566" s="2" t="s">
        <v>6</v>
      </c>
      <c r="K566" s="2" t="s">
        <v>8</v>
      </c>
      <c r="L566" s="2" t="s">
        <v>9</v>
      </c>
      <c r="M566" s="1" t="s">
        <v>7258</v>
      </c>
      <c r="N566" s="1" t="s">
        <v>7259</v>
      </c>
      <c r="O566" s="2" t="s">
        <v>266</v>
      </c>
      <c r="Q566" s="2" t="s">
        <v>12</v>
      </c>
      <c r="R566" s="2" t="s">
        <v>34</v>
      </c>
      <c r="S566" s="1" t="s">
        <v>7260</v>
      </c>
      <c r="T566" s="2" t="s">
        <v>14</v>
      </c>
      <c r="U566" s="3">
        <v>26</v>
      </c>
      <c r="V566" s="3">
        <v>26</v>
      </c>
      <c r="W566" s="4" t="s">
        <v>7261</v>
      </c>
      <c r="X566" s="4" t="s">
        <v>7261</v>
      </c>
      <c r="Y566" s="4" t="s">
        <v>7262</v>
      </c>
      <c r="Z566" s="4" t="s">
        <v>7262</v>
      </c>
      <c r="AA566" s="3">
        <v>679</v>
      </c>
      <c r="AB566" s="3">
        <v>609</v>
      </c>
      <c r="AC566" s="3">
        <v>714</v>
      </c>
      <c r="AD566" s="3">
        <v>7</v>
      </c>
      <c r="AE566" s="3">
        <v>8</v>
      </c>
      <c r="AF566" s="3">
        <v>42</v>
      </c>
      <c r="AG566" s="3">
        <v>47</v>
      </c>
      <c r="AH566" s="3">
        <v>10</v>
      </c>
      <c r="AI566" s="3">
        <v>11</v>
      </c>
      <c r="AJ566" s="3">
        <v>6</v>
      </c>
      <c r="AK566" s="3">
        <v>7</v>
      </c>
      <c r="AL566" s="3">
        <v>16</v>
      </c>
      <c r="AM566" s="3">
        <v>17</v>
      </c>
      <c r="AN566" s="3">
        <v>4</v>
      </c>
      <c r="AO566" s="3">
        <v>5</v>
      </c>
      <c r="AP566" s="3">
        <v>13</v>
      </c>
      <c r="AQ566" s="3">
        <v>15</v>
      </c>
      <c r="AR566" s="2" t="s">
        <v>8</v>
      </c>
      <c r="AS566" s="2" t="s">
        <v>6</v>
      </c>
      <c r="AT566" s="5" t="str">
        <f>HYPERLINK("http://catalog.hathitrust.org/Record/000116780","HathiTrust Record")</f>
        <v>HathiTrust Record</v>
      </c>
      <c r="AU566" s="5" t="str">
        <f>HYPERLINK("https://creighton-primo.hosted.exlibrisgroup.com/primo-explore/search?tab=default_tab&amp;search_scope=EVERYTHING&amp;vid=01CRU&amp;lang=en_US&amp;offset=0&amp;query=any,contains,991001468289702656","Catalog Record")</f>
        <v>Catalog Record</v>
      </c>
      <c r="AV566" s="5" t="str">
        <f>HYPERLINK("http://www.worldcat.org/oclc/8805498","WorldCat Record")</f>
        <v>WorldCat Record</v>
      </c>
      <c r="AW566" s="2" t="s">
        <v>7263</v>
      </c>
      <c r="AX566" s="2" t="s">
        <v>7264</v>
      </c>
      <c r="AY566" s="2" t="s">
        <v>7265</v>
      </c>
      <c r="AZ566" s="2" t="s">
        <v>7265</v>
      </c>
      <c r="BA566" s="2" t="s">
        <v>7266</v>
      </c>
      <c r="BB566" s="2" t="s">
        <v>21</v>
      </c>
      <c r="BD566" s="2" t="s">
        <v>7267</v>
      </c>
      <c r="BE566" s="2" t="s">
        <v>7268</v>
      </c>
      <c r="BF566" s="2" t="s">
        <v>7269</v>
      </c>
    </row>
    <row r="567" spans="1:58" ht="42.75" customHeight="1" x14ac:dyDescent="0.25">
      <c r="A567" s="8" t="s">
        <v>8</v>
      </c>
      <c r="B567" s="1" t="s">
        <v>0</v>
      </c>
      <c r="C567" s="1" t="s">
        <v>1</v>
      </c>
      <c r="D567" s="1" t="s">
        <v>7270</v>
      </c>
      <c r="E567" s="1" t="s">
        <v>7271</v>
      </c>
      <c r="F567" s="1" t="s">
        <v>7272</v>
      </c>
      <c r="H567" s="2" t="s">
        <v>8</v>
      </c>
      <c r="I567" s="2" t="s">
        <v>7</v>
      </c>
      <c r="J567" s="2" t="s">
        <v>6</v>
      </c>
      <c r="K567" s="2" t="s">
        <v>8</v>
      </c>
      <c r="L567" s="2" t="s">
        <v>9</v>
      </c>
      <c r="M567" s="1" t="s">
        <v>7273</v>
      </c>
      <c r="N567" s="1" t="s">
        <v>7274</v>
      </c>
      <c r="O567" s="2" t="s">
        <v>627</v>
      </c>
      <c r="Q567" s="2" t="s">
        <v>12</v>
      </c>
      <c r="R567" s="2" t="s">
        <v>1252</v>
      </c>
      <c r="T567" s="2" t="s">
        <v>14</v>
      </c>
      <c r="U567" s="3">
        <v>40</v>
      </c>
      <c r="V567" s="3">
        <v>46</v>
      </c>
      <c r="W567" s="4" t="s">
        <v>7275</v>
      </c>
      <c r="X567" s="4" t="s">
        <v>7275</v>
      </c>
      <c r="Y567" s="4" t="s">
        <v>7276</v>
      </c>
      <c r="Z567" s="4" t="s">
        <v>7277</v>
      </c>
      <c r="AA567" s="3">
        <v>1088</v>
      </c>
      <c r="AB567" s="3">
        <v>969</v>
      </c>
      <c r="AC567" s="3">
        <v>978</v>
      </c>
      <c r="AD567" s="3">
        <v>11</v>
      </c>
      <c r="AE567" s="3">
        <v>11</v>
      </c>
      <c r="AF567" s="3">
        <v>28</v>
      </c>
      <c r="AG567" s="3">
        <v>28</v>
      </c>
      <c r="AH567" s="3">
        <v>8</v>
      </c>
      <c r="AI567" s="3">
        <v>8</v>
      </c>
      <c r="AJ567" s="3">
        <v>4</v>
      </c>
      <c r="AK567" s="3">
        <v>4</v>
      </c>
      <c r="AL567" s="3">
        <v>15</v>
      </c>
      <c r="AM567" s="3">
        <v>15</v>
      </c>
      <c r="AN567" s="3">
        <v>3</v>
      </c>
      <c r="AO567" s="3">
        <v>3</v>
      </c>
      <c r="AP567" s="3">
        <v>3</v>
      </c>
      <c r="AQ567" s="3">
        <v>3</v>
      </c>
      <c r="AR567" s="2" t="s">
        <v>8</v>
      </c>
      <c r="AS567" s="2" t="s">
        <v>8</v>
      </c>
      <c r="AU567" s="5" t="str">
        <f>HYPERLINK("https://creighton-primo.hosted.exlibrisgroup.com/primo-explore/search?tab=default_tab&amp;search_scope=EVERYTHING&amp;vid=01CRU&amp;lang=en_US&amp;offset=0&amp;query=any,contains,991001642319702656","Catalog Record")</f>
        <v>Catalog Record</v>
      </c>
      <c r="AV567" s="5" t="str">
        <f>HYPERLINK("http://www.worldcat.org/oclc/20295980","WorldCat Record")</f>
        <v>WorldCat Record</v>
      </c>
      <c r="AW567" s="2" t="s">
        <v>7278</v>
      </c>
      <c r="AX567" s="2" t="s">
        <v>7279</v>
      </c>
      <c r="AY567" s="2" t="s">
        <v>7280</v>
      </c>
      <c r="AZ567" s="2" t="s">
        <v>7280</v>
      </c>
      <c r="BA567" s="2" t="s">
        <v>7281</v>
      </c>
      <c r="BB567" s="2" t="s">
        <v>21</v>
      </c>
      <c r="BD567" s="2" t="s">
        <v>7282</v>
      </c>
      <c r="BE567" s="2" t="s">
        <v>7283</v>
      </c>
      <c r="BF567" s="2" t="s">
        <v>7284</v>
      </c>
    </row>
    <row r="568" spans="1:58" ht="42.75" customHeight="1" x14ac:dyDescent="0.25">
      <c r="A568" s="8" t="s">
        <v>8</v>
      </c>
      <c r="B568" s="1" t="s">
        <v>0</v>
      </c>
      <c r="C568" s="1" t="s">
        <v>1</v>
      </c>
      <c r="D568" s="1" t="s">
        <v>7285</v>
      </c>
      <c r="E568" s="1" t="s">
        <v>7286</v>
      </c>
      <c r="F568" s="1" t="s">
        <v>7287</v>
      </c>
      <c r="H568" s="2" t="s">
        <v>8</v>
      </c>
      <c r="I568" s="2" t="s">
        <v>7</v>
      </c>
      <c r="J568" s="2" t="s">
        <v>8</v>
      </c>
      <c r="K568" s="2" t="s">
        <v>8</v>
      </c>
      <c r="L568" s="2" t="s">
        <v>9</v>
      </c>
      <c r="M568" s="1" t="s">
        <v>7288</v>
      </c>
      <c r="N568" s="1" t="s">
        <v>7289</v>
      </c>
      <c r="O568" s="2" t="s">
        <v>114</v>
      </c>
      <c r="Q568" s="2" t="s">
        <v>12</v>
      </c>
      <c r="R568" s="2" t="s">
        <v>577</v>
      </c>
      <c r="T568" s="2" t="s">
        <v>14</v>
      </c>
      <c r="U568" s="3">
        <v>3</v>
      </c>
      <c r="V568" s="3">
        <v>3</v>
      </c>
      <c r="W568" s="4" t="s">
        <v>7290</v>
      </c>
      <c r="X568" s="4" t="s">
        <v>7290</v>
      </c>
      <c r="Y568" s="4" t="s">
        <v>130</v>
      </c>
      <c r="Z568" s="4" t="s">
        <v>130</v>
      </c>
      <c r="AA568" s="3">
        <v>518</v>
      </c>
      <c r="AB568" s="3">
        <v>440</v>
      </c>
      <c r="AC568" s="3">
        <v>447</v>
      </c>
      <c r="AD568" s="3">
        <v>1</v>
      </c>
      <c r="AE568" s="3">
        <v>1</v>
      </c>
      <c r="AF568" s="3">
        <v>20</v>
      </c>
      <c r="AG568" s="3">
        <v>20</v>
      </c>
      <c r="AH568" s="3">
        <v>8</v>
      </c>
      <c r="AI568" s="3">
        <v>8</v>
      </c>
      <c r="AJ568" s="3">
        <v>5</v>
      </c>
      <c r="AK568" s="3">
        <v>5</v>
      </c>
      <c r="AL568" s="3">
        <v>12</v>
      </c>
      <c r="AM568" s="3">
        <v>12</v>
      </c>
      <c r="AN568" s="3">
        <v>0</v>
      </c>
      <c r="AO568" s="3">
        <v>0</v>
      </c>
      <c r="AP568" s="3">
        <v>0</v>
      </c>
      <c r="AQ568" s="3">
        <v>0</v>
      </c>
      <c r="AR568" s="2" t="s">
        <v>8</v>
      </c>
      <c r="AS568" s="2" t="s">
        <v>6</v>
      </c>
      <c r="AT568" s="5" t="str">
        <f>HYPERLINK("http://catalog.hathitrust.org/Record/000009334","HathiTrust Record")</f>
        <v>HathiTrust Record</v>
      </c>
      <c r="AU568" s="5" t="str">
        <f>HYPERLINK("https://creighton-primo.hosted.exlibrisgroup.com/primo-explore/search?tab=default_tab&amp;search_scope=EVERYTHING&amp;vid=01CRU&amp;lang=en_US&amp;offset=0&amp;query=any,contains,991001541329702656","Catalog Record")</f>
        <v>Catalog Record</v>
      </c>
      <c r="AV568" s="5" t="str">
        <f>HYPERLINK("http://www.worldcat.org/oclc/665870","WorldCat Record")</f>
        <v>WorldCat Record</v>
      </c>
      <c r="AW568" s="2" t="s">
        <v>7291</v>
      </c>
      <c r="AX568" s="2" t="s">
        <v>7292</v>
      </c>
      <c r="AY568" s="2" t="s">
        <v>7293</v>
      </c>
      <c r="AZ568" s="2" t="s">
        <v>7293</v>
      </c>
      <c r="BA568" s="2" t="s">
        <v>7294</v>
      </c>
      <c r="BB568" s="2" t="s">
        <v>21</v>
      </c>
      <c r="BD568" s="2" t="s">
        <v>7295</v>
      </c>
      <c r="BE568" s="2" t="s">
        <v>7296</v>
      </c>
      <c r="BF568" s="2" t="s">
        <v>7297</v>
      </c>
    </row>
    <row r="569" spans="1:58" ht="42.75" customHeight="1" x14ac:dyDescent="0.25">
      <c r="A569" s="8" t="s">
        <v>8</v>
      </c>
      <c r="B569" s="1" t="s">
        <v>0</v>
      </c>
      <c r="C569" s="1" t="s">
        <v>1</v>
      </c>
      <c r="D569" s="1" t="s">
        <v>7298</v>
      </c>
      <c r="E569" s="1" t="s">
        <v>7299</v>
      </c>
      <c r="F569" s="1" t="s">
        <v>7300</v>
      </c>
      <c r="H569" s="2" t="s">
        <v>8</v>
      </c>
      <c r="I569" s="2" t="s">
        <v>7</v>
      </c>
      <c r="J569" s="2" t="s">
        <v>8</v>
      </c>
      <c r="K569" s="2" t="s">
        <v>8</v>
      </c>
      <c r="L569" s="2" t="s">
        <v>9</v>
      </c>
      <c r="N569" s="1" t="s">
        <v>7301</v>
      </c>
      <c r="O569" s="2" t="s">
        <v>614</v>
      </c>
      <c r="Q569" s="2" t="s">
        <v>12</v>
      </c>
      <c r="R569" s="2" t="s">
        <v>577</v>
      </c>
      <c r="S569" s="1" t="s">
        <v>5148</v>
      </c>
      <c r="T569" s="2" t="s">
        <v>14</v>
      </c>
      <c r="U569" s="3">
        <v>39</v>
      </c>
      <c r="V569" s="3">
        <v>39</v>
      </c>
      <c r="W569" s="4" t="s">
        <v>7302</v>
      </c>
      <c r="X569" s="4" t="s">
        <v>7302</v>
      </c>
      <c r="Y569" s="4" t="s">
        <v>7303</v>
      </c>
      <c r="Z569" s="4" t="s">
        <v>7303</v>
      </c>
      <c r="AA569" s="3">
        <v>786</v>
      </c>
      <c r="AB569" s="3">
        <v>662</v>
      </c>
      <c r="AC569" s="3">
        <v>690</v>
      </c>
      <c r="AD569" s="3">
        <v>4</v>
      </c>
      <c r="AE569" s="3">
        <v>5</v>
      </c>
      <c r="AF569" s="3">
        <v>32</v>
      </c>
      <c r="AG569" s="3">
        <v>34</v>
      </c>
      <c r="AH569" s="3">
        <v>11</v>
      </c>
      <c r="AI569" s="3">
        <v>12</v>
      </c>
      <c r="AJ569" s="3">
        <v>6</v>
      </c>
      <c r="AK569" s="3">
        <v>6</v>
      </c>
      <c r="AL569" s="3">
        <v>17</v>
      </c>
      <c r="AM569" s="3">
        <v>18</v>
      </c>
      <c r="AN569" s="3">
        <v>3</v>
      </c>
      <c r="AO569" s="3">
        <v>4</v>
      </c>
      <c r="AP569" s="3">
        <v>3</v>
      </c>
      <c r="AQ569" s="3">
        <v>3</v>
      </c>
      <c r="AR569" s="2" t="s">
        <v>8</v>
      </c>
      <c r="AS569" s="2" t="s">
        <v>8</v>
      </c>
      <c r="AU569" s="5" t="str">
        <f>HYPERLINK("https://creighton-primo.hosted.exlibrisgroup.com/primo-explore/search?tab=default_tab&amp;search_scope=EVERYTHING&amp;vid=01CRU&amp;lang=en_US&amp;offset=0&amp;query=any,contains,991001347599702656","Catalog Record")</f>
        <v>Catalog Record</v>
      </c>
      <c r="AV569" s="5" t="str">
        <f>HYPERLINK("http://www.worldcat.org/oclc/25630308","WorldCat Record")</f>
        <v>WorldCat Record</v>
      </c>
      <c r="AW569" s="2" t="s">
        <v>7304</v>
      </c>
      <c r="AX569" s="2" t="s">
        <v>7305</v>
      </c>
      <c r="AY569" s="2" t="s">
        <v>7306</v>
      </c>
      <c r="AZ569" s="2" t="s">
        <v>7306</v>
      </c>
      <c r="BA569" s="2" t="s">
        <v>7307</v>
      </c>
      <c r="BB569" s="2" t="s">
        <v>21</v>
      </c>
      <c r="BD569" s="2" t="s">
        <v>7308</v>
      </c>
      <c r="BE569" s="2" t="s">
        <v>7309</v>
      </c>
      <c r="BF569" s="2" t="s">
        <v>7310</v>
      </c>
    </row>
    <row r="570" spans="1:58" ht="42.75" customHeight="1" x14ac:dyDescent="0.25">
      <c r="A570" s="8" t="s">
        <v>8</v>
      </c>
      <c r="B570" s="1" t="s">
        <v>0</v>
      </c>
      <c r="C570" s="1" t="s">
        <v>1</v>
      </c>
      <c r="D570" s="1" t="s">
        <v>7311</v>
      </c>
      <c r="E570" s="1" t="s">
        <v>7312</v>
      </c>
      <c r="F570" s="1" t="s">
        <v>7313</v>
      </c>
      <c r="H570" s="2" t="s">
        <v>8</v>
      </c>
      <c r="I570" s="2" t="s">
        <v>7</v>
      </c>
      <c r="J570" s="2" t="s">
        <v>8</v>
      </c>
      <c r="K570" s="2" t="s">
        <v>8</v>
      </c>
      <c r="L570" s="2" t="s">
        <v>9</v>
      </c>
      <c r="N570" s="1" t="s">
        <v>5147</v>
      </c>
      <c r="O570" s="2" t="s">
        <v>33</v>
      </c>
      <c r="Q570" s="2" t="s">
        <v>12</v>
      </c>
      <c r="R570" s="2" t="s">
        <v>577</v>
      </c>
      <c r="S570" s="1" t="s">
        <v>5148</v>
      </c>
      <c r="T570" s="2" t="s">
        <v>14</v>
      </c>
      <c r="U570" s="3">
        <v>5</v>
      </c>
      <c r="V570" s="3">
        <v>5</v>
      </c>
      <c r="W570" s="4" t="s">
        <v>7314</v>
      </c>
      <c r="X570" s="4" t="s">
        <v>7314</v>
      </c>
      <c r="Y570" s="4" t="s">
        <v>7262</v>
      </c>
      <c r="Z570" s="4" t="s">
        <v>7262</v>
      </c>
      <c r="AA570" s="3">
        <v>331</v>
      </c>
      <c r="AB570" s="3">
        <v>273</v>
      </c>
      <c r="AC570" s="3">
        <v>301</v>
      </c>
      <c r="AD570" s="3">
        <v>2</v>
      </c>
      <c r="AE570" s="3">
        <v>2</v>
      </c>
      <c r="AF570" s="3">
        <v>19</v>
      </c>
      <c r="AG570" s="3">
        <v>19</v>
      </c>
      <c r="AH570" s="3">
        <v>5</v>
      </c>
      <c r="AI570" s="3">
        <v>5</v>
      </c>
      <c r="AJ570" s="3">
        <v>4</v>
      </c>
      <c r="AK570" s="3">
        <v>4</v>
      </c>
      <c r="AL570" s="3">
        <v>12</v>
      </c>
      <c r="AM570" s="3">
        <v>12</v>
      </c>
      <c r="AN570" s="3">
        <v>1</v>
      </c>
      <c r="AO570" s="3">
        <v>1</v>
      </c>
      <c r="AP570" s="3">
        <v>2</v>
      </c>
      <c r="AQ570" s="3">
        <v>2</v>
      </c>
      <c r="AR570" s="2" t="s">
        <v>8</v>
      </c>
      <c r="AS570" s="2" t="s">
        <v>6</v>
      </c>
      <c r="AT570" s="5" t="str">
        <f>HYPERLINK("http://catalog.hathitrust.org/Record/000195042","HathiTrust Record")</f>
        <v>HathiTrust Record</v>
      </c>
      <c r="AU570" s="5" t="str">
        <f>HYPERLINK("https://creighton-primo.hosted.exlibrisgroup.com/primo-explore/search?tab=default_tab&amp;search_scope=EVERYTHING&amp;vid=01CRU&amp;lang=en_US&amp;offset=0&amp;query=any,contains,991001541399702656","Catalog Record")</f>
        <v>Catalog Record</v>
      </c>
      <c r="AV570" s="5" t="str">
        <f>HYPERLINK("http://www.worldcat.org/oclc/8112177","WorldCat Record")</f>
        <v>WorldCat Record</v>
      </c>
      <c r="AW570" s="2" t="s">
        <v>7315</v>
      </c>
      <c r="AX570" s="2" t="s">
        <v>7316</v>
      </c>
      <c r="AY570" s="2" t="s">
        <v>7317</v>
      </c>
      <c r="AZ570" s="2" t="s">
        <v>7317</v>
      </c>
      <c r="BA570" s="2" t="s">
        <v>7318</v>
      </c>
      <c r="BB570" s="2" t="s">
        <v>21</v>
      </c>
      <c r="BD570" s="2" t="s">
        <v>7319</v>
      </c>
      <c r="BE570" s="2" t="s">
        <v>7320</v>
      </c>
      <c r="BF570" s="2" t="s">
        <v>7321</v>
      </c>
    </row>
    <row r="571" spans="1:58" ht="42.75" customHeight="1" x14ac:dyDescent="0.25">
      <c r="A571" s="8" t="s">
        <v>8</v>
      </c>
      <c r="B571" s="1" t="s">
        <v>0</v>
      </c>
      <c r="C571" s="1" t="s">
        <v>1</v>
      </c>
      <c r="D571" s="1" t="s">
        <v>7322</v>
      </c>
      <c r="E571" s="1" t="s">
        <v>7323</v>
      </c>
      <c r="F571" s="1" t="s">
        <v>7324</v>
      </c>
      <c r="H571" s="2" t="s">
        <v>8</v>
      </c>
      <c r="I571" s="2" t="s">
        <v>7</v>
      </c>
      <c r="J571" s="2" t="s">
        <v>8</v>
      </c>
      <c r="K571" s="2" t="s">
        <v>8</v>
      </c>
      <c r="L571" s="2" t="s">
        <v>9</v>
      </c>
      <c r="M571" s="1" t="s">
        <v>7325</v>
      </c>
      <c r="N571" s="1" t="s">
        <v>7326</v>
      </c>
      <c r="O571" s="2" t="s">
        <v>1327</v>
      </c>
      <c r="Q571" s="2" t="s">
        <v>12</v>
      </c>
      <c r="R571" s="2" t="s">
        <v>13</v>
      </c>
      <c r="T571" s="2" t="s">
        <v>14</v>
      </c>
      <c r="U571" s="3">
        <v>12</v>
      </c>
      <c r="V571" s="3">
        <v>12</v>
      </c>
      <c r="W571" s="4" t="s">
        <v>7327</v>
      </c>
      <c r="X571" s="4" t="s">
        <v>7327</v>
      </c>
      <c r="Y571" s="4" t="s">
        <v>7328</v>
      </c>
      <c r="Z571" s="4" t="s">
        <v>7328</v>
      </c>
      <c r="AA571" s="3">
        <v>1011</v>
      </c>
      <c r="AB571" s="3">
        <v>937</v>
      </c>
      <c r="AC571" s="3">
        <v>942</v>
      </c>
      <c r="AD571" s="3">
        <v>7</v>
      </c>
      <c r="AE571" s="3">
        <v>7</v>
      </c>
      <c r="AF571" s="3">
        <v>29</v>
      </c>
      <c r="AG571" s="3">
        <v>29</v>
      </c>
      <c r="AH571" s="3">
        <v>10</v>
      </c>
      <c r="AI571" s="3">
        <v>10</v>
      </c>
      <c r="AJ571" s="3">
        <v>5</v>
      </c>
      <c r="AK571" s="3">
        <v>5</v>
      </c>
      <c r="AL571" s="3">
        <v>17</v>
      </c>
      <c r="AM571" s="3">
        <v>17</v>
      </c>
      <c r="AN571" s="3">
        <v>3</v>
      </c>
      <c r="AO571" s="3">
        <v>3</v>
      </c>
      <c r="AP571" s="3">
        <v>4</v>
      </c>
      <c r="AQ571" s="3">
        <v>4</v>
      </c>
      <c r="AR571" s="2" t="s">
        <v>8</v>
      </c>
      <c r="AS571" s="2" t="s">
        <v>6</v>
      </c>
      <c r="AT571" s="5" t="str">
        <f>HYPERLINK("http://catalog.hathitrust.org/Record/000579303","HathiTrust Record")</f>
        <v>HathiTrust Record</v>
      </c>
      <c r="AU571" s="5" t="str">
        <f>HYPERLINK("https://creighton-primo.hosted.exlibrisgroup.com/primo-explore/search?tab=default_tab&amp;search_scope=EVERYTHING&amp;vid=01CRU&amp;lang=en_US&amp;offset=0&amp;query=any,contains,991001548069702656","Catalog Record")</f>
        <v>Catalog Record</v>
      </c>
      <c r="AV571" s="5" t="str">
        <f>HYPERLINK("http://www.worldcat.org/oclc/12551640","WorldCat Record")</f>
        <v>WorldCat Record</v>
      </c>
      <c r="AW571" s="2" t="s">
        <v>7329</v>
      </c>
      <c r="AX571" s="2" t="s">
        <v>7330</v>
      </c>
      <c r="AY571" s="2" t="s">
        <v>7331</v>
      </c>
      <c r="AZ571" s="2" t="s">
        <v>7331</v>
      </c>
      <c r="BA571" s="2" t="s">
        <v>7332</v>
      </c>
      <c r="BB571" s="2" t="s">
        <v>21</v>
      </c>
      <c r="BD571" s="2" t="s">
        <v>7333</v>
      </c>
      <c r="BE571" s="2" t="s">
        <v>7334</v>
      </c>
      <c r="BF571" s="2" t="s">
        <v>7335</v>
      </c>
    </row>
    <row r="572" spans="1:58" ht="42.75" customHeight="1" x14ac:dyDescent="0.25">
      <c r="A572" s="8" t="s">
        <v>8</v>
      </c>
      <c r="B572" s="1" t="s">
        <v>0</v>
      </c>
      <c r="C572" s="1" t="s">
        <v>1</v>
      </c>
      <c r="D572" s="1" t="s">
        <v>7336</v>
      </c>
      <c r="E572" s="1" t="s">
        <v>7337</v>
      </c>
      <c r="F572" s="1" t="s">
        <v>7338</v>
      </c>
      <c r="H572" s="2" t="s">
        <v>8</v>
      </c>
      <c r="I572" s="2" t="s">
        <v>7</v>
      </c>
      <c r="J572" s="2" t="s">
        <v>8</v>
      </c>
      <c r="K572" s="2" t="s">
        <v>8</v>
      </c>
      <c r="L572" s="2" t="s">
        <v>9</v>
      </c>
      <c r="M572" s="1" t="s">
        <v>7339</v>
      </c>
      <c r="N572" s="1" t="s">
        <v>7340</v>
      </c>
      <c r="O572" s="2" t="s">
        <v>907</v>
      </c>
      <c r="Q572" s="2" t="s">
        <v>12</v>
      </c>
      <c r="R572" s="2" t="s">
        <v>658</v>
      </c>
      <c r="T572" s="2" t="s">
        <v>14</v>
      </c>
      <c r="U572" s="3">
        <v>1</v>
      </c>
      <c r="V572" s="3">
        <v>1</v>
      </c>
      <c r="W572" s="4" t="s">
        <v>7341</v>
      </c>
      <c r="X572" s="4" t="s">
        <v>7341</v>
      </c>
      <c r="Y572" s="4" t="s">
        <v>1940</v>
      </c>
      <c r="Z572" s="4" t="s">
        <v>1940</v>
      </c>
      <c r="AA572" s="3">
        <v>22</v>
      </c>
      <c r="AB572" s="3">
        <v>21</v>
      </c>
      <c r="AC572" s="3">
        <v>33</v>
      </c>
      <c r="AD572" s="3">
        <v>1</v>
      </c>
      <c r="AE572" s="3">
        <v>1</v>
      </c>
      <c r="AF572" s="3">
        <v>0</v>
      </c>
      <c r="AG572" s="3">
        <v>1</v>
      </c>
      <c r="AH572" s="3">
        <v>0</v>
      </c>
      <c r="AI572" s="3">
        <v>0</v>
      </c>
      <c r="AJ572" s="3">
        <v>0</v>
      </c>
      <c r="AK572" s="3">
        <v>1</v>
      </c>
      <c r="AL572" s="3">
        <v>0</v>
      </c>
      <c r="AM572" s="3">
        <v>1</v>
      </c>
      <c r="AN572" s="3">
        <v>0</v>
      </c>
      <c r="AO572" s="3">
        <v>0</v>
      </c>
      <c r="AP572" s="3">
        <v>0</v>
      </c>
      <c r="AQ572" s="3">
        <v>0</v>
      </c>
      <c r="AR572" s="2" t="s">
        <v>8</v>
      </c>
      <c r="AS572" s="2" t="s">
        <v>6</v>
      </c>
      <c r="AT572" s="5" t="str">
        <f>HYPERLINK("http://catalog.hathitrust.org/Record/004206040","HathiTrust Record")</f>
        <v>HathiTrust Record</v>
      </c>
      <c r="AU572" s="5" t="str">
        <f>HYPERLINK("https://creighton-primo.hosted.exlibrisgroup.com/primo-explore/search?tab=default_tab&amp;search_scope=EVERYTHING&amp;vid=01CRU&amp;lang=en_US&amp;offset=0&amp;query=any,contains,991000305879702656","Catalog Record")</f>
        <v>Catalog Record</v>
      </c>
      <c r="AV572" s="5" t="str">
        <f>HYPERLINK("http://www.worldcat.org/oclc/45809005","WorldCat Record")</f>
        <v>WorldCat Record</v>
      </c>
      <c r="AW572" s="2" t="s">
        <v>7342</v>
      </c>
      <c r="AX572" s="2" t="s">
        <v>7343</v>
      </c>
      <c r="AY572" s="2" t="s">
        <v>7344</v>
      </c>
      <c r="AZ572" s="2" t="s">
        <v>7344</v>
      </c>
      <c r="BA572" s="2" t="s">
        <v>7345</v>
      </c>
      <c r="BB572" s="2" t="s">
        <v>21</v>
      </c>
      <c r="BD572" s="2" t="s">
        <v>7346</v>
      </c>
      <c r="BE572" s="2" t="s">
        <v>7347</v>
      </c>
      <c r="BF572" s="2" t="s">
        <v>7348</v>
      </c>
    </row>
    <row r="573" spans="1:58" ht="42.75" customHeight="1" x14ac:dyDescent="0.25">
      <c r="A573" s="8" t="s">
        <v>8</v>
      </c>
      <c r="B573" s="1" t="s">
        <v>0</v>
      </c>
      <c r="C573" s="1" t="s">
        <v>1</v>
      </c>
      <c r="D573" s="1" t="s">
        <v>7349</v>
      </c>
      <c r="E573" s="1" t="s">
        <v>7350</v>
      </c>
      <c r="F573" s="1" t="s">
        <v>7351</v>
      </c>
      <c r="H573" s="2" t="s">
        <v>8</v>
      </c>
      <c r="I573" s="2" t="s">
        <v>7</v>
      </c>
      <c r="J573" s="2" t="s">
        <v>8</v>
      </c>
      <c r="K573" s="2" t="s">
        <v>8</v>
      </c>
      <c r="L573" s="2" t="s">
        <v>9</v>
      </c>
      <c r="M573" s="1" t="s">
        <v>7352</v>
      </c>
      <c r="N573" s="1" t="s">
        <v>7353</v>
      </c>
      <c r="O573" s="2" t="s">
        <v>627</v>
      </c>
      <c r="Q573" s="2" t="s">
        <v>12</v>
      </c>
      <c r="R573" s="2" t="s">
        <v>1340</v>
      </c>
      <c r="T573" s="2" t="s">
        <v>14</v>
      </c>
      <c r="U573" s="3">
        <v>16</v>
      </c>
      <c r="V573" s="3">
        <v>16</v>
      </c>
      <c r="W573" s="4" t="s">
        <v>7354</v>
      </c>
      <c r="X573" s="4" t="s">
        <v>7354</v>
      </c>
      <c r="Y573" s="4" t="s">
        <v>7355</v>
      </c>
      <c r="Z573" s="4" t="s">
        <v>7355</v>
      </c>
      <c r="AA573" s="3">
        <v>136</v>
      </c>
      <c r="AB573" s="3">
        <v>117</v>
      </c>
      <c r="AC573" s="3">
        <v>118</v>
      </c>
      <c r="AD573" s="3">
        <v>2</v>
      </c>
      <c r="AE573" s="3">
        <v>2</v>
      </c>
      <c r="AF573" s="3">
        <v>15</v>
      </c>
      <c r="AG573" s="3">
        <v>15</v>
      </c>
      <c r="AH573" s="3">
        <v>3</v>
      </c>
      <c r="AI573" s="3">
        <v>3</v>
      </c>
      <c r="AJ573" s="3">
        <v>5</v>
      </c>
      <c r="AK573" s="3">
        <v>5</v>
      </c>
      <c r="AL573" s="3">
        <v>10</v>
      </c>
      <c r="AM573" s="3">
        <v>10</v>
      </c>
      <c r="AN573" s="3">
        <v>0</v>
      </c>
      <c r="AO573" s="3">
        <v>0</v>
      </c>
      <c r="AP573" s="3">
        <v>2</v>
      </c>
      <c r="AQ573" s="3">
        <v>2</v>
      </c>
      <c r="AR573" s="2" t="s">
        <v>8</v>
      </c>
      <c r="AS573" s="2" t="s">
        <v>6</v>
      </c>
      <c r="AT573" s="5" t="str">
        <f>HYPERLINK("http://catalog.hathitrust.org/Record/006019110","HathiTrust Record")</f>
        <v>HathiTrust Record</v>
      </c>
      <c r="AU573" s="5" t="str">
        <f>HYPERLINK("https://creighton-primo.hosted.exlibrisgroup.com/primo-explore/search?tab=default_tab&amp;search_scope=EVERYTHING&amp;vid=01CRU&amp;lang=en_US&amp;offset=0&amp;query=any,contains,991000781739702656","Catalog Record")</f>
        <v>Catalog Record</v>
      </c>
      <c r="AV573" s="5" t="str">
        <f>HYPERLINK("http://www.worldcat.org/oclc/20319939","WorldCat Record")</f>
        <v>WorldCat Record</v>
      </c>
      <c r="AW573" s="2" t="s">
        <v>7356</v>
      </c>
      <c r="AX573" s="2" t="s">
        <v>7357</v>
      </c>
      <c r="AY573" s="2" t="s">
        <v>7358</v>
      </c>
      <c r="AZ573" s="2" t="s">
        <v>7358</v>
      </c>
      <c r="BA573" s="2" t="s">
        <v>7359</v>
      </c>
      <c r="BB573" s="2" t="s">
        <v>21</v>
      </c>
      <c r="BD573" s="2" t="s">
        <v>7360</v>
      </c>
      <c r="BE573" s="2" t="s">
        <v>7361</v>
      </c>
      <c r="BF573" s="2" t="s">
        <v>7362</v>
      </c>
    </row>
    <row r="574" spans="1:58" ht="42.75" customHeight="1" x14ac:dyDescent="0.25">
      <c r="A574" s="8" t="s">
        <v>8</v>
      </c>
      <c r="B574" s="1" t="s">
        <v>0</v>
      </c>
      <c r="C574" s="1" t="s">
        <v>1</v>
      </c>
      <c r="D574" s="1" t="s">
        <v>7363</v>
      </c>
      <c r="E574" s="1" t="s">
        <v>7364</v>
      </c>
      <c r="F574" s="1" t="s">
        <v>7365</v>
      </c>
      <c r="H574" s="2" t="s">
        <v>8</v>
      </c>
      <c r="I574" s="2" t="s">
        <v>7</v>
      </c>
      <c r="J574" s="2" t="s">
        <v>8</v>
      </c>
      <c r="K574" s="2" t="s">
        <v>8</v>
      </c>
      <c r="L574" s="2" t="s">
        <v>9</v>
      </c>
      <c r="M574" s="1" t="s">
        <v>7366</v>
      </c>
      <c r="N574" s="1" t="s">
        <v>7367</v>
      </c>
      <c r="O574" s="2" t="s">
        <v>67</v>
      </c>
      <c r="Q574" s="2" t="s">
        <v>12</v>
      </c>
      <c r="R574" s="2" t="s">
        <v>267</v>
      </c>
      <c r="T574" s="2" t="s">
        <v>14</v>
      </c>
      <c r="U574" s="3">
        <v>8</v>
      </c>
      <c r="V574" s="3">
        <v>8</v>
      </c>
      <c r="W574" s="4" t="s">
        <v>7368</v>
      </c>
      <c r="X574" s="4" t="s">
        <v>7368</v>
      </c>
      <c r="Y574" s="4" t="s">
        <v>7369</v>
      </c>
      <c r="Z574" s="4" t="s">
        <v>7369</v>
      </c>
      <c r="AA574" s="3">
        <v>3</v>
      </c>
      <c r="AB574" s="3">
        <v>3</v>
      </c>
      <c r="AC574" s="3">
        <v>7</v>
      </c>
      <c r="AD574" s="3">
        <v>1</v>
      </c>
      <c r="AE574" s="3">
        <v>1</v>
      </c>
      <c r="AF574" s="3">
        <v>0</v>
      </c>
      <c r="AG574" s="3">
        <v>0</v>
      </c>
      <c r="AH574" s="3">
        <v>0</v>
      </c>
      <c r="AI574" s="3">
        <v>0</v>
      </c>
      <c r="AJ574" s="3">
        <v>0</v>
      </c>
      <c r="AK574" s="3">
        <v>0</v>
      </c>
      <c r="AL574" s="3">
        <v>0</v>
      </c>
      <c r="AM574" s="3">
        <v>0</v>
      </c>
      <c r="AN574" s="3">
        <v>0</v>
      </c>
      <c r="AO574" s="3">
        <v>0</v>
      </c>
      <c r="AP574" s="3">
        <v>0</v>
      </c>
      <c r="AQ574" s="3">
        <v>0</v>
      </c>
      <c r="AR574" s="2" t="s">
        <v>8</v>
      </c>
      <c r="AS574" s="2" t="s">
        <v>8</v>
      </c>
      <c r="AU574" s="5" t="str">
        <f>HYPERLINK("https://creighton-primo.hosted.exlibrisgroup.com/primo-explore/search?tab=default_tab&amp;search_scope=EVERYTHING&amp;vid=01CRU&amp;lang=en_US&amp;offset=0&amp;query=any,contains,991000629199702656","Catalog Record")</f>
        <v>Catalog Record</v>
      </c>
      <c r="AV574" s="5" t="str">
        <f>HYPERLINK("http://www.worldcat.org/oclc/16411167","WorldCat Record")</f>
        <v>WorldCat Record</v>
      </c>
      <c r="AW574" s="2" t="s">
        <v>7370</v>
      </c>
      <c r="AX574" s="2" t="s">
        <v>7371</v>
      </c>
      <c r="AY574" s="2" t="s">
        <v>7372</v>
      </c>
      <c r="AZ574" s="2" t="s">
        <v>7372</v>
      </c>
      <c r="BA574" s="2" t="s">
        <v>7373</v>
      </c>
      <c r="BB574" s="2" t="s">
        <v>21</v>
      </c>
      <c r="BD574" s="2" t="s">
        <v>7374</v>
      </c>
      <c r="BE574" s="2" t="s">
        <v>7375</v>
      </c>
      <c r="BF574" s="2" t="s">
        <v>7376</v>
      </c>
    </row>
    <row r="575" spans="1:58" ht="42.75" customHeight="1" x14ac:dyDescent="0.25">
      <c r="A575" s="8" t="s">
        <v>8</v>
      </c>
      <c r="B575" s="1" t="s">
        <v>0</v>
      </c>
      <c r="C575" s="1" t="s">
        <v>1</v>
      </c>
      <c r="D575" s="1" t="s">
        <v>7377</v>
      </c>
      <c r="E575" s="1" t="s">
        <v>7378</v>
      </c>
      <c r="F575" s="1" t="s">
        <v>7379</v>
      </c>
      <c r="H575" s="2" t="s">
        <v>8</v>
      </c>
      <c r="I575" s="2" t="s">
        <v>7</v>
      </c>
      <c r="J575" s="2" t="s">
        <v>8</v>
      </c>
      <c r="K575" s="2" t="s">
        <v>8</v>
      </c>
      <c r="L575" s="2" t="s">
        <v>9</v>
      </c>
      <c r="M575" s="1" t="s">
        <v>7380</v>
      </c>
      <c r="N575" s="1" t="s">
        <v>7381</v>
      </c>
      <c r="O575" s="2" t="s">
        <v>874</v>
      </c>
      <c r="Q575" s="2" t="s">
        <v>12</v>
      </c>
      <c r="R575" s="2" t="s">
        <v>520</v>
      </c>
      <c r="T575" s="2" t="s">
        <v>14</v>
      </c>
      <c r="U575" s="3">
        <v>9</v>
      </c>
      <c r="V575" s="3">
        <v>9</v>
      </c>
      <c r="W575" s="4" t="s">
        <v>7382</v>
      </c>
      <c r="X575" s="4" t="s">
        <v>7382</v>
      </c>
      <c r="Y575" s="4" t="s">
        <v>3050</v>
      </c>
      <c r="Z575" s="4" t="s">
        <v>3050</v>
      </c>
      <c r="AA575" s="3">
        <v>222</v>
      </c>
      <c r="AB575" s="3">
        <v>208</v>
      </c>
      <c r="AC575" s="3">
        <v>215</v>
      </c>
      <c r="AD575" s="3">
        <v>2</v>
      </c>
      <c r="AE575" s="3">
        <v>2</v>
      </c>
      <c r="AF575" s="3">
        <v>19</v>
      </c>
      <c r="AG575" s="3">
        <v>19</v>
      </c>
      <c r="AH575" s="3">
        <v>4</v>
      </c>
      <c r="AI575" s="3">
        <v>4</v>
      </c>
      <c r="AJ575" s="3">
        <v>6</v>
      </c>
      <c r="AK575" s="3">
        <v>6</v>
      </c>
      <c r="AL575" s="3">
        <v>11</v>
      </c>
      <c r="AM575" s="3">
        <v>11</v>
      </c>
      <c r="AN575" s="3">
        <v>1</v>
      </c>
      <c r="AO575" s="3">
        <v>1</v>
      </c>
      <c r="AP575" s="3">
        <v>2</v>
      </c>
      <c r="AQ575" s="3">
        <v>2</v>
      </c>
      <c r="AR575" s="2" t="s">
        <v>8</v>
      </c>
      <c r="AS575" s="2" t="s">
        <v>6</v>
      </c>
      <c r="AT575" s="5" t="str">
        <f>HYPERLINK("http://catalog.hathitrust.org/Record/003973398","HathiTrust Record")</f>
        <v>HathiTrust Record</v>
      </c>
      <c r="AU575" s="5" t="str">
        <f>HYPERLINK("https://creighton-primo.hosted.exlibrisgroup.com/primo-explore/search?tab=default_tab&amp;search_scope=EVERYTHING&amp;vid=01CRU&amp;lang=en_US&amp;offset=0&amp;query=any,contains,991000323799702656","Catalog Record")</f>
        <v>Catalog Record</v>
      </c>
      <c r="AV575" s="5" t="str">
        <f>HYPERLINK("http://www.worldcat.org/oclc/36470659","WorldCat Record")</f>
        <v>WorldCat Record</v>
      </c>
      <c r="AW575" s="2" t="s">
        <v>7383</v>
      </c>
      <c r="AX575" s="2" t="s">
        <v>7384</v>
      </c>
      <c r="AY575" s="2" t="s">
        <v>7385</v>
      </c>
      <c r="AZ575" s="2" t="s">
        <v>7385</v>
      </c>
      <c r="BA575" s="2" t="s">
        <v>7386</v>
      </c>
      <c r="BB575" s="2" t="s">
        <v>21</v>
      </c>
      <c r="BD575" s="2" t="s">
        <v>7387</v>
      </c>
      <c r="BE575" s="2" t="s">
        <v>7388</v>
      </c>
      <c r="BF575" s="2" t="s">
        <v>7389</v>
      </c>
    </row>
    <row r="576" spans="1:58" ht="42.75" customHeight="1" x14ac:dyDescent="0.25">
      <c r="A576" s="8" t="s">
        <v>8</v>
      </c>
      <c r="B576" s="1" t="s">
        <v>0</v>
      </c>
      <c r="C576" s="1" t="s">
        <v>1</v>
      </c>
      <c r="D576" s="1" t="s">
        <v>7390</v>
      </c>
      <c r="E576" s="1" t="s">
        <v>7391</v>
      </c>
      <c r="F576" s="1" t="s">
        <v>7392</v>
      </c>
      <c r="H576" s="2" t="s">
        <v>8</v>
      </c>
      <c r="I576" s="2" t="s">
        <v>7</v>
      </c>
      <c r="J576" s="2" t="s">
        <v>8</v>
      </c>
      <c r="K576" s="2" t="s">
        <v>8</v>
      </c>
      <c r="L576" s="2" t="s">
        <v>9</v>
      </c>
      <c r="M576" s="1" t="s">
        <v>7380</v>
      </c>
      <c r="N576" s="1" t="s">
        <v>4087</v>
      </c>
      <c r="O576" s="2" t="s">
        <v>814</v>
      </c>
      <c r="Q576" s="2" t="s">
        <v>12</v>
      </c>
      <c r="R576" s="2" t="s">
        <v>520</v>
      </c>
      <c r="T576" s="2" t="s">
        <v>14</v>
      </c>
      <c r="U576" s="3">
        <v>2</v>
      </c>
      <c r="V576" s="3">
        <v>2</v>
      </c>
      <c r="W576" s="4" t="s">
        <v>5456</v>
      </c>
      <c r="X576" s="4" t="s">
        <v>5456</v>
      </c>
      <c r="Y576" s="4" t="s">
        <v>3050</v>
      </c>
      <c r="Z576" s="4" t="s">
        <v>3050</v>
      </c>
      <c r="AA576" s="3">
        <v>131</v>
      </c>
      <c r="AB576" s="3">
        <v>123</v>
      </c>
      <c r="AC576" s="3">
        <v>123</v>
      </c>
      <c r="AD576" s="3">
        <v>1</v>
      </c>
      <c r="AE576" s="3">
        <v>1</v>
      </c>
      <c r="AF576" s="3">
        <v>10</v>
      </c>
      <c r="AG576" s="3">
        <v>10</v>
      </c>
      <c r="AH576" s="3">
        <v>1</v>
      </c>
      <c r="AI576" s="3">
        <v>1</v>
      </c>
      <c r="AJ576" s="3">
        <v>5</v>
      </c>
      <c r="AK576" s="3">
        <v>5</v>
      </c>
      <c r="AL576" s="3">
        <v>7</v>
      </c>
      <c r="AM576" s="3">
        <v>7</v>
      </c>
      <c r="AN576" s="3">
        <v>0</v>
      </c>
      <c r="AO576" s="3">
        <v>0</v>
      </c>
      <c r="AP576" s="3">
        <v>0</v>
      </c>
      <c r="AQ576" s="3">
        <v>0</v>
      </c>
      <c r="AR576" s="2" t="s">
        <v>8</v>
      </c>
      <c r="AS576" s="2" t="s">
        <v>8</v>
      </c>
      <c r="AU576" s="5" t="str">
        <f>HYPERLINK("https://creighton-primo.hosted.exlibrisgroup.com/primo-explore/search?tab=default_tab&amp;search_scope=EVERYTHING&amp;vid=01CRU&amp;lang=en_US&amp;offset=0&amp;query=any,contains,991000323879702656","Catalog Record")</f>
        <v>Catalog Record</v>
      </c>
      <c r="AV576" s="5" t="str">
        <f>HYPERLINK("http://www.worldcat.org/oclc/41176732","WorldCat Record")</f>
        <v>WorldCat Record</v>
      </c>
      <c r="AW576" s="2" t="s">
        <v>7393</v>
      </c>
      <c r="AX576" s="2" t="s">
        <v>7394</v>
      </c>
      <c r="AY576" s="2" t="s">
        <v>7395</v>
      </c>
      <c r="AZ576" s="2" t="s">
        <v>7395</v>
      </c>
      <c r="BA576" s="2" t="s">
        <v>7396</v>
      </c>
      <c r="BB576" s="2" t="s">
        <v>21</v>
      </c>
      <c r="BD576" s="2" t="s">
        <v>7397</v>
      </c>
      <c r="BE576" s="2" t="s">
        <v>7398</v>
      </c>
      <c r="BF576" s="2" t="s">
        <v>7399</v>
      </c>
    </row>
    <row r="577" spans="1:58" ht="42.75" customHeight="1" x14ac:dyDescent="0.25">
      <c r="A577" s="8" t="s">
        <v>8</v>
      </c>
      <c r="B577" s="1" t="s">
        <v>0</v>
      </c>
      <c r="C577" s="1" t="s">
        <v>1</v>
      </c>
      <c r="D577" s="1" t="s">
        <v>7400</v>
      </c>
      <c r="E577" s="1" t="s">
        <v>7401</v>
      </c>
      <c r="F577" s="1" t="s">
        <v>7402</v>
      </c>
      <c r="H577" s="2" t="s">
        <v>8</v>
      </c>
      <c r="I577" s="2" t="s">
        <v>7</v>
      </c>
      <c r="J577" s="2" t="s">
        <v>6</v>
      </c>
      <c r="K577" s="2" t="s">
        <v>8</v>
      </c>
      <c r="L577" s="2" t="s">
        <v>9</v>
      </c>
      <c r="M577" s="1" t="s">
        <v>7403</v>
      </c>
      <c r="N577" s="1" t="s">
        <v>7404</v>
      </c>
      <c r="O577" s="2" t="s">
        <v>224</v>
      </c>
      <c r="Q577" s="2" t="s">
        <v>12</v>
      </c>
      <c r="R577" s="2" t="s">
        <v>34</v>
      </c>
      <c r="T577" s="2" t="s">
        <v>14</v>
      </c>
      <c r="U577" s="3">
        <v>12</v>
      </c>
      <c r="V577" s="3">
        <v>12</v>
      </c>
      <c r="W577" s="4" t="s">
        <v>7405</v>
      </c>
      <c r="X577" s="4" t="s">
        <v>7405</v>
      </c>
      <c r="Y577" s="4" t="s">
        <v>7406</v>
      </c>
      <c r="Z577" s="4" t="s">
        <v>7406</v>
      </c>
      <c r="AA577" s="3">
        <v>210</v>
      </c>
      <c r="AB577" s="3">
        <v>145</v>
      </c>
      <c r="AC577" s="3">
        <v>147</v>
      </c>
      <c r="AD577" s="3">
        <v>2</v>
      </c>
      <c r="AE577" s="3">
        <v>2</v>
      </c>
      <c r="AF577" s="3">
        <v>4</v>
      </c>
      <c r="AG577" s="3">
        <v>4</v>
      </c>
      <c r="AH577" s="3">
        <v>2</v>
      </c>
      <c r="AI577" s="3">
        <v>2</v>
      </c>
      <c r="AJ577" s="3">
        <v>0</v>
      </c>
      <c r="AK577" s="3">
        <v>0</v>
      </c>
      <c r="AL577" s="3">
        <v>3</v>
      </c>
      <c r="AM577" s="3">
        <v>3</v>
      </c>
      <c r="AN577" s="3">
        <v>0</v>
      </c>
      <c r="AO577" s="3">
        <v>0</v>
      </c>
      <c r="AP577" s="3">
        <v>0</v>
      </c>
      <c r="AQ577" s="3">
        <v>0</v>
      </c>
      <c r="AR577" s="2" t="s">
        <v>8</v>
      </c>
      <c r="AS577" s="2" t="s">
        <v>6</v>
      </c>
      <c r="AT577" s="5" t="str">
        <f>HYPERLINK("http://catalog.hathitrust.org/Record/006182582","HathiTrust Record")</f>
        <v>HathiTrust Record</v>
      </c>
      <c r="AU577" s="5" t="str">
        <f>HYPERLINK("https://creighton-primo.hosted.exlibrisgroup.com/primo-explore/search?tab=default_tab&amp;search_scope=EVERYTHING&amp;vid=01CRU&amp;lang=en_US&amp;offset=0&amp;query=any,contains,991001541449702656","Catalog Record")</f>
        <v>Catalog Record</v>
      </c>
      <c r="AV577" s="5" t="str">
        <f>HYPERLINK("http://www.worldcat.org/oclc/5798973","WorldCat Record")</f>
        <v>WorldCat Record</v>
      </c>
      <c r="AW577" s="2" t="s">
        <v>7407</v>
      </c>
      <c r="AX577" s="2" t="s">
        <v>7408</v>
      </c>
      <c r="AY577" s="2" t="s">
        <v>7409</v>
      </c>
      <c r="AZ577" s="2" t="s">
        <v>7409</v>
      </c>
      <c r="BA577" s="2" t="s">
        <v>7410</v>
      </c>
      <c r="BB577" s="2" t="s">
        <v>21</v>
      </c>
      <c r="BD577" s="2" t="s">
        <v>7411</v>
      </c>
      <c r="BE577" s="2" t="s">
        <v>7412</v>
      </c>
      <c r="BF577" s="2" t="s">
        <v>7413</v>
      </c>
    </row>
    <row r="578" spans="1:58" ht="42.75" customHeight="1" x14ac:dyDescent="0.25">
      <c r="A578" s="8" t="s">
        <v>8</v>
      </c>
      <c r="B578" s="1" t="s">
        <v>0</v>
      </c>
      <c r="C578" s="1" t="s">
        <v>1</v>
      </c>
      <c r="D578" s="1" t="s">
        <v>7414</v>
      </c>
      <c r="E578" s="1" t="s">
        <v>7415</v>
      </c>
      <c r="F578" s="1" t="s">
        <v>7416</v>
      </c>
      <c r="H578" s="2" t="s">
        <v>8</v>
      </c>
      <c r="I578" s="2" t="s">
        <v>7</v>
      </c>
      <c r="J578" s="2" t="s">
        <v>8</v>
      </c>
      <c r="K578" s="2" t="s">
        <v>8</v>
      </c>
      <c r="L578" s="2" t="s">
        <v>9</v>
      </c>
      <c r="N578" s="1" t="s">
        <v>7417</v>
      </c>
      <c r="O578" s="2" t="s">
        <v>907</v>
      </c>
      <c r="Q578" s="2" t="s">
        <v>12</v>
      </c>
      <c r="R578" s="2" t="s">
        <v>13</v>
      </c>
      <c r="T578" s="2" t="s">
        <v>14</v>
      </c>
      <c r="U578" s="3">
        <v>0</v>
      </c>
      <c r="V578" s="3">
        <v>0</v>
      </c>
      <c r="W578" s="4" t="s">
        <v>7418</v>
      </c>
      <c r="X578" s="4" t="s">
        <v>7418</v>
      </c>
      <c r="Y578" s="4" t="s">
        <v>3887</v>
      </c>
      <c r="Z578" s="4" t="s">
        <v>3887</v>
      </c>
      <c r="AA578" s="3">
        <v>297</v>
      </c>
      <c r="AB578" s="3">
        <v>224</v>
      </c>
      <c r="AC578" s="3">
        <v>229</v>
      </c>
      <c r="AD578" s="3">
        <v>1</v>
      </c>
      <c r="AE578" s="3">
        <v>1</v>
      </c>
      <c r="AF578" s="3">
        <v>8</v>
      </c>
      <c r="AG578" s="3">
        <v>8</v>
      </c>
      <c r="AH578" s="3">
        <v>1</v>
      </c>
      <c r="AI578" s="3">
        <v>1</v>
      </c>
      <c r="AJ578" s="3">
        <v>2</v>
      </c>
      <c r="AK578" s="3">
        <v>2</v>
      </c>
      <c r="AL578" s="3">
        <v>6</v>
      </c>
      <c r="AM578" s="3">
        <v>6</v>
      </c>
      <c r="AN578" s="3">
        <v>0</v>
      </c>
      <c r="AO578" s="3">
        <v>0</v>
      </c>
      <c r="AP578" s="3">
        <v>0</v>
      </c>
      <c r="AQ578" s="3">
        <v>0</v>
      </c>
      <c r="AR578" s="2" t="s">
        <v>8</v>
      </c>
      <c r="AS578" s="2" t="s">
        <v>6</v>
      </c>
      <c r="AT578" s="5" t="str">
        <f>HYPERLINK("http://catalog.hathitrust.org/Record/004092352","HathiTrust Record")</f>
        <v>HathiTrust Record</v>
      </c>
      <c r="AU578" s="5" t="str">
        <f>HYPERLINK("https://creighton-primo.hosted.exlibrisgroup.com/primo-explore/search?tab=default_tab&amp;search_scope=EVERYTHING&amp;vid=01CRU&amp;lang=en_US&amp;offset=0&amp;query=any,contains,991000454269702656","Catalog Record")</f>
        <v>Catalog Record</v>
      </c>
      <c r="AV578" s="5" t="str">
        <f>HYPERLINK("http://www.worldcat.org/oclc/45066282","WorldCat Record")</f>
        <v>WorldCat Record</v>
      </c>
      <c r="AW578" s="2" t="s">
        <v>7419</v>
      </c>
      <c r="AX578" s="2" t="s">
        <v>7420</v>
      </c>
      <c r="AY578" s="2" t="s">
        <v>7421</v>
      </c>
      <c r="AZ578" s="2" t="s">
        <v>7421</v>
      </c>
      <c r="BA578" s="2" t="s">
        <v>7422</v>
      </c>
      <c r="BB578" s="2" t="s">
        <v>21</v>
      </c>
      <c r="BD578" s="2" t="s">
        <v>7423</v>
      </c>
      <c r="BE578" s="2" t="s">
        <v>7424</v>
      </c>
      <c r="BF578" s="2" t="s">
        <v>7425</v>
      </c>
    </row>
    <row r="579" spans="1:58" ht="42.75" customHeight="1" x14ac:dyDescent="0.25">
      <c r="A579" s="8" t="s">
        <v>8</v>
      </c>
      <c r="B579" s="1" t="s">
        <v>0</v>
      </c>
      <c r="C579" s="1" t="s">
        <v>1</v>
      </c>
      <c r="D579" s="1" t="s">
        <v>7426</v>
      </c>
      <c r="E579" s="1" t="s">
        <v>7427</v>
      </c>
      <c r="F579" s="1" t="s">
        <v>7428</v>
      </c>
      <c r="H579" s="2" t="s">
        <v>8</v>
      </c>
      <c r="I579" s="2" t="s">
        <v>7</v>
      </c>
      <c r="J579" s="2" t="s">
        <v>8</v>
      </c>
      <c r="K579" s="2" t="s">
        <v>8</v>
      </c>
      <c r="L579" s="2" t="s">
        <v>9</v>
      </c>
      <c r="M579" s="1" t="s">
        <v>7429</v>
      </c>
      <c r="N579" s="1" t="s">
        <v>7430</v>
      </c>
      <c r="O579" s="2" t="s">
        <v>1034</v>
      </c>
      <c r="Q579" s="2" t="s">
        <v>12</v>
      </c>
      <c r="R579" s="2" t="s">
        <v>1340</v>
      </c>
      <c r="T579" s="2" t="s">
        <v>14</v>
      </c>
      <c r="U579" s="3">
        <v>0</v>
      </c>
      <c r="V579" s="3">
        <v>0</v>
      </c>
      <c r="W579" s="4" t="s">
        <v>7431</v>
      </c>
      <c r="X579" s="4" t="s">
        <v>7431</v>
      </c>
      <c r="Y579" s="4" t="s">
        <v>7148</v>
      </c>
      <c r="Z579" s="4" t="s">
        <v>7148</v>
      </c>
      <c r="AA579" s="3">
        <v>679</v>
      </c>
      <c r="AB579" s="3">
        <v>570</v>
      </c>
      <c r="AC579" s="3">
        <v>578</v>
      </c>
      <c r="AD579" s="3">
        <v>2</v>
      </c>
      <c r="AE579" s="3">
        <v>2</v>
      </c>
      <c r="AF579" s="3">
        <v>22</v>
      </c>
      <c r="AG579" s="3">
        <v>22</v>
      </c>
      <c r="AH579" s="3">
        <v>10</v>
      </c>
      <c r="AI579" s="3">
        <v>10</v>
      </c>
      <c r="AJ579" s="3">
        <v>2</v>
      </c>
      <c r="AK579" s="3">
        <v>2</v>
      </c>
      <c r="AL579" s="3">
        <v>12</v>
      </c>
      <c r="AM579" s="3">
        <v>12</v>
      </c>
      <c r="AN579" s="3">
        <v>1</v>
      </c>
      <c r="AO579" s="3">
        <v>1</v>
      </c>
      <c r="AP579" s="3">
        <v>0</v>
      </c>
      <c r="AQ579" s="3">
        <v>0</v>
      </c>
      <c r="AR579" s="2" t="s">
        <v>8</v>
      </c>
      <c r="AS579" s="2" t="s">
        <v>6</v>
      </c>
      <c r="AT579" s="5" t="str">
        <f>HYPERLINK("http://catalog.hathitrust.org/Record/000255397","HathiTrust Record")</f>
        <v>HathiTrust Record</v>
      </c>
      <c r="AU579" s="5" t="str">
        <f>HYPERLINK("https://creighton-primo.hosted.exlibrisgroup.com/primo-explore/search?tab=default_tab&amp;search_scope=EVERYTHING&amp;vid=01CRU&amp;lang=en_US&amp;offset=0&amp;query=any,contains,991000593629702656","Catalog Record")</f>
        <v>Catalog Record</v>
      </c>
      <c r="AV579" s="5" t="str">
        <f>HYPERLINK("http://www.worldcat.org/oclc/4491393","WorldCat Record")</f>
        <v>WorldCat Record</v>
      </c>
      <c r="AW579" s="2" t="s">
        <v>7432</v>
      </c>
      <c r="AX579" s="2" t="s">
        <v>7433</v>
      </c>
      <c r="AY579" s="2" t="s">
        <v>7434</v>
      </c>
      <c r="AZ579" s="2" t="s">
        <v>7434</v>
      </c>
      <c r="BA579" s="2" t="s">
        <v>7435</v>
      </c>
      <c r="BB579" s="2" t="s">
        <v>21</v>
      </c>
      <c r="BD579" s="2" t="s">
        <v>7436</v>
      </c>
      <c r="BE579" s="2" t="s">
        <v>7437</v>
      </c>
      <c r="BF579" s="2" t="s">
        <v>7438</v>
      </c>
    </row>
    <row r="580" spans="1:58" ht="42.75" customHeight="1" x14ac:dyDescent="0.25">
      <c r="A580" s="8" t="s">
        <v>8</v>
      </c>
      <c r="B580" s="1" t="s">
        <v>0</v>
      </c>
      <c r="C580" s="1" t="s">
        <v>1</v>
      </c>
      <c r="D580" s="1" t="s">
        <v>7439</v>
      </c>
      <c r="E580" s="1" t="s">
        <v>7440</v>
      </c>
      <c r="F580" s="1" t="s">
        <v>7441</v>
      </c>
      <c r="H580" s="2" t="s">
        <v>8</v>
      </c>
      <c r="I580" s="2" t="s">
        <v>7</v>
      </c>
      <c r="J580" s="2" t="s">
        <v>8</v>
      </c>
      <c r="K580" s="2" t="s">
        <v>8</v>
      </c>
      <c r="L580" s="2" t="s">
        <v>9</v>
      </c>
      <c r="N580" s="1" t="s">
        <v>7442</v>
      </c>
      <c r="O580" s="2" t="s">
        <v>51</v>
      </c>
      <c r="Q580" s="2" t="s">
        <v>12</v>
      </c>
      <c r="R580" s="2" t="s">
        <v>643</v>
      </c>
      <c r="S580" s="1" t="s">
        <v>2837</v>
      </c>
      <c r="T580" s="2" t="s">
        <v>14</v>
      </c>
      <c r="U580" s="3">
        <v>22</v>
      </c>
      <c r="V580" s="3">
        <v>22</v>
      </c>
      <c r="W580" s="4" t="s">
        <v>7443</v>
      </c>
      <c r="X580" s="4" t="s">
        <v>7443</v>
      </c>
      <c r="Y580" s="4" t="s">
        <v>7444</v>
      </c>
      <c r="Z580" s="4" t="s">
        <v>7444</v>
      </c>
      <c r="AA580" s="3">
        <v>264</v>
      </c>
      <c r="AB580" s="3">
        <v>177</v>
      </c>
      <c r="AC580" s="3">
        <v>184</v>
      </c>
      <c r="AD580" s="3">
        <v>2</v>
      </c>
      <c r="AE580" s="3">
        <v>2</v>
      </c>
      <c r="AF580" s="3">
        <v>9</v>
      </c>
      <c r="AG580" s="3">
        <v>9</v>
      </c>
      <c r="AH580" s="3">
        <v>0</v>
      </c>
      <c r="AI580" s="3">
        <v>0</v>
      </c>
      <c r="AJ580" s="3">
        <v>3</v>
      </c>
      <c r="AK580" s="3">
        <v>3</v>
      </c>
      <c r="AL580" s="3">
        <v>5</v>
      </c>
      <c r="AM580" s="3">
        <v>5</v>
      </c>
      <c r="AN580" s="3">
        <v>1</v>
      </c>
      <c r="AO580" s="3">
        <v>1</v>
      </c>
      <c r="AP580" s="3">
        <v>3</v>
      </c>
      <c r="AQ580" s="3">
        <v>3</v>
      </c>
      <c r="AR580" s="2" t="s">
        <v>8</v>
      </c>
      <c r="AS580" s="2" t="s">
        <v>6</v>
      </c>
      <c r="AT580" s="5" t="str">
        <f>HYPERLINK("http://catalog.hathitrust.org/Record/000917604","HathiTrust Record")</f>
        <v>HathiTrust Record</v>
      </c>
      <c r="AU580" s="5" t="str">
        <f>HYPERLINK("https://creighton-primo.hosted.exlibrisgroup.com/primo-explore/search?tab=default_tab&amp;search_scope=EVERYTHING&amp;vid=01CRU&amp;lang=en_US&amp;offset=0&amp;query=any,contains,991001421559702656","Catalog Record")</f>
        <v>Catalog Record</v>
      </c>
      <c r="AV580" s="5" t="str">
        <f>HYPERLINK("http://www.worldcat.org/oclc/16682472","WorldCat Record")</f>
        <v>WorldCat Record</v>
      </c>
      <c r="AW580" s="2" t="s">
        <v>7445</v>
      </c>
      <c r="AX580" s="2" t="s">
        <v>7446</v>
      </c>
      <c r="AY580" s="2" t="s">
        <v>7447</v>
      </c>
      <c r="AZ580" s="2" t="s">
        <v>7447</v>
      </c>
      <c r="BA580" s="2" t="s">
        <v>7448</v>
      </c>
      <c r="BB580" s="2" t="s">
        <v>21</v>
      </c>
      <c r="BD580" s="2" t="s">
        <v>7449</v>
      </c>
      <c r="BE580" s="2" t="s">
        <v>7450</v>
      </c>
      <c r="BF580" s="2" t="s">
        <v>7451</v>
      </c>
    </row>
    <row r="581" spans="1:58" ht="42.75" customHeight="1" x14ac:dyDescent="0.25">
      <c r="A581" s="8" t="s">
        <v>8</v>
      </c>
      <c r="B581" s="1" t="s">
        <v>0</v>
      </c>
      <c r="C581" s="1" t="s">
        <v>1</v>
      </c>
      <c r="D581" s="1" t="s">
        <v>7452</v>
      </c>
      <c r="E581" s="1" t="s">
        <v>7453</v>
      </c>
      <c r="F581" s="1" t="s">
        <v>7454</v>
      </c>
      <c r="H581" s="2" t="s">
        <v>8</v>
      </c>
      <c r="I581" s="2" t="s">
        <v>7</v>
      </c>
      <c r="J581" s="2" t="s">
        <v>8</v>
      </c>
      <c r="K581" s="2" t="s">
        <v>6</v>
      </c>
      <c r="L581" s="2" t="s">
        <v>7</v>
      </c>
      <c r="M581" s="1" t="s">
        <v>7455</v>
      </c>
      <c r="N581" s="1" t="s">
        <v>6922</v>
      </c>
      <c r="O581" s="2" t="s">
        <v>844</v>
      </c>
      <c r="Q581" s="2" t="s">
        <v>12</v>
      </c>
      <c r="R581" s="2" t="s">
        <v>1211</v>
      </c>
      <c r="S581" s="1" t="s">
        <v>7456</v>
      </c>
      <c r="T581" s="2" t="s">
        <v>14</v>
      </c>
      <c r="U581" s="3">
        <v>13</v>
      </c>
      <c r="V581" s="3">
        <v>13</v>
      </c>
      <c r="W581" s="4" t="s">
        <v>7457</v>
      </c>
      <c r="X581" s="4" t="s">
        <v>7457</v>
      </c>
      <c r="Y581" s="4" t="s">
        <v>7458</v>
      </c>
      <c r="Z581" s="4" t="s">
        <v>7458</v>
      </c>
      <c r="AA581" s="3">
        <v>283</v>
      </c>
      <c r="AB581" s="3">
        <v>243</v>
      </c>
      <c r="AC581" s="3">
        <v>1360</v>
      </c>
      <c r="AD581" s="3">
        <v>1</v>
      </c>
      <c r="AE581" s="3">
        <v>16</v>
      </c>
      <c r="AF581" s="3">
        <v>18</v>
      </c>
      <c r="AG581" s="3">
        <v>54</v>
      </c>
      <c r="AH581" s="3">
        <v>4</v>
      </c>
      <c r="AI581" s="3">
        <v>18</v>
      </c>
      <c r="AJ581" s="3">
        <v>4</v>
      </c>
      <c r="AK581" s="3">
        <v>9</v>
      </c>
      <c r="AL581" s="3">
        <v>9</v>
      </c>
      <c r="AM581" s="3">
        <v>17</v>
      </c>
      <c r="AN581" s="3">
        <v>0</v>
      </c>
      <c r="AO581" s="3">
        <v>13</v>
      </c>
      <c r="AP581" s="3">
        <v>5</v>
      </c>
      <c r="AQ581" s="3">
        <v>7</v>
      </c>
      <c r="AR581" s="2" t="s">
        <v>8</v>
      </c>
      <c r="AS581" s="2" t="s">
        <v>8</v>
      </c>
      <c r="AU581" s="5" t="str">
        <f>HYPERLINK("https://creighton-primo.hosted.exlibrisgroup.com/primo-explore/search?tab=default_tab&amp;search_scope=EVERYTHING&amp;vid=01CRU&amp;lang=en_US&amp;offset=0&amp;query=any,contains,991001293809702656","Catalog Record")</f>
        <v>Catalog Record</v>
      </c>
      <c r="AV581" s="5" t="str">
        <f>HYPERLINK("http://www.worldcat.org/oclc/31288757","WorldCat Record")</f>
        <v>WorldCat Record</v>
      </c>
      <c r="AW581" s="2" t="s">
        <v>7459</v>
      </c>
      <c r="AX581" s="2" t="s">
        <v>7460</v>
      </c>
      <c r="AY581" s="2" t="s">
        <v>7461</v>
      </c>
      <c r="AZ581" s="2" t="s">
        <v>7461</v>
      </c>
      <c r="BA581" s="2" t="s">
        <v>7462</v>
      </c>
      <c r="BB581" s="2" t="s">
        <v>21</v>
      </c>
      <c r="BD581" s="2" t="s">
        <v>7463</v>
      </c>
      <c r="BE581" s="2" t="s">
        <v>7464</v>
      </c>
      <c r="BF581" s="2" t="s">
        <v>7465</v>
      </c>
    </row>
    <row r="582" spans="1:58" ht="42.75" customHeight="1" x14ac:dyDescent="0.25">
      <c r="A582" s="8" t="s">
        <v>8</v>
      </c>
      <c r="B582" s="1" t="s">
        <v>0</v>
      </c>
      <c r="C582" s="1" t="s">
        <v>1</v>
      </c>
      <c r="D582" s="1" t="s">
        <v>7466</v>
      </c>
      <c r="E582" s="1" t="s">
        <v>7467</v>
      </c>
      <c r="F582" s="1" t="s">
        <v>7468</v>
      </c>
      <c r="H582" s="2" t="s">
        <v>8</v>
      </c>
      <c r="I582" s="2" t="s">
        <v>7</v>
      </c>
      <c r="J582" s="2" t="s">
        <v>8</v>
      </c>
      <c r="K582" s="2" t="s">
        <v>8</v>
      </c>
      <c r="L582" s="2" t="s">
        <v>9</v>
      </c>
      <c r="M582" s="1" t="s">
        <v>7469</v>
      </c>
      <c r="N582" s="1" t="s">
        <v>7470</v>
      </c>
      <c r="O582" s="2" t="s">
        <v>7471</v>
      </c>
      <c r="Q582" s="2" t="s">
        <v>12</v>
      </c>
      <c r="R582" s="2" t="s">
        <v>520</v>
      </c>
      <c r="S582" s="1" t="s">
        <v>7472</v>
      </c>
      <c r="T582" s="2" t="s">
        <v>14</v>
      </c>
      <c r="U582" s="3">
        <v>2</v>
      </c>
      <c r="V582" s="3">
        <v>2</v>
      </c>
      <c r="W582" s="4" t="s">
        <v>7473</v>
      </c>
      <c r="X582" s="4" t="s">
        <v>7473</v>
      </c>
      <c r="Y582" s="4" t="s">
        <v>7328</v>
      </c>
      <c r="Z582" s="4" t="s">
        <v>7328</v>
      </c>
      <c r="AA582" s="3">
        <v>71</v>
      </c>
      <c r="AB582" s="3">
        <v>65</v>
      </c>
      <c r="AC582" s="3">
        <v>80</v>
      </c>
      <c r="AD582" s="3">
        <v>1</v>
      </c>
      <c r="AE582" s="3">
        <v>1</v>
      </c>
      <c r="AF582" s="3">
        <v>1</v>
      </c>
      <c r="AG582" s="3">
        <v>1</v>
      </c>
      <c r="AH582" s="3">
        <v>0</v>
      </c>
      <c r="AI582" s="3">
        <v>0</v>
      </c>
      <c r="AJ582" s="3">
        <v>1</v>
      </c>
      <c r="AK582" s="3">
        <v>1</v>
      </c>
      <c r="AL582" s="3">
        <v>0</v>
      </c>
      <c r="AM582" s="3">
        <v>0</v>
      </c>
      <c r="AN582" s="3">
        <v>0</v>
      </c>
      <c r="AO582" s="3">
        <v>0</v>
      </c>
      <c r="AP582" s="3">
        <v>0</v>
      </c>
      <c r="AQ582" s="3">
        <v>0</v>
      </c>
      <c r="AR582" s="2" t="s">
        <v>6</v>
      </c>
      <c r="AS582" s="2" t="s">
        <v>8</v>
      </c>
      <c r="AT582" s="5" t="str">
        <f>HYPERLINK("http://catalog.hathitrust.org/Record/102181640","HathiTrust Record")</f>
        <v>HathiTrust Record</v>
      </c>
      <c r="AU582" s="5" t="str">
        <f>HYPERLINK("https://creighton-primo.hosted.exlibrisgroup.com/primo-explore/search?tab=default_tab&amp;search_scope=EVERYTHING&amp;vid=01CRU&amp;lang=en_US&amp;offset=0&amp;query=any,contains,991001541529702656","Catalog Record")</f>
        <v>Catalog Record</v>
      </c>
      <c r="AV582" s="5" t="str">
        <f>HYPERLINK("http://www.worldcat.org/oclc/1924618","WorldCat Record")</f>
        <v>WorldCat Record</v>
      </c>
      <c r="AW582" s="2" t="s">
        <v>7474</v>
      </c>
      <c r="AX582" s="2" t="s">
        <v>7475</v>
      </c>
      <c r="AY582" s="2" t="s">
        <v>7476</v>
      </c>
      <c r="AZ582" s="2" t="s">
        <v>7476</v>
      </c>
      <c r="BA582" s="2" t="s">
        <v>7477</v>
      </c>
      <c r="BB582" s="2" t="s">
        <v>21</v>
      </c>
      <c r="BE582" s="2" t="s">
        <v>7478</v>
      </c>
      <c r="BF582" s="2" t="s">
        <v>7479</v>
      </c>
    </row>
    <row r="583" spans="1:58" ht="42.75" customHeight="1" x14ac:dyDescent="0.25">
      <c r="A583" s="8" t="s">
        <v>8</v>
      </c>
      <c r="B583" s="1" t="s">
        <v>0</v>
      </c>
      <c r="C583" s="1" t="s">
        <v>1</v>
      </c>
      <c r="D583" s="1" t="s">
        <v>7480</v>
      </c>
      <c r="E583" s="1" t="s">
        <v>7481</v>
      </c>
      <c r="F583" s="1" t="s">
        <v>7482</v>
      </c>
      <c r="H583" s="2" t="s">
        <v>8</v>
      </c>
      <c r="I583" s="2" t="s">
        <v>7</v>
      </c>
      <c r="J583" s="2" t="s">
        <v>8</v>
      </c>
      <c r="K583" s="2" t="s">
        <v>8</v>
      </c>
      <c r="L583" s="2" t="s">
        <v>9</v>
      </c>
      <c r="M583" s="1" t="s">
        <v>7483</v>
      </c>
      <c r="N583" s="1" t="s">
        <v>7484</v>
      </c>
      <c r="O583" s="2" t="s">
        <v>33</v>
      </c>
      <c r="P583" s="1" t="s">
        <v>1225</v>
      </c>
      <c r="Q583" s="2" t="s">
        <v>12</v>
      </c>
      <c r="R583" s="2" t="s">
        <v>34</v>
      </c>
      <c r="T583" s="2" t="s">
        <v>14</v>
      </c>
      <c r="U583" s="3">
        <v>6</v>
      </c>
      <c r="V583" s="3">
        <v>6</v>
      </c>
      <c r="W583" s="4" t="s">
        <v>5753</v>
      </c>
      <c r="X583" s="4" t="s">
        <v>5753</v>
      </c>
      <c r="Y583" s="4" t="s">
        <v>7406</v>
      </c>
      <c r="Z583" s="4" t="s">
        <v>7406</v>
      </c>
      <c r="AA583" s="3">
        <v>176</v>
      </c>
      <c r="AB583" s="3">
        <v>159</v>
      </c>
      <c r="AC583" s="3">
        <v>161</v>
      </c>
      <c r="AD583" s="3">
        <v>2</v>
      </c>
      <c r="AE583" s="3">
        <v>2</v>
      </c>
      <c r="AF583" s="3">
        <v>9</v>
      </c>
      <c r="AG583" s="3">
        <v>9</v>
      </c>
      <c r="AH583" s="3">
        <v>4</v>
      </c>
      <c r="AI583" s="3">
        <v>4</v>
      </c>
      <c r="AJ583" s="3">
        <v>3</v>
      </c>
      <c r="AK583" s="3">
        <v>3</v>
      </c>
      <c r="AL583" s="3">
        <v>5</v>
      </c>
      <c r="AM583" s="3">
        <v>5</v>
      </c>
      <c r="AN583" s="3">
        <v>1</v>
      </c>
      <c r="AO583" s="3">
        <v>1</v>
      </c>
      <c r="AP583" s="3">
        <v>0</v>
      </c>
      <c r="AQ583" s="3">
        <v>0</v>
      </c>
      <c r="AR583" s="2" t="s">
        <v>8</v>
      </c>
      <c r="AS583" s="2" t="s">
        <v>6</v>
      </c>
      <c r="AT583" s="5" t="str">
        <f>HYPERLINK("http://catalog.hathitrust.org/Record/000762346","HathiTrust Record")</f>
        <v>HathiTrust Record</v>
      </c>
      <c r="AU583" s="5" t="str">
        <f>HYPERLINK("https://creighton-primo.hosted.exlibrisgroup.com/primo-explore/search?tab=default_tab&amp;search_scope=EVERYTHING&amp;vid=01CRU&amp;lang=en_US&amp;offset=0&amp;query=any,contains,991001541489702656","Catalog Record")</f>
        <v>Catalog Record</v>
      </c>
      <c r="AV583" s="5" t="str">
        <f>HYPERLINK("http://www.worldcat.org/oclc/7597832","WorldCat Record")</f>
        <v>WorldCat Record</v>
      </c>
      <c r="AW583" s="2" t="s">
        <v>7485</v>
      </c>
      <c r="AX583" s="2" t="s">
        <v>7486</v>
      </c>
      <c r="AY583" s="2" t="s">
        <v>7487</v>
      </c>
      <c r="AZ583" s="2" t="s">
        <v>7487</v>
      </c>
      <c r="BA583" s="2" t="s">
        <v>7488</v>
      </c>
      <c r="BB583" s="2" t="s">
        <v>21</v>
      </c>
      <c r="BD583" s="2" t="s">
        <v>7489</v>
      </c>
      <c r="BE583" s="2" t="s">
        <v>7490</v>
      </c>
      <c r="BF583" s="2" t="s">
        <v>7491</v>
      </c>
    </row>
    <row r="584" spans="1:58" ht="42.75" customHeight="1" x14ac:dyDescent="0.25">
      <c r="A584" s="8" t="s">
        <v>8</v>
      </c>
      <c r="B584" s="1" t="s">
        <v>0</v>
      </c>
      <c r="C584" s="1" t="s">
        <v>1</v>
      </c>
      <c r="D584" s="1" t="s">
        <v>7492</v>
      </c>
      <c r="E584" s="1" t="s">
        <v>7493</v>
      </c>
      <c r="F584" s="1" t="s">
        <v>7494</v>
      </c>
      <c r="H584" s="2" t="s">
        <v>8</v>
      </c>
      <c r="I584" s="2" t="s">
        <v>7</v>
      </c>
      <c r="J584" s="2" t="s">
        <v>8</v>
      </c>
      <c r="K584" s="2" t="s">
        <v>6</v>
      </c>
      <c r="L584" s="2" t="s">
        <v>7</v>
      </c>
      <c r="M584" s="1" t="s">
        <v>7495</v>
      </c>
      <c r="N584" s="1" t="s">
        <v>7496</v>
      </c>
      <c r="O584" s="2" t="s">
        <v>602</v>
      </c>
      <c r="Q584" s="2" t="s">
        <v>12</v>
      </c>
      <c r="R584" s="2" t="s">
        <v>13</v>
      </c>
      <c r="T584" s="2" t="s">
        <v>14</v>
      </c>
      <c r="U584" s="3">
        <v>9</v>
      </c>
      <c r="V584" s="3">
        <v>9</v>
      </c>
      <c r="W584" s="4" t="s">
        <v>7497</v>
      </c>
      <c r="X584" s="4" t="s">
        <v>7497</v>
      </c>
      <c r="Y584" s="4" t="s">
        <v>7498</v>
      </c>
      <c r="Z584" s="4" t="s">
        <v>7498</v>
      </c>
      <c r="AA584" s="3">
        <v>597</v>
      </c>
      <c r="AB584" s="3">
        <v>493</v>
      </c>
      <c r="AC584" s="3">
        <v>1525</v>
      </c>
      <c r="AD584" s="3">
        <v>2</v>
      </c>
      <c r="AE584" s="3">
        <v>15</v>
      </c>
      <c r="AF584" s="3">
        <v>22</v>
      </c>
      <c r="AG584" s="3">
        <v>65</v>
      </c>
      <c r="AH584" s="3">
        <v>8</v>
      </c>
      <c r="AI584" s="3">
        <v>21</v>
      </c>
      <c r="AJ584" s="3">
        <v>5</v>
      </c>
      <c r="AK584" s="3">
        <v>12</v>
      </c>
      <c r="AL584" s="3">
        <v>9</v>
      </c>
      <c r="AM584" s="3">
        <v>25</v>
      </c>
      <c r="AN584" s="3">
        <v>1</v>
      </c>
      <c r="AO584" s="3">
        <v>13</v>
      </c>
      <c r="AP584" s="3">
        <v>1</v>
      </c>
      <c r="AQ584" s="3">
        <v>5</v>
      </c>
      <c r="AR584" s="2" t="s">
        <v>8</v>
      </c>
      <c r="AS584" s="2" t="s">
        <v>8</v>
      </c>
      <c r="AU584" s="5" t="str">
        <f>HYPERLINK("https://creighton-primo.hosted.exlibrisgroup.com/primo-explore/search?tab=default_tab&amp;search_scope=EVERYTHING&amp;vid=01CRU&amp;lang=en_US&amp;offset=0&amp;query=any,contains,991001031949702656","Catalog Record")</f>
        <v>Catalog Record</v>
      </c>
      <c r="AV584" s="5" t="str">
        <f>HYPERLINK("http://www.worldcat.org/oclc/21901325","WorldCat Record")</f>
        <v>WorldCat Record</v>
      </c>
      <c r="AW584" s="2" t="s">
        <v>7499</v>
      </c>
      <c r="AX584" s="2" t="s">
        <v>7500</v>
      </c>
      <c r="AY584" s="2" t="s">
        <v>7501</v>
      </c>
      <c r="AZ584" s="2" t="s">
        <v>7501</v>
      </c>
      <c r="BA584" s="2" t="s">
        <v>7502</v>
      </c>
      <c r="BB584" s="2" t="s">
        <v>21</v>
      </c>
      <c r="BD584" s="2" t="s">
        <v>7503</v>
      </c>
      <c r="BE584" s="2" t="s">
        <v>7504</v>
      </c>
      <c r="BF584" s="2" t="s">
        <v>7505</v>
      </c>
    </row>
    <row r="585" spans="1:58" ht="42.75" customHeight="1" x14ac:dyDescent="0.25">
      <c r="A585" s="8" t="s">
        <v>8</v>
      </c>
      <c r="B585" s="1" t="s">
        <v>0</v>
      </c>
      <c r="C585" s="1" t="s">
        <v>1</v>
      </c>
      <c r="D585" s="1" t="s">
        <v>7506</v>
      </c>
      <c r="E585" s="1" t="s">
        <v>7507</v>
      </c>
      <c r="F585" s="1" t="s">
        <v>7508</v>
      </c>
      <c r="H585" s="2" t="s">
        <v>8</v>
      </c>
      <c r="I585" s="2" t="s">
        <v>7</v>
      </c>
      <c r="J585" s="2" t="s">
        <v>8</v>
      </c>
      <c r="K585" s="2" t="s">
        <v>6</v>
      </c>
      <c r="L585" s="2" t="s">
        <v>7</v>
      </c>
      <c r="M585" s="1" t="s">
        <v>7495</v>
      </c>
      <c r="N585" s="1" t="s">
        <v>7509</v>
      </c>
      <c r="O585" s="2" t="s">
        <v>642</v>
      </c>
      <c r="P585" s="1" t="s">
        <v>83</v>
      </c>
      <c r="Q585" s="2" t="s">
        <v>12</v>
      </c>
      <c r="R585" s="2" t="s">
        <v>13</v>
      </c>
      <c r="T585" s="2" t="s">
        <v>14</v>
      </c>
      <c r="U585" s="3">
        <v>6</v>
      </c>
      <c r="V585" s="3">
        <v>6</v>
      </c>
      <c r="W585" s="4" t="s">
        <v>7510</v>
      </c>
      <c r="X585" s="4" t="s">
        <v>7510</v>
      </c>
      <c r="Y585" s="4" t="s">
        <v>7511</v>
      </c>
      <c r="Z585" s="4" t="s">
        <v>7511</v>
      </c>
      <c r="AA585" s="3">
        <v>365</v>
      </c>
      <c r="AB585" s="3">
        <v>280</v>
      </c>
      <c r="AC585" s="3">
        <v>1525</v>
      </c>
      <c r="AD585" s="3">
        <v>3</v>
      </c>
      <c r="AE585" s="3">
        <v>15</v>
      </c>
      <c r="AF585" s="3">
        <v>17</v>
      </c>
      <c r="AG585" s="3">
        <v>65</v>
      </c>
      <c r="AH585" s="3">
        <v>4</v>
      </c>
      <c r="AI585" s="3">
        <v>21</v>
      </c>
      <c r="AJ585" s="3">
        <v>5</v>
      </c>
      <c r="AK585" s="3">
        <v>12</v>
      </c>
      <c r="AL585" s="3">
        <v>8</v>
      </c>
      <c r="AM585" s="3">
        <v>25</v>
      </c>
      <c r="AN585" s="3">
        <v>2</v>
      </c>
      <c r="AO585" s="3">
        <v>13</v>
      </c>
      <c r="AP585" s="3">
        <v>2</v>
      </c>
      <c r="AQ585" s="3">
        <v>5</v>
      </c>
      <c r="AR585" s="2" t="s">
        <v>8</v>
      </c>
      <c r="AS585" s="2" t="s">
        <v>8</v>
      </c>
      <c r="AU585" s="5" t="str">
        <f>HYPERLINK("https://creighton-primo.hosted.exlibrisgroup.com/primo-explore/search?tab=default_tab&amp;search_scope=EVERYTHING&amp;vid=01CRU&amp;lang=en_US&amp;offset=0&amp;query=any,contains,991000404339702656","Catalog Record")</f>
        <v>Catalog Record</v>
      </c>
      <c r="AV585" s="5" t="str">
        <f>HYPERLINK("http://www.worldcat.org/oclc/51278448","WorldCat Record")</f>
        <v>WorldCat Record</v>
      </c>
      <c r="AW585" s="2" t="s">
        <v>7499</v>
      </c>
      <c r="AX585" s="2" t="s">
        <v>7512</v>
      </c>
      <c r="AY585" s="2" t="s">
        <v>7513</v>
      </c>
      <c r="AZ585" s="2" t="s">
        <v>7513</v>
      </c>
      <c r="BA585" s="2" t="s">
        <v>7514</v>
      </c>
      <c r="BB585" s="2" t="s">
        <v>21</v>
      </c>
      <c r="BD585" s="2" t="s">
        <v>7515</v>
      </c>
      <c r="BE585" s="2" t="s">
        <v>7516</v>
      </c>
      <c r="BF585" s="2" t="s">
        <v>7517</v>
      </c>
    </row>
    <row r="586" spans="1:58" ht="42.75" customHeight="1" x14ac:dyDescent="0.25">
      <c r="A586" s="8" t="s">
        <v>8</v>
      </c>
      <c r="B586" s="1" t="s">
        <v>0</v>
      </c>
      <c r="C586" s="1" t="s">
        <v>1</v>
      </c>
      <c r="D586" s="1" t="s">
        <v>7518</v>
      </c>
      <c r="E586" s="1" t="s">
        <v>7519</v>
      </c>
      <c r="F586" s="1" t="s">
        <v>7520</v>
      </c>
      <c r="H586" s="2" t="s">
        <v>8</v>
      </c>
      <c r="I586" s="2" t="s">
        <v>7</v>
      </c>
      <c r="J586" s="2" t="s">
        <v>8</v>
      </c>
      <c r="K586" s="2" t="s">
        <v>8</v>
      </c>
      <c r="L586" s="2" t="s">
        <v>9</v>
      </c>
      <c r="N586" s="1" t="s">
        <v>7521</v>
      </c>
      <c r="O586" s="2" t="s">
        <v>627</v>
      </c>
      <c r="Q586" s="2" t="s">
        <v>12</v>
      </c>
      <c r="R586" s="2" t="s">
        <v>34</v>
      </c>
      <c r="T586" s="2" t="s">
        <v>14</v>
      </c>
      <c r="U586" s="3">
        <v>14</v>
      </c>
      <c r="V586" s="3">
        <v>14</v>
      </c>
      <c r="W586" s="4" t="s">
        <v>3296</v>
      </c>
      <c r="X586" s="4" t="s">
        <v>3296</v>
      </c>
      <c r="Y586" s="4" t="s">
        <v>2755</v>
      </c>
      <c r="Z586" s="4" t="s">
        <v>2755</v>
      </c>
      <c r="AA586" s="3">
        <v>247</v>
      </c>
      <c r="AB586" s="3">
        <v>182</v>
      </c>
      <c r="AC586" s="3">
        <v>215</v>
      </c>
      <c r="AD586" s="3">
        <v>1</v>
      </c>
      <c r="AE586" s="3">
        <v>1</v>
      </c>
      <c r="AF586" s="3">
        <v>7</v>
      </c>
      <c r="AG586" s="3">
        <v>7</v>
      </c>
      <c r="AH586" s="3">
        <v>2</v>
      </c>
      <c r="AI586" s="3">
        <v>2</v>
      </c>
      <c r="AJ586" s="3">
        <v>2</v>
      </c>
      <c r="AK586" s="3">
        <v>2</v>
      </c>
      <c r="AL586" s="3">
        <v>7</v>
      </c>
      <c r="AM586" s="3">
        <v>7</v>
      </c>
      <c r="AN586" s="3">
        <v>0</v>
      </c>
      <c r="AO586" s="3">
        <v>0</v>
      </c>
      <c r="AP586" s="3">
        <v>0</v>
      </c>
      <c r="AQ586" s="3">
        <v>0</v>
      </c>
      <c r="AR586" s="2" t="s">
        <v>8</v>
      </c>
      <c r="AS586" s="2" t="s">
        <v>8</v>
      </c>
      <c r="AU586" s="5" t="str">
        <f>HYPERLINK("https://creighton-primo.hosted.exlibrisgroup.com/primo-explore/search?tab=default_tab&amp;search_scope=EVERYTHING&amp;vid=01CRU&amp;lang=en_US&amp;offset=0&amp;query=any,contains,991001370509702656","Catalog Record")</f>
        <v>Catalog Record</v>
      </c>
      <c r="AV586" s="5" t="str">
        <f>HYPERLINK("http://www.worldcat.org/oclc/17107015","WorldCat Record")</f>
        <v>WorldCat Record</v>
      </c>
      <c r="AW586" s="2" t="s">
        <v>7522</v>
      </c>
      <c r="AX586" s="2" t="s">
        <v>7523</v>
      </c>
      <c r="AY586" s="2" t="s">
        <v>7524</v>
      </c>
      <c r="AZ586" s="2" t="s">
        <v>7524</v>
      </c>
      <c r="BA586" s="2" t="s">
        <v>7525</v>
      </c>
      <c r="BB586" s="2" t="s">
        <v>21</v>
      </c>
      <c r="BD586" s="2" t="s">
        <v>7526</v>
      </c>
      <c r="BE586" s="2" t="s">
        <v>7527</v>
      </c>
      <c r="BF586" s="2" t="s">
        <v>7528</v>
      </c>
    </row>
    <row r="587" spans="1:58" ht="42.75" customHeight="1" x14ac:dyDescent="0.25">
      <c r="A587" s="8" t="s">
        <v>8</v>
      </c>
      <c r="B587" s="1" t="s">
        <v>0</v>
      </c>
      <c r="C587" s="1" t="s">
        <v>1</v>
      </c>
      <c r="D587" s="1" t="s">
        <v>7529</v>
      </c>
      <c r="E587" s="1" t="s">
        <v>7530</v>
      </c>
      <c r="F587" s="1" t="s">
        <v>7531</v>
      </c>
      <c r="H587" s="2" t="s">
        <v>8</v>
      </c>
      <c r="I587" s="2" t="s">
        <v>7</v>
      </c>
      <c r="J587" s="2" t="s">
        <v>8</v>
      </c>
      <c r="K587" s="2" t="s">
        <v>8</v>
      </c>
      <c r="L587" s="2" t="s">
        <v>9</v>
      </c>
      <c r="N587" s="1" t="s">
        <v>7532</v>
      </c>
      <c r="O587" s="2" t="s">
        <v>252</v>
      </c>
      <c r="Q587" s="2" t="s">
        <v>12</v>
      </c>
      <c r="R587" s="2" t="s">
        <v>34</v>
      </c>
      <c r="T587" s="2" t="s">
        <v>14</v>
      </c>
      <c r="U587" s="3">
        <v>5</v>
      </c>
      <c r="V587" s="3">
        <v>5</v>
      </c>
      <c r="W587" s="4" t="s">
        <v>7533</v>
      </c>
      <c r="X587" s="4" t="s">
        <v>7533</v>
      </c>
      <c r="Y587" s="4" t="s">
        <v>7406</v>
      </c>
      <c r="Z587" s="4" t="s">
        <v>7406</v>
      </c>
      <c r="AA587" s="3">
        <v>388</v>
      </c>
      <c r="AB587" s="3">
        <v>293</v>
      </c>
      <c r="AC587" s="3">
        <v>300</v>
      </c>
      <c r="AD587" s="3">
        <v>3</v>
      </c>
      <c r="AE587" s="3">
        <v>3</v>
      </c>
      <c r="AF587" s="3">
        <v>10</v>
      </c>
      <c r="AG587" s="3">
        <v>10</v>
      </c>
      <c r="AH587" s="3">
        <v>4</v>
      </c>
      <c r="AI587" s="3">
        <v>4</v>
      </c>
      <c r="AJ587" s="3">
        <v>2</v>
      </c>
      <c r="AK587" s="3">
        <v>2</v>
      </c>
      <c r="AL587" s="3">
        <v>7</v>
      </c>
      <c r="AM587" s="3">
        <v>7</v>
      </c>
      <c r="AN587" s="3">
        <v>2</v>
      </c>
      <c r="AO587" s="3">
        <v>2</v>
      </c>
      <c r="AP587" s="3">
        <v>0</v>
      </c>
      <c r="AQ587" s="3">
        <v>0</v>
      </c>
      <c r="AR587" s="2" t="s">
        <v>8</v>
      </c>
      <c r="AS587" s="2" t="s">
        <v>6</v>
      </c>
      <c r="AT587" s="5" t="str">
        <f>HYPERLINK("http://catalog.hathitrust.org/Record/000144217","HathiTrust Record")</f>
        <v>HathiTrust Record</v>
      </c>
      <c r="AU587" s="5" t="str">
        <f>HYPERLINK("https://creighton-primo.hosted.exlibrisgroup.com/primo-explore/search?tab=default_tab&amp;search_scope=EVERYTHING&amp;vid=01CRU&amp;lang=en_US&amp;offset=0&amp;query=any,contains,991001541569702656","Catalog Record")</f>
        <v>Catalog Record</v>
      </c>
      <c r="AV587" s="5" t="str">
        <f>HYPERLINK("http://www.worldcat.org/oclc/7284046","WorldCat Record")</f>
        <v>WorldCat Record</v>
      </c>
      <c r="AW587" s="2" t="s">
        <v>7534</v>
      </c>
      <c r="AX587" s="2" t="s">
        <v>7535</v>
      </c>
      <c r="AY587" s="2" t="s">
        <v>7536</v>
      </c>
      <c r="AZ587" s="2" t="s">
        <v>7536</v>
      </c>
      <c r="BA587" s="2" t="s">
        <v>7537</v>
      </c>
      <c r="BB587" s="2" t="s">
        <v>21</v>
      </c>
      <c r="BD587" s="2" t="s">
        <v>7538</v>
      </c>
      <c r="BE587" s="2" t="s">
        <v>7539</v>
      </c>
      <c r="BF587" s="2" t="s">
        <v>7540</v>
      </c>
    </row>
    <row r="588" spans="1:58" ht="42.75" customHeight="1" x14ac:dyDescent="0.25">
      <c r="A588" s="8" t="s">
        <v>8</v>
      </c>
      <c r="B588" s="1" t="s">
        <v>0</v>
      </c>
      <c r="C588" s="1" t="s">
        <v>1</v>
      </c>
      <c r="D588" s="1" t="s">
        <v>7541</v>
      </c>
      <c r="E588" s="1" t="s">
        <v>7542</v>
      </c>
      <c r="F588" s="1" t="s">
        <v>7543</v>
      </c>
      <c r="H588" s="2" t="s">
        <v>8</v>
      </c>
      <c r="I588" s="2" t="s">
        <v>7</v>
      </c>
      <c r="J588" s="2" t="s">
        <v>8</v>
      </c>
      <c r="K588" s="2" t="s">
        <v>8</v>
      </c>
      <c r="L588" s="2" t="s">
        <v>9</v>
      </c>
      <c r="M588" s="1" t="s">
        <v>7544</v>
      </c>
      <c r="N588" s="1" t="s">
        <v>7545</v>
      </c>
      <c r="O588" s="2" t="s">
        <v>224</v>
      </c>
      <c r="Q588" s="2" t="s">
        <v>12</v>
      </c>
      <c r="R588" s="2" t="s">
        <v>34</v>
      </c>
      <c r="T588" s="2" t="s">
        <v>14</v>
      </c>
      <c r="U588" s="3">
        <v>7</v>
      </c>
      <c r="V588" s="3">
        <v>7</v>
      </c>
      <c r="W588" s="4" t="s">
        <v>7546</v>
      </c>
      <c r="X588" s="4" t="s">
        <v>7546</v>
      </c>
      <c r="Y588" s="4" t="s">
        <v>7406</v>
      </c>
      <c r="Z588" s="4" t="s">
        <v>7406</v>
      </c>
      <c r="AA588" s="3">
        <v>308</v>
      </c>
      <c r="AB588" s="3">
        <v>264</v>
      </c>
      <c r="AC588" s="3">
        <v>272</v>
      </c>
      <c r="AD588" s="3">
        <v>2</v>
      </c>
      <c r="AE588" s="3">
        <v>2</v>
      </c>
      <c r="AF588" s="3">
        <v>11</v>
      </c>
      <c r="AG588" s="3">
        <v>11</v>
      </c>
      <c r="AH588" s="3">
        <v>3</v>
      </c>
      <c r="AI588" s="3">
        <v>3</v>
      </c>
      <c r="AJ588" s="3">
        <v>4</v>
      </c>
      <c r="AK588" s="3">
        <v>4</v>
      </c>
      <c r="AL588" s="3">
        <v>4</v>
      </c>
      <c r="AM588" s="3">
        <v>4</v>
      </c>
      <c r="AN588" s="3">
        <v>1</v>
      </c>
      <c r="AO588" s="3">
        <v>1</v>
      </c>
      <c r="AP588" s="3">
        <v>0</v>
      </c>
      <c r="AQ588" s="3">
        <v>0</v>
      </c>
      <c r="AR588" s="2" t="s">
        <v>8</v>
      </c>
      <c r="AS588" s="2" t="s">
        <v>6</v>
      </c>
      <c r="AT588" s="5" t="str">
        <f>HYPERLINK("http://catalog.hathitrust.org/Record/000718816","HathiTrust Record")</f>
        <v>HathiTrust Record</v>
      </c>
      <c r="AU588" s="5" t="str">
        <f>HYPERLINK("https://creighton-primo.hosted.exlibrisgroup.com/primo-explore/search?tab=default_tab&amp;search_scope=EVERYTHING&amp;vid=01CRU&amp;lang=en_US&amp;offset=0&amp;query=any,contains,991001541629702656","Catalog Record")</f>
        <v>Catalog Record</v>
      </c>
      <c r="AV588" s="5" t="str">
        <f>HYPERLINK("http://www.worldcat.org/oclc/5894380","WorldCat Record")</f>
        <v>WorldCat Record</v>
      </c>
      <c r="AW588" s="2" t="s">
        <v>7547</v>
      </c>
      <c r="AX588" s="2" t="s">
        <v>7548</v>
      </c>
      <c r="AY588" s="2" t="s">
        <v>7549</v>
      </c>
      <c r="AZ588" s="2" t="s">
        <v>7549</v>
      </c>
      <c r="BA588" s="2" t="s">
        <v>7550</v>
      </c>
      <c r="BB588" s="2" t="s">
        <v>21</v>
      </c>
      <c r="BD588" s="2" t="s">
        <v>7551</v>
      </c>
      <c r="BE588" s="2" t="s">
        <v>7552</v>
      </c>
      <c r="BF588" s="2" t="s">
        <v>7553</v>
      </c>
    </row>
    <row r="589" spans="1:58" ht="42.75" customHeight="1" x14ac:dyDescent="0.25">
      <c r="A589" s="8" t="s">
        <v>8</v>
      </c>
      <c r="B589" s="1" t="s">
        <v>0</v>
      </c>
      <c r="C589" s="1" t="s">
        <v>1</v>
      </c>
      <c r="D589" s="1" t="s">
        <v>7554</v>
      </c>
      <c r="E589" s="1" t="s">
        <v>7555</v>
      </c>
      <c r="F589" s="1" t="s">
        <v>7556</v>
      </c>
      <c r="H589" s="2" t="s">
        <v>8</v>
      </c>
      <c r="I589" s="2" t="s">
        <v>7</v>
      </c>
      <c r="J589" s="2" t="s">
        <v>8</v>
      </c>
      <c r="K589" s="2" t="s">
        <v>8</v>
      </c>
      <c r="L589" s="2" t="s">
        <v>9</v>
      </c>
      <c r="M589" s="1" t="s">
        <v>7557</v>
      </c>
      <c r="N589" s="1" t="s">
        <v>7558</v>
      </c>
      <c r="O589" s="2" t="s">
        <v>688</v>
      </c>
      <c r="P589" s="1" t="s">
        <v>1225</v>
      </c>
      <c r="Q589" s="2" t="s">
        <v>12</v>
      </c>
      <c r="R589" s="2" t="s">
        <v>13</v>
      </c>
      <c r="T589" s="2" t="s">
        <v>14</v>
      </c>
      <c r="U589" s="3">
        <v>11</v>
      </c>
      <c r="V589" s="3">
        <v>11</v>
      </c>
      <c r="W589" s="4" t="s">
        <v>7559</v>
      </c>
      <c r="X589" s="4" t="s">
        <v>7559</v>
      </c>
      <c r="Y589" s="4" t="s">
        <v>7560</v>
      </c>
      <c r="Z589" s="4" t="s">
        <v>7560</v>
      </c>
      <c r="AA589" s="3">
        <v>516</v>
      </c>
      <c r="AB589" s="3">
        <v>464</v>
      </c>
      <c r="AC589" s="3">
        <v>538</v>
      </c>
      <c r="AD589" s="3">
        <v>2</v>
      </c>
      <c r="AE589" s="3">
        <v>2</v>
      </c>
      <c r="AF589" s="3">
        <v>15</v>
      </c>
      <c r="AG589" s="3">
        <v>16</v>
      </c>
      <c r="AH589" s="3">
        <v>5</v>
      </c>
      <c r="AI589" s="3">
        <v>6</v>
      </c>
      <c r="AJ589" s="3">
        <v>4</v>
      </c>
      <c r="AK589" s="3">
        <v>4</v>
      </c>
      <c r="AL589" s="3">
        <v>9</v>
      </c>
      <c r="AM589" s="3">
        <v>9</v>
      </c>
      <c r="AN589" s="3">
        <v>1</v>
      </c>
      <c r="AO589" s="3">
        <v>1</v>
      </c>
      <c r="AP589" s="3">
        <v>0</v>
      </c>
      <c r="AQ589" s="3">
        <v>0</v>
      </c>
      <c r="AR589" s="2" t="s">
        <v>8</v>
      </c>
      <c r="AS589" s="2" t="s">
        <v>8</v>
      </c>
      <c r="AU589" s="5" t="str">
        <f>HYPERLINK("https://creighton-primo.hosted.exlibrisgroup.com/primo-explore/search?tab=default_tab&amp;search_scope=EVERYTHING&amp;vid=01CRU&amp;lang=en_US&amp;offset=0&amp;query=any,contains,991000685809702656","Catalog Record")</f>
        <v>Catalog Record</v>
      </c>
      <c r="AV589" s="5" t="str">
        <f>HYPERLINK("http://www.worldcat.org/oclc/30030323","WorldCat Record")</f>
        <v>WorldCat Record</v>
      </c>
      <c r="AW589" s="2" t="s">
        <v>7561</v>
      </c>
      <c r="AX589" s="2" t="s">
        <v>7562</v>
      </c>
      <c r="AY589" s="2" t="s">
        <v>7563</v>
      </c>
      <c r="AZ589" s="2" t="s">
        <v>7563</v>
      </c>
      <c r="BA589" s="2" t="s">
        <v>7564</v>
      </c>
      <c r="BB589" s="2" t="s">
        <v>21</v>
      </c>
      <c r="BD589" s="2" t="s">
        <v>7565</v>
      </c>
      <c r="BE589" s="2" t="s">
        <v>7566</v>
      </c>
      <c r="BF589" s="2" t="s">
        <v>7567</v>
      </c>
    </row>
    <row r="590" spans="1:58" ht="42.75" customHeight="1" x14ac:dyDescent="0.25">
      <c r="A590" s="8" t="s">
        <v>8</v>
      </c>
      <c r="B590" s="1" t="s">
        <v>0</v>
      </c>
      <c r="C590" s="1" t="s">
        <v>1</v>
      </c>
      <c r="D590" s="1" t="s">
        <v>7568</v>
      </c>
      <c r="E590" s="1" t="s">
        <v>7569</v>
      </c>
      <c r="F590" s="1" t="s">
        <v>7570</v>
      </c>
      <c r="H590" s="2" t="s">
        <v>8</v>
      </c>
      <c r="I590" s="2" t="s">
        <v>7</v>
      </c>
      <c r="J590" s="2" t="s">
        <v>8</v>
      </c>
      <c r="K590" s="2" t="s">
        <v>6</v>
      </c>
      <c r="L590" s="2" t="s">
        <v>9</v>
      </c>
      <c r="M590" s="1" t="s">
        <v>7571</v>
      </c>
      <c r="N590" s="1" t="s">
        <v>7572</v>
      </c>
      <c r="O590" s="2" t="s">
        <v>33</v>
      </c>
      <c r="P590" s="1" t="s">
        <v>7573</v>
      </c>
      <c r="Q590" s="2" t="s">
        <v>12</v>
      </c>
      <c r="R590" s="2" t="s">
        <v>34</v>
      </c>
      <c r="T590" s="2" t="s">
        <v>14</v>
      </c>
      <c r="U590" s="3">
        <v>4</v>
      </c>
      <c r="V590" s="3">
        <v>4</v>
      </c>
      <c r="W590" s="4" t="s">
        <v>7546</v>
      </c>
      <c r="X590" s="4" t="s">
        <v>7546</v>
      </c>
      <c r="Y590" s="4" t="s">
        <v>7406</v>
      </c>
      <c r="Z590" s="4" t="s">
        <v>7406</v>
      </c>
      <c r="AA590" s="3">
        <v>146</v>
      </c>
      <c r="AB590" s="3">
        <v>113</v>
      </c>
      <c r="AC590" s="3">
        <v>324</v>
      </c>
      <c r="AD590" s="3">
        <v>1</v>
      </c>
      <c r="AE590" s="3">
        <v>3</v>
      </c>
      <c r="AF590" s="3">
        <v>3</v>
      </c>
      <c r="AG590" s="3">
        <v>10</v>
      </c>
      <c r="AH590" s="3">
        <v>1</v>
      </c>
      <c r="AI590" s="3">
        <v>6</v>
      </c>
      <c r="AJ590" s="3">
        <v>1</v>
      </c>
      <c r="AK590" s="3">
        <v>2</v>
      </c>
      <c r="AL590" s="3">
        <v>2</v>
      </c>
      <c r="AM590" s="3">
        <v>5</v>
      </c>
      <c r="AN590" s="3">
        <v>0</v>
      </c>
      <c r="AO590" s="3">
        <v>1</v>
      </c>
      <c r="AP590" s="3">
        <v>0</v>
      </c>
      <c r="AQ590" s="3">
        <v>0</v>
      </c>
      <c r="AR590" s="2" t="s">
        <v>8</v>
      </c>
      <c r="AS590" s="2" t="s">
        <v>8</v>
      </c>
      <c r="AU590" s="5" t="str">
        <f>HYPERLINK("https://creighton-primo.hosted.exlibrisgroup.com/primo-explore/search?tab=default_tab&amp;search_scope=EVERYTHING&amp;vid=01CRU&amp;lang=en_US&amp;offset=0&amp;query=any,contains,991001541679702656","Catalog Record")</f>
        <v>Catalog Record</v>
      </c>
      <c r="AV590" s="5" t="str">
        <f>HYPERLINK("http://www.worldcat.org/oclc/8494022","WorldCat Record")</f>
        <v>WorldCat Record</v>
      </c>
      <c r="AW590" s="2" t="s">
        <v>7574</v>
      </c>
      <c r="AX590" s="2" t="s">
        <v>7575</v>
      </c>
      <c r="AY590" s="2" t="s">
        <v>7576</v>
      </c>
      <c r="AZ590" s="2" t="s">
        <v>7576</v>
      </c>
      <c r="BA590" s="2" t="s">
        <v>7577</v>
      </c>
      <c r="BB590" s="2" t="s">
        <v>21</v>
      </c>
      <c r="BD590" s="2" t="s">
        <v>7578</v>
      </c>
      <c r="BE590" s="2" t="s">
        <v>7579</v>
      </c>
      <c r="BF590" s="2" t="s">
        <v>7580</v>
      </c>
    </row>
    <row r="591" spans="1:58" ht="42.75" customHeight="1" x14ac:dyDescent="0.25">
      <c r="A591" s="8" t="s">
        <v>8</v>
      </c>
      <c r="B591" s="1" t="s">
        <v>0</v>
      </c>
      <c r="C591" s="1" t="s">
        <v>1</v>
      </c>
      <c r="D591" s="1" t="s">
        <v>7581</v>
      </c>
      <c r="E591" s="1" t="s">
        <v>7582</v>
      </c>
      <c r="F591" s="1" t="s">
        <v>7583</v>
      </c>
      <c r="H591" s="2" t="s">
        <v>8</v>
      </c>
      <c r="I591" s="2" t="s">
        <v>7</v>
      </c>
      <c r="J591" s="2" t="s">
        <v>8</v>
      </c>
      <c r="K591" s="2" t="s">
        <v>8</v>
      </c>
      <c r="L591" s="2" t="s">
        <v>9</v>
      </c>
      <c r="N591" s="1" t="s">
        <v>7584</v>
      </c>
      <c r="O591" s="2" t="s">
        <v>657</v>
      </c>
      <c r="Q591" s="2" t="s">
        <v>12</v>
      </c>
      <c r="R591" s="2" t="s">
        <v>145</v>
      </c>
      <c r="S591" s="1" t="s">
        <v>7585</v>
      </c>
      <c r="T591" s="2" t="s">
        <v>14</v>
      </c>
      <c r="U591" s="3">
        <v>4</v>
      </c>
      <c r="V591" s="3">
        <v>4</v>
      </c>
      <c r="W591" s="4" t="s">
        <v>7586</v>
      </c>
      <c r="X591" s="4" t="s">
        <v>7586</v>
      </c>
      <c r="Y591" s="4" t="s">
        <v>6980</v>
      </c>
      <c r="Z591" s="4" t="s">
        <v>6980</v>
      </c>
      <c r="AA591" s="3">
        <v>220</v>
      </c>
      <c r="AB591" s="3">
        <v>158</v>
      </c>
      <c r="AC591" s="3">
        <v>176</v>
      </c>
      <c r="AD591" s="3">
        <v>1</v>
      </c>
      <c r="AE591" s="3">
        <v>1</v>
      </c>
      <c r="AF591" s="3">
        <v>17</v>
      </c>
      <c r="AG591" s="3">
        <v>18</v>
      </c>
      <c r="AH591" s="3">
        <v>5</v>
      </c>
      <c r="AI591" s="3">
        <v>6</v>
      </c>
      <c r="AJ591" s="3">
        <v>7</v>
      </c>
      <c r="AK591" s="3">
        <v>7</v>
      </c>
      <c r="AL591" s="3">
        <v>12</v>
      </c>
      <c r="AM591" s="3">
        <v>13</v>
      </c>
      <c r="AN591" s="3">
        <v>0</v>
      </c>
      <c r="AO591" s="3">
        <v>0</v>
      </c>
      <c r="AP591" s="3">
        <v>0</v>
      </c>
      <c r="AQ591" s="3">
        <v>0</v>
      </c>
      <c r="AR591" s="2" t="s">
        <v>8</v>
      </c>
      <c r="AS591" s="2" t="s">
        <v>8</v>
      </c>
      <c r="AU591" s="5" t="str">
        <f>HYPERLINK("https://creighton-primo.hosted.exlibrisgroup.com/primo-explore/search?tab=default_tab&amp;search_scope=EVERYTHING&amp;vid=01CRU&amp;lang=en_US&amp;offset=0&amp;query=any,contains,991000343199702656","Catalog Record")</f>
        <v>Catalog Record</v>
      </c>
      <c r="AV591" s="5" t="str">
        <f>HYPERLINK("http://www.worldcat.org/oclc/48390853","WorldCat Record")</f>
        <v>WorldCat Record</v>
      </c>
      <c r="AW591" s="2" t="s">
        <v>7587</v>
      </c>
      <c r="AX591" s="2" t="s">
        <v>7588</v>
      </c>
      <c r="AY591" s="2" t="s">
        <v>7589</v>
      </c>
      <c r="AZ591" s="2" t="s">
        <v>7589</v>
      </c>
      <c r="BA591" s="2" t="s">
        <v>7590</v>
      </c>
      <c r="BB591" s="2" t="s">
        <v>21</v>
      </c>
      <c r="BD591" s="2" t="s">
        <v>7591</v>
      </c>
      <c r="BE591" s="2" t="s">
        <v>7592</v>
      </c>
      <c r="BF591" s="2" t="s">
        <v>7593</v>
      </c>
    </row>
    <row r="592" spans="1:58" ht="42.75" customHeight="1" x14ac:dyDescent="0.25">
      <c r="A592" s="8" t="s">
        <v>8</v>
      </c>
      <c r="B592" s="1" t="s">
        <v>0</v>
      </c>
      <c r="C592" s="1" t="s">
        <v>1</v>
      </c>
      <c r="D592" s="1" t="s">
        <v>7594</v>
      </c>
      <c r="E592" s="1" t="s">
        <v>7595</v>
      </c>
      <c r="F592" s="1" t="s">
        <v>7596</v>
      </c>
      <c r="H592" s="2" t="s">
        <v>8</v>
      </c>
      <c r="I592" s="2" t="s">
        <v>7</v>
      </c>
      <c r="J592" s="2" t="s">
        <v>8</v>
      </c>
      <c r="K592" s="2" t="s">
        <v>8</v>
      </c>
      <c r="L592" s="2" t="s">
        <v>9</v>
      </c>
      <c r="N592" s="1" t="s">
        <v>7545</v>
      </c>
      <c r="O592" s="2" t="s">
        <v>224</v>
      </c>
      <c r="Q592" s="2" t="s">
        <v>12</v>
      </c>
      <c r="R592" s="2" t="s">
        <v>34</v>
      </c>
      <c r="T592" s="2" t="s">
        <v>14</v>
      </c>
      <c r="U592" s="3">
        <v>5</v>
      </c>
      <c r="V592" s="3">
        <v>5</v>
      </c>
      <c r="W592" s="4" t="s">
        <v>7597</v>
      </c>
      <c r="X592" s="4" t="s">
        <v>7597</v>
      </c>
      <c r="Y592" s="4" t="s">
        <v>7406</v>
      </c>
      <c r="Z592" s="4" t="s">
        <v>7406</v>
      </c>
      <c r="AA592" s="3">
        <v>176</v>
      </c>
      <c r="AB592" s="3">
        <v>157</v>
      </c>
      <c r="AC592" s="3">
        <v>157</v>
      </c>
      <c r="AD592" s="3">
        <v>2</v>
      </c>
      <c r="AE592" s="3">
        <v>2</v>
      </c>
      <c r="AF592" s="3">
        <v>5</v>
      </c>
      <c r="AG592" s="3">
        <v>5</v>
      </c>
      <c r="AH592" s="3">
        <v>1</v>
      </c>
      <c r="AI592" s="3">
        <v>1</v>
      </c>
      <c r="AJ592" s="3">
        <v>2</v>
      </c>
      <c r="AK592" s="3">
        <v>2</v>
      </c>
      <c r="AL592" s="3">
        <v>3</v>
      </c>
      <c r="AM592" s="3">
        <v>3</v>
      </c>
      <c r="AN592" s="3">
        <v>1</v>
      </c>
      <c r="AO592" s="3">
        <v>1</v>
      </c>
      <c r="AP592" s="3">
        <v>0</v>
      </c>
      <c r="AQ592" s="3">
        <v>0</v>
      </c>
      <c r="AR592" s="2" t="s">
        <v>8</v>
      </c>
      <c r="AS592" s="2" t="s">
        <v>8</v>
      </c>
      <c r="AU592" s="5" t="str">
        <f>HYPERLINK("https://creighton-primo.hosted.exlibrisgroup.com/primo-explore/search?tab=default_tab&amp;search_scope=EVERYTHING&amp;vid=01CRU&amp;lang=en_US&amp;offset=0&amp;query=any,contains,991001541719702656","Catalog Record")</f>
        <v>Catalog Record</v>
      </c>
      <c r="AV592" s="5" t="str">
        <f>HYPERLINK("http://www.worldcat.org/oclc/6277623","WorldCat Record")</f>
        <v>WorldCat Record</v>
      </c>
      <c r="AW592" s="2" t="s">
        <v>7598</v>
      </c>
      <c r="AX592" s="2" t="s">
        <v>7599</v>
      </c>
      <c r="AY592" s="2" t="s">
        <v>7600</v>
      </c>
      <c r="AZ592" s="2" t="s">
        <v>7600</v>
      </c>
      <c r="BA592" s="2" t="s">
        <v>7601</v>
      </c>
      <c r="BB592" s="2" t="s">
        <v>21</v>
      </c>
      <c r="BD592" s="2" t="s">
        <v>7602</v>
      </c>
      <c r="BE592" s="2" t="s">
        <v>7603</v>
      </c>
      <c r="BF592" s="2" t="s">
        <v>7604</v>
      </c>
    </row>
    <row r="593" spans="1:58" ht="42.75" customHeight="1" x14ac:dyDescent="0.25">
      <c r="A593" s="8" t="s">
        <v>8</v>
      </c>
      <c r="B593" s="1" t="s">
        <v>0</v>
      </c>
      <c r="C593" s="1" t="s">
        <v>1</v>
      </c>
      <c r="D593" s="1" t="s">
        <v>7605</v>
      </c>
      <c r="E593" s="1" t="s">
        <v>7606</v>
      </c>
      <c r="F593" s="1" t="s">
        <v>7607</v>
      </c>
      <c r="H593" s="2" t="s">
        <v>8</v>
      </c>
      <c r="I593" s="2" t="s">
        <v>7</v>
      </c>
      <c r="J593" s="2" t="s">
        <v>8</v>
      </c>
      <c r="K593" s="2" t="s">
        <v>8</v>
      </c>
      <c r="L593" s="2" t="s">
        <v>9</v>
      </c>
      <c r="N593" s="1" t="s">
        <v>716</v>
      </c>
      <c r="O593" s="2" t="s">
        <v>627</v>
      </c>
      <c r="Q593" s="2" t="s">
        <v>12</v>
      </c>
      <c r="R593" s="2" t="s">
        <v>34</v>
      </c>
      <c r="T593" s="2" t="s">
        <v>14</v>
      </c>
      <c r="U593" s="3">
        <v>13</v>
      </c>
      <c r="V593" s="3">
        <v>13</v>
      </c>
      <c r="W593" s="4" t="s">
        <v>7608</v>
      </c>
      <c r="X593" s="4" t="s">
        <v>7608</v>
      </c>
      <c r="Y593" s="4" t="s">
        <v>718</v>
      </c>
      <c r="Z593" s="4" t="s">
        <v>718</v>
      </c>
      <c r="AA593" s="3">
        <v>206</v>
      </c>
      <c r="AB593" s="3">
        <v>173</v>
      </c>
      <c r="AC593" s="3">
        <v>173</v>
      </c>
      <c r="AD593" s="3">
        <v>2</v>
      </c>
      <c r="AE593" s="3">
        <v>2</v>
      </c>
      <c r="AF593" s="3">
        <v>10</v>
      </c>
      <c r="AG593" s="3">
        <v>10</v>
      </c>
      <c r="AH593" s="3">
        <v>5</v>
      </c>
      <c r="AI593" s="3">
        <v>5</v>
      </c>
      <c r="AJ593" s="3">
        <v>2</v>
      </c>
      <c r="AK593" s="3">
        <v>2</v>
      </c>
      <c r="AL593" s="3">
        <v>5</v>
      </c>
      <c r="AM593" s="3">
        <v>5</v>
      </c>
      <c r="AN593" s="3">
        <v>1</v>
      </c>
      <c r="AO593" s="3">
        <v>1</v>
      </c>
      <c r="AP593" s="3">
        <v>0</v>
      </c>
      <c r="AQ593" s="3">
        <v>0</v>
      </c>
      <c r="AR593" s="2" t="s">
        <v>8</v>
      </c>
      <c r="AS593" s="2" t="s">
        <v>8</v>
      </c>
      <c r="AU593" s="5" t="str">
        <f>HYPERLINK("https://creighton-primo.hosted.exlibrisgroup.com/primo-explore/search?tab=default_tab&amp;search_scope=EVERYTHING&amp;vid=01CRU&amp;lang=en_US&amp;offset=0&amp;query=any,contains,991001315429702656","Catalog Record")</f>
        <v>Catalog Record</v>
      </c>
      <c r="AV593" s="5" t="str">
        <f>HYPERLINK("http://www.worldcat.org/oclc/19590884","WorldCat Record")</f>
        <v>WorldCat Record</v>
      </c>
      <c r="AW593" s="2" t="s">
        <v>7609</v>
      </c>
      <c r="AX593" s="2" t="s">
        <v>7610</v>
      </c>
      <c r="AY593" s="2" t="s">
        <v>7611</v>
      </c>
      <c r="AZ593" s="2" t="s">
        <v>7611</v>
      </c>
      <c r="BA593" s="2" t="s">
        <v>7612</v>
      </c>
      <c r="BB593" s="2" t="s">
        <v>21</v>
      </c>
      <c r="BD593" s="2" t="s">
        <v>7613</v>
      </c>
      <c r="BE593" s="2" t="s">
        <v>7614</v>
      </c>
      <c r="BF593" s="2" t="s">
        <v>7615</v>
      </c>
    </row>
    <row r="594" spans="1:58" ht="42.75" customHeight="1" x14ac:dyDescent="0.25">
      <c r="A594" s="8" t="s">
        <v>8</v>
      </c>
      <c r="B594" s="1" t="s">
        <v>0</v>
      </c>
      <c r="C594" s="1" t="s">
        <v>1</v>
      </c>
      <c r="D594" s="1" t="s">
        <v>7616</v>
      </c>
      <c r="E594" s="1" t="s">
        <v>7617</v>
      </c>
      <c r="F594" s="1" t="s">
        <v>7618</v>
      </c>
      <c r="H594" s="2" t="s">
        <v>8</v>
      </c>
      <c r="I594" s="2" t="s">
        <v>7</v>
      </c>
      <c r="J594" s="2" t="s">
        <v>8</v>
      </c>
      <c r="K594" s="2" t="s">
        <v>8</v>
      </c>
      <c r="L594" s="2" t="s">
        <v>9</v>
      </c>
      <c r="N594" s="1" t="s">
        <v>7619</v>
      </c>
      <c r="O594" s="2" t="s">
        <v>814</v>
      </c>
      <c r="Q594" s="2" t="s">
        <v>12</v>
      </c>
      <c r="R594" s="2" t="s">
        <v>13</v>
      </c>
      <c r="S594" s="1" t="s">
        <v>7620</v>
      </c>
      <c r="T594" s="2" t="s">
        <v>14</v>
      </c>
      <c r="U594" s="3">
        <v>8</v>
      </c>
      <c r="V594" s="3">
        <v>8</v>
      </c>
      <c r="W594" s="4" t="s">
        <v>7621</v>
      </c>
      <c r="X594" s="4" t="s">
        <v>7621</v>
      </c>
      <c r="Y594" s="4" t="s">
        <v>7622</v>
      </c>
      <c r="Z594" s="4" t="s">
        <v>7622</v>
      </c>
      <c r="AA594" s="3">
        <v>218</v>
      </c>
      <c r="AB594" s="3">
        <v>131</v>
      </c>
      <c r="AC594" s="3">
        <v>160</v>
      </c>
      <c r="AD594" s="3">
        <v>1</v>
      </c>
      <c r="AE594" s="3">
        <v>1</v>
      </c>
      <c r="AF594" s="3">
        <v>10</v>
      </c>
      <c r="AG594" s="3">
        <v>10</v>
      </c>
      <c r="AH594" s="3">
        <v>4</v>
      </c>
      <c r="AI594" s="3">
        <v>4</v>
      </c>
      <c r="AJ594" s="3">
        <v>3</v>
      </c>
      <c r="AK594" s="3">
        <v>3</v>
      </c>
      <c r="AL594" s="3">
        <v>7</v>
      </c>
      <c r="AM594" s="3">
        <v>7</v>
      </c>
      <c r="AN594" s="3">
        <v>0</v>
      </c>
      <c r="AO594" s="3">
        <v>0</v>
      </c>
      <c r="AP594" s="3">
        <v>0</v>
      </c>
      <c r="AQ594" s="3">
        <v>0</v>
      </c>
      <c r="AR594" s="2" t="s">
        <v>8</v>
      </c>
      <c r="AS594" s="2" t="s">
        <v>8</v>
      </c>
      <c r="AU594" s="5" t="str">
        <f>HYPERLINK("https://creighton-primo.hosted.exlibrisgroup.com/primo-explore/search?tab=default_tab&amp;search_scope=EVERYTHING&amp;vid=01CRU&amp;lang=en_US&amp;offset=0&amp;query=any,contains,991001734799702656","Catalog Record")</f>
        <v>Catalog Record</v>
      </c>
      <c r="AV594" s="5" t="str">
        <f>HYPERLINK("http://www.worldcat.org/oclc/39671593","WorldCat Record")</f>
        <v>WorldCat Record</v>
      </c>
      <c r="AW594" s="2" t="s">
        <v>7623</v>
      </c>
      <c r="AX594" s="2" t="s">
        <v>7624</v>
      </c>
      <c r="AY594" s="2" t="s">
        <v>7625</v>
      </c>
      <c r="AZ594" s="2" t="s">
        <v>7625</v>
      </c>
      <c r="BA594" s="2" t="s">
        <v>7626</v>
      </c>
      <c r="BB594" s="2" t="s">
        <v>21</v>
      </c>
      <c r="BD594" s="2" t="s">
        <v>7627</v>
      </c>
      <c r="BE594" s="2" t="s">
        <v>7628</v>
      </c>
      <c r="BF594" s="2" t="s">
        <v>7629</v>
      </c>
    </row>
    <row r="595" spans="1:58" ht="42.75" customHeight="1" x14ac:dyDescent="0.25">
      <c r="A595" s="8" t="s">
        <v>8</v>
      </c>
      <c r="B595" s="1" t="s">
        <v>0</v>
      </c>
      <c r="C595" s="1" t="s">
        <v>1</v>
      </c>
      <c r="D595" s="1" t="s">
        <v>7630</v>
      </c>
      <c r="E595" s="1" t="s">
        <v>7631</v>
      </c>
      <c r="F595" s="1" t="s">
        <v>7632</v>
      </c>
      <c r="H595" s="2" t="s">
        <v>8</v>
      </c>
      <c r="I595" s="2" t="s">
        <v>7</v>
      </c>
      <c r="J595" s="2" t="s">
        <v>8</v>
      </c>
      <c r="K595" s="2" t="s">
        <v>6</v>
      </c>
      <c r="L595" s="2" t="s">
        <v>9</v>
      </c>
      <c r="N595" s="1" t="s">
        <v>7633</v>
      </c>
      <c r="O595" s="2" t="s">
        <v>252</v>
      </c>
      <c r="Q595" s="2" t="s">
        <v>12</v>
      </c>
      <c r="R595" s="2" t="s">
        <v>13</v>
      </c>
      <c r="T595" s="2" t="s">
        <v>14</v>
      </c>
      <c r="U595" s="3">
        <v>4</v>
      </c>
      <c r="V595" s="3">
        <v>4</v>
      </c>
      <c r="W595" s="4" t="s">
        <v>7634</v>
      </c>
      <c r="X595" s="4" t="s">
        <v>7634</v>
      </c>
      <c r="Y595" s="4" t="s">
        <v>7406</v>
      </c>
      <c r="Z595" s="4" t="s">
        <v>7406</v>
      </c>
      <c r="AA595" s="3">
        <v>360</v>
      </c>
      <c r="AB595" s="3">
        <v>341</v>
      </c>
      <c r="AC595" s="3">
        <v>481</v>
      </c>
      <c r="AD595" s="3">
        <v>3</v>
      </c>
      <c r="AE595" s="3">
        <v>4</v>
      </c>
      <c r="AF595" s="3">
        <v>10</v>
      </c>
      <c r="AG595" s="3">
        <v>15</v>
      </c>
      <c r="AH595" s="3">
        <v>3</v>
      </c>
      <c r="AI595" s="3">
        <v>5</v>
      </c>
      <c r="AJ595" s="3">
        <v>1</v>
      </c>
      <c r="AK595" s="3">
        <v>1</v>
      </c>
      <c r="AL595" s="3">
        <v>7</v>
      </c>
      <c r="AM595" s="3">
        <v>11</v>
      </c>
      <c r="AN595" s="3">
        <v>1</v>
      </c>
      <c r="AO595" s="3">
        <v>1</v>
      </c>
      <c r="AP595" s="3">
        <v>1</v>
      </c>
      <c r="AQ595" s="3">
        <v>1</v>
      </c>
      <c r="AR595" s="2" t="s">
        <v>8</v>
      </c>
      <c r="AS595" s="2" t="s">
        <v>8</v>
      </c>
      <c r="AU595" s="5" t="str">
        <f>HYPERLINK("https://creighton-primo.hosted.exlibrisgroup.com/primo-explore/search?tab=default_tab&amp;search_scope=EVERYTHING&amp;vid=01CRU&amp;lang=en_US&amp;offset=0&amp;query=any,contains,991001541879702656","Catalog Record")</f>
        <v>Catalog Record</v>
      </c>
      <c r="AV595" s="5" t="str">
        <f>HYPERLINK("http://www.worldcat.org/oclc/6788819","WorldCat Record")</f>
        <v>WorldCat Record</v>
      </c>
      <c r="AW595" s="2" t="s">
        <v>7635</v>
      </c>
      <c r="AX595" s="2" t="s">
        <v>7636</v>
      </c>
      <c r="AY595" s="2" t="s">
        <v>7637</v>
      </c>
      <c r="AZ595" s="2" t="s">
        <v>7637</v>
      </c>
      <c r="BA595" s="2" t="s">
        <v>7638</v>
      </c>
      <c r="BB595" s="2" t="s">
        <v>21</v>
      </c>
      <c r="BD595" s="2" t="s">
        <v>7639</v>
      </c>
      <c r="BE595" s="2" t="s">
        <v>7640</v>
      </c>
      <c r="BF595" s="2" t="s">
        <v>7641</v>
      </c>
    </row>
    <row r="596" spans="1:58" ht="42.75" customHeight="1" x14ac:dyDescent="0.25">
      <c r="A596" s="8" t="s">
        <v>8</v>
      </c>
      <c r="B596" s="1" t="s">
        <v>0</v>
      </c>
      <c r="C596" s="1" t="s">
        <v>1</v>
      </c>
      <c r="D596" s="1" t="s">
        <v>7642</v>
      </c>
      <c r="E596" s="1" t="s">
        <v>7643</v>
      </c>
      <c r="F596" s="1" t="s">
        <v>7644</v>
      </c>
      <c r="H596" s="2" t="s">
        <v>8</v>
      </c>
      <c r="I596" s="2" t="s">
        <v>7</v>
      </c>
      <c r="J596" s="2" t="s">
        <v>8</v>
      </c>
      <c r="K596" s="2" t="s">
        <v>8</v>
      </c>
      <c r="L596" s="2" t="s">
        <v>7</v>
      </c>
      <c r="M596" s="1" t="s">
        <v>7645</v>
      </c>
      <c r="N596" s="1" t="s">
        <v>7646</v>
      </c>
      <c r="O596" s="2" t="s">
        <v>673</v>
      </c>
      <c r="Q596" s="2" t="s">
        <v>12</v>
      </c>
      <c r="R596" s="2" t="s">
        <v>1211</v>
      </c>
      <c r="T596" s="2" t="s">
        <v>14</v>
      </c>
      <c r="U596" s="3">
        <v>3</v>
      </c>
      <c r="V596" s="3">
        <v>3</v>
      </c>
      <c r="W596" s="4" t="s">
        <v>4765</v>
      </c>
      <c r="X596" s="4" t="s">
        <v>4765</v>
      </c>
      <c r="Y596" s="4" t="s">
        <v>7647</v>
      </c>
      <c r="Z596" s="4" t="s">
        <v>7647</v>
      </c>
      <c r="AA596" s="3">
        <v>420</v>
      </c>
      <c r="AB596" s="3">
        <v>360</v>
      </c>
      <c r="AC596" s="3">
        <v>1288</v>
      </c>
      <c r="AD596" s="3">
        <v>2</v>
      </c>
      <c r="AE596" s="3">
        <v>14</v>
      </c>
      <c r="AF596" s="3">
        <v>28</v>
      </c>
      <c r="AG596" s="3">
        <v>55</v>
      </c>
      <c r="AH596" s="3">
        <v>11</v>
      </c>
      <c r="AI596" s="3">
        <v>21</v>
      </c>
      <c r="AJ596" s="3">
        <v>8</v>
      </c>
      <c r="AK596" s="3">
        <v>10</v>
      </c>
      <c r="AL596" s="3">
        <v>14</v>
      </c>
      <c r="AM596" s="3">
        <v>22</v>
      </c>
      <c r="AN596" s="3">
        <v>1</v>
      </c>
      <c r="AO596" s="3">
        <v>12</v>
      </c>
      <c r="AP596" s="3">
        <v>2</v>
      </c>
      <c r="AQ596" s="3">
        <v>3</v>
      </c>
      <c r="AR596" s="2" t="s">
        <v>8</v>
      </c>
      <c r="AS596" s="2" t="s">
        <v>8</v>
      </c>
      <c r="AU596" s="5" t="str">
        <f>HYPERLINK("https://creighton-primo.hosted.exlibrisgroup.com/primo-explore/search?tab=default_tab&amp;search_scope=EVERYTHING&amp;vid=01CRU&amp;lang=en_US&amp;offset=0&amp;query=any,contains,991001466349702656","Catalog Record")</f>
        <v>Catalog Record</v>
      </c>
      <c r="AV596" s="5" t="str">
        <f>HYPERLINK("http://www.worldcat.org/oclc/84900487","WorldCat Record")</f>
        <v>WorldCat Record</v>
      </c>
      <c r="AW596" s="2" t="s">
        <v>7648</v>
      </c>
      <c r="AX596" s="2" t="s">
        <v>7649</v>
      </c>
      <c r="AY596" s="2" t="s">
        <v>7650</v>
      </c>
      <c r="AZ596" s="2" t="s">
        <v>7650</v>
      </c>
      <c r="BA596" s="2" t="s">
        <v>7651</v>
      </c>
      <c r="BB596" s="2" t="s">
        <v>21</v>
      </c>
      <c r="BD596" s="2" t="s">
        <v>7652</v>
      </c>
      <c r="BE596" s="2" t="s">
        <v>7653</v>
      </c>
      <c r="BF596" s="2" t="s">
        <v>7654</v>
      </c>
    </row>
    <row r="597" spans="1:58" ht="42.75" customHeight="1" x14ac:dyDescent="0.25">
      <c r="A597" s="8" t="s">
        <v>8</v>
      </c>
      <c r="B597" s="1" t="s">
        <v>0</v>
      </c>
      <c r="C597" s="1" t="s">
        <v>1</v>
      </c>
      <c r="D597" s="1" t="s">
        <v>7655</v>
      </c>
      <c r="E597" s="1" t="s">
        <v>7656</v>
      </c>
      <c r="F597" s="1" t="s">
        <v>7657</v>
      </c>
      <c r="H597" s="2" t="s">
        <v>8</v>
      </c>
      <c r="I597" s="2" t="s">
        <v>7</v>
      </c>
      <c r="J597" s="2" t="s">
        <v>8</v>
      </c>
      <c r="K597" s="2" t="s">
        <v>8</v>
      </c>
      <c r="L597" s="2" t="s">
        <v>9</v>
      </c>
      <c r="M597" s="1" t="s">
        <v>7658</v>
      </c>
      <c r="N597" s="1" t="s">
        <v>7659</v>
      </c>
      <c r="O597" s="2" t="s">
        <v>642</v>
      </c>
      <c r="P597" s="1" t="s">
        <v>1225</v>
      </c>
      <c r="Q597" s="2" t="s">
        <v>12</v>
      </c>
      <c r="R597" s="2" t="s">
        <v>1340</v>
      </c>
      <c r="T597" s="2" t="s">
        <v>14</v>
      </c>
      <c r="U597" s="3">
        <v>1</v>
      </c>
      <c r="V597" s="3">
        <v>1</v>
      </c>
      <c r="W597" s="4" t="s">
        <v>7660</v>
      </c>
      <c r="X597" s="4" t="s">
        <v>7660</v>
      </c>
      <c r="Y597" s="4" t="s">
        <v>4534</v>
      </c>
      <c r="Z597" s="4" t="s">
        <v>4534</v>
      </c>
      <c r="AA597" s="3">
        <v>102</v>
      </c>
      <c r="AB597" s="3">
        <v>90</v>
      </c>
      <c r="AC597" s="3">
        <v>370</v>
      </c>
      <c r="AD597" s="3">
        <v>1</v>
      </c>
      <c r="AE597" s="3">
        <v>3</v>
      </c>
      <c r="AF597" s="3">
        <v>2</v>
      </c>
      <c r="AG597" s="3">
        <v>6</v>
      </c>
      <c r="AH597" s="3">
        <v>0</v>
      </c>
      <c r="AI597" s="3">
        <v>2</v>
      </c>
      <c r="AJ597" s="3">
        <v>2</v>
      </c>
      <c r="AK597" s="3">
        <v>3</v>
      </c>
      <c r="AL597" s="3">
        <v>1</v>
      </c>
      <c r="AM597" s="3">
        <v>2</v>
      </c>
      <c r="AN597" s="3">
        <v>0</v>
      </c>
      <c r="AO597" s="3">
        <v>2</v>
      </c>
      <c r="AP597" s="3">
        <v>0</v>
      </c>
      <c r="AQ597" s="3">
        <v>0</v>
      </c>
      <c r="AR597" s="2" t="s">
        <v>8</v>
      </c>
      <c r="AS597" s="2" t="s">
        <v>8</v>
      </c>
      <c r="AU597" s="5" t="str">
        <f>HYPERLINK("https://creighton-primo.hosted.exlibrisgroup.com/primo-explore/search?tab=default_tab&amp;search_scope=EVERYTHING&amp;vid=01CRU&amp;lang=en_US&amp;offset=0&amp;query=any,contains,991000596139702656","Catalog Record")</f>
        <v>Catalog Record</v>
      </c>
      <c r="AV597" s="5" t="str">
        <f>HYPERLINK("http://www.worldcat.org/oclc/55644927","WorldCat Record")</f>
        <v>WorldCat Record</v>
      </c>
      <c r="AW597" s="2" t="s">
        <v>7661</v>
      </c>
      <c r="AX597" s="2" t="s">
        <v>7662</v>
      </c>
      <c r="AY597" s="2" t="s">
        <v>7663</v>
      </c>
      <c r="AZ597" s="2" t="s">
        <v>7663</v>
      </c>
      <c r="BA597" s="2" t="s">
        <v>7664</v>
      </c>
      <c r="BB597" s="2" t="s">
        <v>21</v>
      </c>
      <c r="BD597" s="2" t="s">
        <v>7665</v>
      </c>
      <c r="BE597" s="2" t="s">
        <v>7666</v>
      </c>
      <c r="BF597" s="2" t="s">
        <v>7667</v>
      </c>
    </row>
    <row r="598" spans="1:58" ht="42.75" customHeight="1" x14ac:dyDescent="0.25">
      <c r="A598" s="8" t="s">
        <v>8</v>
      </c>
      <c r="B598" s="1" t="s">
        <v>0</v>
      </c>
      <c r="C598" s="1" t="s">
        <v>1</v>
      </c>
      <c r="D598" s="1" t="s">
        <v>7668</v>
      </c>
      <c r="E598" s="1" t="s">
        <v>7669</v>
      </c>
      <c r="F598" s="1" t="s">
        <v>7670</v>
      </c>
      <c r="G598" s="2" t="s">
        <v>7671</v>
      </c>
      <c r="H598" s="2" t="s">
        <v>8</v>
      </c>
      <c r="I598" s="2" t="s">
        <v>7</v>
      </c>
      <c r="J598" s="2" t="s">
        <v>8</v>
      </c>
      <c r="K598" s="2" t="s">
        <v>8</v>
      </c>
      <c r="L598" s="2" t="s">
        <v>9</v>
      </c>
      <c r="N598" s="1" t="s">
        <v>7672</v>
      </c>
      <c r="O598" s="2" t="s">
        <v>224</v>
      </c>
      <c r="Q598" s="2" t="s">
        <v>12</v>
      </c>
      <c r="R598" s="2" t="s">
        <v>145</v>
      </c>
      <c r="S598" s="1" t="s">
        <v>7673</v>
      </c>
      <c r="T598" s="2" t="s">
        <v>14</v>
      </c>
      <c r="U598" s="3">
        <v>2</v>
      </c>
      <c r="V598" s="3">
        <v>2</v>
      </c>
      <c r="W598" s="4" t="s">
        <v>7674</v>
      </c>
      <c r="X598" s="4" t="s">
        <v>7674</v>
      </c>
      <c r="Y598" s="4" t="s">
        <v>7406</v>
      </c>
      <c r="Z598" s="4" t="s">
        <v>7406</v>
      </c>
      <c r="AA598" s="3">
        <v>515</v>
      </c>
      <c r="AB598" s="3">
        <v>386</v>
      </c>
      <c r="AC598" s="3">
        <v>402</v>
      </c>
      <c r="AD598" s="3">
        <v>3</v>
      </c>
      <c r="AE598" s="3">
        <v>3</v>
      </c>
      <c r="AF598" s="3">
        <v>31</v>
      </c>
      <c r="AG598" s="3">
        <v>32</v>
      </c>
      <c r="AH598" s="3">
        <v>4</v>
      </c>
      <c r="AI598" s="3">
        <v>5</v>
      </c>
      <c r="AJ598" s="3">
        <v>5</v>
      </c>
      <c r="AK598" s="3">
        <v>5</v>
      </c>
      <c r="AL598" s="3">
        <v>11</v>
      </c>
      <c r="AM598" s="3">
        <v>12</v>
      </c>
      <c r="AN598" s="3">
        <v>1</v>
      </c>
      <c r="AO598" s="3">
        <v>1</v>
      </c>
      <c r="AP598" s="3">
        <v>16</v>
      </c>
      <c r="AQ598" s="3">
        <v>16</v>
      </c>
      <c r="AR598" s="2" t="s">
        <v>8</v>
      </c>
      <c r="AS598" s="2" t="s">
        <v>6</v>
      </c>
      <c r="AT598" s="5" t="str">
        <f>HYPERLINK("http://catalog.hathitrust.org/Record/000085616","HathiTrust Record")</f>
        <v>HathiTrust Record</v>
      </c>
      <c r="AU598" s="5" t="str">
        <f>HYPERLINK("https://creighton-primo.hosted.exlibrisgroup.com/primo-explore/search?tab=default_tab&amp;search_scope=EVERYTHING&amp;vid=01CRU&amp;lang=en_US&amp;offset=0&amp;query=any,contains,991001541919702656","Catalog Record")</f>
        <v>Catalog Record</v>
      </c>
      <c r="AV598" s="5" t="str">
        <f>HYPERLINK("http://www.worldcat.org/oclc/6085871","WorldCat Record")</f>
        <v>WorldCat Record</v>
      </c>
      <c r="AW598" s="2" t="s">
        <v>7675</v>
      </c>
      <c r="AX598" s="2" t="s">
        <v>7676</v>
      </c>
      <c r="AY598" s="2" t="s">
        <v>7677</v>
      </c>
      <c r="AZ598" s="2" t="s">
        <v>7677</v>
      </c>
      <c r="BA598" s="2" t="s">
        <v>7678</v>
      </c>
      <c r="BB598" s="2" t="s">
        <v>21</v>
      </c>
      <c r="BD598" s="2" t="s">
        <v>7679</v>
      </c>
      <c r="BE598" s="2" t="s">
        <v>7680</v>
      </c>
      <c r="BF598" s="2" t="s">
        <v>7681</v>
      </c>
    </row>
    <row r="599" spans="1:58" ht="42.75" customHeight="1" x14ac:dyDescent="0.25">
      <c r="A599" s="8" t="s">
        <v>8</v>
      </c>
      <c r="B599" s="1" t="s">
        <v>0</v>
      </c>
      <c r="C599" s="1" t="s">
        <v>1</v>
      </c>
      <c r="D599" s="1" t="s">
        <v>7682</v>
      </c>
      <c r="E599" s="1" t="s">
        <v>7683</v>
      </c>
      <c r="F599" s="1" t="s">
        <v>7684</v>
      </c>
      <c r="G599" s="2" t="s">
        <v>7685</v>
      </c>
      <c r="H599" s="2" t="s">
        <v>8</v>
      </c>
      <c r="I599" s="2" t="s">
        <v>7</v>
      </c>
      <c r="J599" s="2" t="s">
        <v>8</v>
      </c>
      <c r="K599" s="2" t="s">
        <v>8</v>
      </c>
      <c r="L599" s="2" t="s">
        <v>9</v>
      </c>
      <c r="N599" s="1" t="s">
        <v>7686</v>
      </c>
      <c r="O599" s="2" t="s">
        <v>1629</v>
      </c>
      <c r="Q599" s="2" t="s">
        <v>12</v>
      </c>
      <c r="R599" s="2" t="s">
        <v>145</v>
      </c>
      <c r="S599" s="1" t="s">
        <v>7687</v>
      </c>
      <c r="T599" s="2" t="s">
        <v>14</v>
      </c>
      <c r="U599" s="3">
        <v>10</v>
      </c>
      <c r="V599" s="3">
        <v>10</v>
      </c>
      <c r="W599" s="4" t="s">
        <v>7688</v>
      </c>
      <c r="X599" s="4" t="s">
        <v>7688</v>
      </c>
      <c r="Y599" s="4" t="s">
        <v>7689</v>
      </c>
      <c r="Z599" s="4" t="s">
        <v>7689</v>
      </c>
      <c r="AA599" s="3">
        <v>427</v>
      </c>
      <c r="AB599" s="3">
        <v>324</v>
      </c>
      <c r="AC599" s="3">
        <v>341</v>
      </c>
      <c r="AD599" s="3">
        <v>3</v>
      </c>
      <c r="AE599" s="3">
        <v>3</v>
      </c>
      <c r="AF599" s="3">
        <v>26</v>
      </c>
      <c r="AG599" s="3">
        <v>28</v>
      </c>
      <c r="AH599" s="3">
        <v>7</v>
      </c>
      <c r="AI599" s="3">
        <v>9</v>
      </c>
      <c r="AJ599" s="3">
        <v>7</v>
      </c>
      <c r="AK599" s="3">
        <v>8</v>
      </c>
      <c r="AL599" s="3">
        <v>16</v>
      </c>
      <c r="AM599" s="3">
        <v>17</v>
      </c>
      <c r="AN599" s="3">
        <v>1</v>
      </c>
      <c r="AO599" s="3">
        <v>1</v>
      </c>
      <c r="AP599" s="3">
        <v>4</v>
      </c>
      <c r="AQ599" s="3">
        <v>4</v>
      </c>
      <c r="AR599" s="2" t="s">
        <v>8</v>
      </c>
      <c r="AS599" s="2" t="s">
        <v>8</v>
      </c>
      <c r="AU599" s="5" t="str">
        <f>HYPERLINK("https://creighton-primo.hosted.exlibrisgroup.com/primo-explore/search?tab=default_tab&amp;search_scope=EVERYTHING&amp;vid=01CRU&amp;lang=en_US&amp;offset=0&amp;query=any,contains,991001542079702656","Catalog Record")</f>
        <v>Catalog Record</v>
      </c>
      <c r="AV599" s="5" t="str">
        <f>HYPERLINK("http://www.worldcat.org/oclc/10185543","WorldCat Record")</f>
        <v>WorldCat Record</v>
      </c>
      <c r="AW599" s="2" t="s">
        <v>7690</v>
      </c>
      <c r="AX599" s="2" t="s">
        <v>7691</v>
      </c>
      <c r="AY599" s="2" t="s">
        <v>7692</v>
      </c>
      <c r="AZ599" s="2" t="s">
        <v>7692</v>
      </c>
      <c r="BA599" s="2" t="s">
        <v>7693</v>
      </c>
      <c r="BB599" s="2" t="s">
        <v>21</v>
      </c>
      <c r="BD599" s="2" t="s">
        <v>7694</v>
      </c>
      <c r="BE599" s="2" t="s">
        <v>7695</v>
      </c>
      <c r="BF599" s="2" t="s">
        <v>7696</v>
      </c>
    </row>
    <row r="600" spans="1:58" ht="42.75" customHeight="1" x14ac:dyDescent="0.25">
      <c r="A600" s="8" t="s">
        <v>8</v>
      </c>
      <c r="B600" s="1" t="s">
        <v>0</v>
      </c>
      <c r="C600" s="1" t="s">
        <v>1</v>
      </c>
      <c r="D600" s="1" t="s">
        <v>7697</v>
      </c>
      <c r="E600" s="1" t="s">
        <v>7698</v>
      </c>
      <c r="F600" s="1" t="s">
        <v>7699</v>
      </c>
      <c r="G600" s="2" t="s">
        <v>7700</v>
      </c>
      <c r="H600" s="2" t="s">
        <v>8</v>
      </c>
      <c r="I600" s="2" t="s">
        <v>7</v>
      </c>
      <c r="J600" s="2" t="s">
        <v>8</v>
      </c>
      <c r="K600" s="2" t="s">
        <v>8</v>
      </c>
      <c r="L600" s="2" t="s">
        <v>9</v>
      </c>
      <c r="N600" s="1" t="s">
        <v>7701</v>
      </c>
      <c r="O600" s="2" t="s">
        <v>51</v>
      </c>
      <c r="Q600" s="2" t="s">
        <v>12</v>
      </c>
      <c r="R600" s="2" t="s">
        <v>145</v>
      </c>
      <c r="S600" s="1" t="s">
        <v>7702</v>
      </c>
      <c r="T600" s="2" t="s">
        <v>14</v>
      </c>
      <c r="U600" s="3">
        <v>6</v>
      </c>
      <c r="V600" s="3">
        <v>6</v>
      </c>
      <c r="W600" s="4" t="s">
        <v>7703</v>
      </c>
      <c r="X600" s="4" t="s">
        <v>7703</v>
      </c>
      <c r="Y600" s="4" t="s">
        <v>7704</v>
      </c>
      <c r="Z600" s="4" t="s">
        <v>7704</v>
      </c>
      <c r="AA600" s="3">
        <v>319</v>
      </c>
      <c r="AB600" s="3">
        <v>237</v>
      </c>
      <c r="AC600" s="3">
        <v>250</v>
      </c>
      <c r="AD600" s="3">
        <v>1</v>
      </c>
      <c r="AE600" s="3">
        <v>1</v>
      </c>
      <c r="AF600" s="3">
        <v>15</v>
      </c>
      <c r="AG600" s="3">
        <v>16</v>
      </c>
      <c r="AH600" s="3">
        <v>2</v>
      </c>
      <c r="AI600" s="3">
        <v>3</v>
      </c>
      <c r="AJ600" s="3">
        <v>5</v>
      </c>
      <c r="AK600" s="3">
        <v>5</v>
      </c>
      <c r="AL600" s="3">
        <v>12</v>
      </c>
      <c r="AM600" s="3">
        <v>13</v>
      </c>
      <c r="AN600" s="3">
        <v>0</v>
      </c>
      <c r="AO600" s="3">
        <v>0</v>
      </c>
      <c r="AP600" s="3">
        <v>1</v>
      </c>
      <c r="AQ600" s="3">
        <v>1</v>
      </c>
      <c r="AR600" s="2" t="s">
        <v>8</v>
      </c>
      <c r="AS600" s="2" t="s">
        <v>8</v>
      </c>
      <c r="AU600" s="5" t="str">
        <f>HYPERLINK("https://creighton-primo.hosted.exlibrisgroup.com/primo-explore/search?tab=default_tab&amp;search_scope=EVERYTHING&amp;vid=01CRU&amp;lang=en_US&amp;offset=0&amp;query=any,contains,991001191209702656","Catalog Record")</f>
        <v>Catalog Record</v>
      </c>
      <c r="AV600" s="5" t="str">
        <f>HYPERLINK("http://www.worldcat.org/oclc/16869617","WorldCat Record")</f>
        <v>WorldCat Record</v>
      </c>
      <c r="AW600" s="2" t="s">
        <v>7705</v>
      </c>
      <c r="AX600" s="2" t="s">
        <v>7706</v>
      </c>
      <c r="AY600" s="2" t="s">
        <v>7707</v>
      </c>
      <c r="AZ600" s="2" t="s">
        <v>7707</v>
      </c>
      <c r="BA600" s="2" t="s">
        <v>7708</v>
      </c>
      <c r="BB600" s="2" t="s">
        <v>21</v>
      </c>
      <c r="BD600" s="2" t="s">
        <v>7709</v>
      </c>
      <c r="BE600" s="2" t="s">
        <v>7710</v>
      </c>
      <c r="BF600" s="2" t="s">
        <v>7711</v>
      </c>
    </row>
    <row r="601" spans="1:58" ht="42.75" customHeight="1" x14ac:dyDescent="0.25">
      <c r="A601" s="8" t="s">
        <v>8</v>
      </c>
      <c r="B601" s="1" t="s">
        <v>0</v>
      </c>
      <c r="C601" s="1" t="s">
        <v>1</v>
      </c>
      <c r="D601" s="1" t="s">
        <v>7712</v>
      </c>
      <c r="E601" s="1" t="s">
        <v>7713</v>
      </c>
      <c r="F601" s="1" t="s">
        <v>7714</v>
      </c>
      <c r="G601" s="2" t="s">
        <v>7715</v>
      </c>
      <c r="H601" s="2" t="s">
        <v>8</v>
      </c>
      <c r="I601" s="2" t="s">
        <v>7</v>
      </c>
      <c r="J601" s="2" t="s">
        <v>8</v>
      </c>
      <c r="K601" s="2" t="s">
        <v>8</v>
      </c>
      <c r="L601" s="2" t="s">
        <v>9</v>
      </c>
      <c r="N601" s="1" t="s">
        <v>7716</v>
      </c>
      <c r="O601" s="2" t="s">
        <v>67</v>
      </c>
      <c r="Q601" s="2" t="s">
        <v>12</v>
      </c>
      <c r="R601" s="2" t="s">
        <v>145</v>
      </c>
      <c r="S601" s="1" t="s">
        <v>7717</v>
      </c>
      <c r="T601" s="2" t="s">
        <v>14</v>
      </c>
      <c r="U601" s="3">
        <v>5</v>
      </c>
      <c r="V601" s="3">
        <v>5</v>
      </c>
      <c r="W601" s="4" t="s">
        <v>6923</v>
      </c>
      <c r="X601" s="4" t="s">
        <v>6923</v>
      </c>
      <c r="Y601" s="4" t="s">
        <v>7328</v>
      </c>
      <c r="Z601" s="4" t="s">
        <v>7328</v>
      </c>
      <c r="AA601" s="3">
        <v>470</v>
      </c>
      <c r="AB601" s="3">
        <v>357</v>
      </c>
      <c r="AC601" s="3">
        <v>362</v>
      </c>
      <c r="AD601" s="3">
        <v>2</v>
      </c>
      <c r="AE601" s="3">
        <v>2</v>
      </c>
      <c r="AF601" s="3">
        <v>23</v>
      </c>
      <c r="AG601" s="3">
        <v>23</v>
      </c>
      <c r="AH601" s="3">
        <v>8</v>
      </c>
      <c r="AI601" s="3">
        <v>8</v>
      </c>
      <c r="AJ601" s="3">
        <v>6</v>
      </c>
      <c r="AK601" s="3">
        <v>6</v>
      </c>
      <c r="AL601" s="3">
        <v>18</v>
      </c>
      <c r="AM601" s="3">
        <v>18</v>
      </c>
      <c r="AN601" s="3">
        <v>0</v>
      </c>
      <c r="AO601" s="3">
        <v>0</v>
      </c>
      <c r="AP601" s="3">
        <v>1</v>
      </c>
      <c r="AQ601" s="3">
        <v>1</v>
      </c>
      <c r="AR601" s="2" t="s">
        <v>8</v>
      </c>
      <c r="AS601" s="2" t="s">
        <v>8</v>
      </c>
      <c r="AU601" s="5" t="str">
        <f>HYPERLINK("https://creighton-primo.hosted.exlibrisgroup.com/primo-explore/search?tab=default_tab&amp;search_scope=EVERYTHING&amp;vid=01CRU&amp;lang=en_US&amp;offset=0&amp;query=any,contains,991001542169702656","Catalog Record")</f>
        <v>Catalog Record</v>
      </c>
      <c r="AV601" s="5" t="str">
        <f>HYPERLINK("http://www.worldcat.org/oclc/12107447","WorldCat Record")</f>
        <v>WorldCat Record</v>
      </c>
      <c r="AW601" s="2" t="s">
        <v>7718</v>
      </c>
      <c r="AX601" s="2" t="s">
        <v>7719</v>
      </c>
      <c r="AY601" s="2" t="s">
        <v>7720</v>
      </c>
      <c r="AZ601" s="2" t="s">
        <v>7720</v>
      </c>
      <c r="BA601" s="2" t="s">
        <v>7721</v>
      </c>
      <c r="BB601" s="2" t="s">
        <v>21</v>
      </c>
      <c r="BD601" s="2" t="s">
        <v>7722</v>
      </c>
      <c r="BE601" s="2" t="s">
        <v>7723</v>
      </c>
      <c r="BF601" s="2" t="s">
        <v>7724</v>
      </c>
    </row>
    <row r="602" spans="1:58" ht="42.75" customHeight="1" x14ac:dyDescent="0.25">
      <c r="A602" s="8" t="s">
        <v>8</v>
      </c>
      <c r="B602" s="1" t="s">
        <v>0</v>
      </c>
      <c r="C602" s="1" t="s">
        <v>1</v>
      </c>
      <c r="D602" s="1" t="s">
        <v>7725</v>
      </c>
      <c r="E602" s="1" t="s">
        <v>7726</v>
      </c>
      <c r="F602" s="1" t="s">
        <v>7727</v>
      </c>
      <c r="G602" s="2" t="s">
        <v>7728</v>
      </c>
      <c r="H602" s="2" t="s">
        <v>8</v>
      </c>
      <c r="I602" s="2" t="s">
        <v>7</v>
      </c>
      <c r="J602" s="2" t="s">
        <v>8</v>
      </c>
      <c r="K602" s="2" t="s">
        <v>8</v>
      </c>
      <c r="L602" s="2" t="s">
        <v>9</v>
      </c>
      <c r="N602" s="1" t="s">
        <v>5608</v>
      </c>
      <c r="O602" s="2" t="s">
        <v>298</v>
      </c>
      <c r="Q602" s="2" t="s">
        <v>12</v>
      </c>
      <c r="R602" s="2" t="s">
        <v>145</v>
      </c>
      <c r="S602" s="1" t="s">
        <v>7729</v>
      </c>
      <c r="T602" s="2" t="s">
        <v>14</v>
      </c>
      <c r="U602" s="3">
        <v>4</v>
      </c>
      <c r="V602" s="3">
        <v>4</v>
      </c>
      <c r="W602" s="4" t="s">
        <v>7730</v>
      </c>
      <c r="X602" s="4" t="s">
        <v>7730</v>
      </c>
      <c r="Y602" s="4" t="s">
        <v>2712</v>
      </c>
      <c r="Z602" s="4" t="s">
        <v>2712</v>
      </c>
      <c r="AA602" s="3">
        <v>275</v>
      </c>
      <c r="AB602" s="3">
        <v>219</v>
      </c>
      <c r="AC602" s="3">
        <v>235</v>
      </c>
      <c r="AD602" s="3">
        <v>1</v>
      </c>
      <c r="AE602" s="3">
        <v>1</v>
      </c>
      <c r="AF602" s="3">
        <v>16</v>
      </c>
      <c r="AG602" s="3">
        <v>18</v>
      </c>
      <c r="AH602" s="3">
        <v>5</v>
      </c>
      <c r="AI602" s="3">
        <v>7</v>
      </c>
      <c r="AJ602" s="3">
        <v>6</v>
      </c>
      <c r="AK602" s="3">
        <v>6</v>
      </c>
      <c r="AL602" s="3">
        <v>10</v>
      </c>
      <c r="AM602" s="3">
        <v>12</v>
      </c>
      <c r="AN602" s="3">
        <v>0</v>
      </c>
      <c r="AO602" s="3">
        <v>0</v>
      </c>
      <c r="AP602" s="3">
        <v>1</v>
      </c>
      <c r="AQ602" s="3">
        <v>1</v>
      </c>
      <c r="AR602" s="2" t="s">
        <v>8</v>
      </c>
      <c r="AS602" s="2" t="s">
        <v>8</v>
      </c>
      <c r="AU602" s="5" t="str">
        <f>HYPERLINK("https://creighton-primo.hosted.exlibrisgroup.com/primo-explore/search?tab=default_tab&amp;search_scope=EVERYTHING&amp;vid=01CRU&amp;lang=en_US&amp;offset=0&amp;query=any,contains,991001109689702656","Catalog Record")</f>
        <v>Catalog Record</v>
      </c>
      <c r="AV602" s="5" t="str">
        <f>HYPERLINK("http://www.worldcat.org/oclc/17354636","WorldCat Record")</f>
        <v>WorldCat Record</v>
      </c>
      <c r="AW602" s="2" t="s">
        <v>7731</v>
      </c>
      <c r="AX602" s="2" t="s">
        <v>7732</v>
      </c>
      <c r="AY602" s="2" t="s">
        <v>7733</v>
      </c>
      <c r="AZ602" s="2" t="s">
        <v>7733</v>
      </c>
      <c r="BA602" s="2" t="s">
        <v>7734</v>
      </c>
      <c r="BB602" s="2" t="s">
        <v>21</v>
      </c>
      <c r="BD602" s="2" t="s">
        <v>7735</v>
      </c>
      <c r="BE602" s="2" t="s">
        <v>7736</v>
      </c>
      <c r="BF602" s="2" t="s">
        <v>7737</v>
      </c>
    </row>
    <row r="603" spans="1:58" ht="42.75" customHeight="1" x14ac:dyDescent="0.25">
      <c r="A603" s="8" t="s">
        <v>8</v>
      </c>
      <c r="B603" s="1" t="s">
        <v>0</v>
      </c>
      <c r="C603" s="1" t="s">
        <v>1</v>
      </c>
      <c r="D603" s="1" t="s">
        <v>7738</v>
      </c>
      <c r="E603" s="1" t="s">
        <v>7739</v>
      </c>
      <c r="F603" s="1" t="s">
        <v>7740</v>
      </c>
      <c r="G603" s="2" t="s">
        <v>7741</v>
      </c>
      <c r="H603" s="2" t="s">
        <v>8</v>
      </c>
      <c r="I603" s="2" t="s">
        <v>7</v>
      </c>
      <c r="J603" s="2" t="s">
        <v>8</v>
      </c>
      <c r="K603" s="2" t="s">
        <v>8</v>
      </c>
      <c r="L603" s="2" t="s">
        <v>9</v>
      </c>
      <c r="N603" s="1" t="s">
        <v>7742</v>
      </c>
      <c r="O603" s="2" t="s">
        <v>1327</v>
      </c>
      <c r="Q603" s="2" t="s">
        <v>12</v>
      </c>
      <c r="R603" s="2" t="s">
        <v>145</v>
      </c>
      <c r="S603" s="1" t="s">
        <v>7743</v>
      </c>
      <c r="T603" s="2" t="s">
        <v>14</v>
      </c>
      <c r="U603" s="3">
        <v>3</v>
      </c>
      <c r="V603" s="3">
        <v>3</v>
      </c>
      <c r="W603" s="4" t="s">
        <v>7744</v>
      </c>
      <c r="X603" s="4" t="s">
        <v>7744</v>
      </c>
      <c r="Y603" s="4" t="s">
        <v>2712</v>
      </c>
      <c r="Z603" s="4" t="s">
        <v>2712</v>
      </c>
      <c r="AA603" s="3">
        <v>295</v>
      </c>
      <c r="AB603" s="3">
        <v>225</v>
      </c>
      <c r="AC603" s="3">
        <v>236</v>
      </c>
      <c r="AD603" s="3">
        <v>1</v>
      </c>
      <c r="AE603" s="3">
        <v>1</v>
      </c>
      <c r="AF603" s="3">
        <v>18</v>
      </c>
      <c r="AG603" s="3">
        <v>18</v>
      </c>
      <c r="AH603" s="3">
        <v>3</v>
      </c>
      <c r="AI603" s="3">
        <v>3</v>
      </c>
      <c r="AJ603" s="3">
        <v>5</v>
      </c>
      <c r="AK603" s="3">
        <v>5</v>
      </c>
      <c r="AL603" s="3">
        <v>14</v>
      </c>
      <c r="AM603" s="3">
        <v>14</v>
      </c>
      <c r="AN603" s="3">
        <v>0</v>
      </c>
      <c r="AO603" s="3">
        <v>0</v>
      </c>
      <c r="AP603" s="3">
        <v>3</v>
      </c>
      <c r="AQ603" s="3">
        <v>3</v>
      </c>
      <c r="AR603" s="2" t="s">
        <v>8</v>
      </c>
      <c r="AS603" s="2" t="s">
        <v>6</v>
      </c>
      <c r="AT603" s="5" t="str">
        <f>HYPERLINK("http://catalog.hathitrust.org/Record/000816115","HathiTrust Record")</f>
        <v>HathiTrust Record</v>
      </c>
      <c r="AU603" s="5" t="str">
        <f>HYPERLINK("https://creighton-primo.hosted.exlibrisgroup.com/primo-explore/search?tab=default_tab&amp;search_scope=EVERYTHING&amp;vid=01CRU&amp;lang=en_US&amp;offset=0&amp;query=any,contains,991001109369702656","Catalog Record")</f>
        <v>Catalog Record</v>
      </c>
      <c r="AV603" s="5" t="str">
        <f>HYPERLINK("http://www.worldcat.org/oclc/14214322","WorldCat Record")</f>
        <v>WorldCat Record</v>
      </c>
      <c r="AW603" s="2" t="s">
        <v>7745</v>
      </c>
      <c r="AX603" s="2" t="s">
        <v>7746</v>
      </c>
      <c r="AY603" s="2" t="s">
        <v>7747</v>
      </c>
      <c r="AZ603" s="2" t="s">
        <v>7747</v>
      </c>
      <c r="BA603" s="2" t="s">
        <v>7748</v>
      </c>
      <c r="BB603" s="2" t="s">
        <v>21</v>
      </c>
      <c r="BD603" s="2" t="s">
        <v>7749</v>
      </c>
      <c r="BE603" s="2" t="s">
        <v>7750</v>
      </c>
      <c r="BF603" s="2" t="s">
        <v>7751</v>
      </c>
    </row>
    <row r="604" spans="1:58" ht="42.75" customHeight="1" x14ac:dyDescent="0.25">
      <c r="A604" s="8" t="s">
        <v>8</v>
      </c>
      <c r="B604" s="1" t="s">
        <v>0</v>
      </c>
      <c r="C604" s="1" t="s">
        <v>1</v>
      </c>
      <c r="D604" s="1" t="s">
        <v>7752</v>
      </c>
      <c r="E604" s="1" t="s">
        <v>7753</v>
      </c>
      <c r="F604" s="1" t="s">
        <v>7754</v>
      </c>
      <c r="G604" s="2" t="s">
        <v>7755</v>
      </c>
      <c r="H604" s="2" t="s">
        <v>8</v>
      </c>
      <c r="I604" s="2" t="s">
        <v>7</v>
      </c>
      <c r="J604" s="2" t="s">
        <v>8</v>
      </c>
      <c r="K604" s="2" t="s">
        <v>8</v>
      </c>
      <c r="L604" s="2" t="s">
        <v>9</v>
      </c>
      <c r="N604" s="1" t="s">
        <v>7756</v>
      </c>
      <c r="O604" s="2" t="s">
        <v>51</v>
      </c>
      <c r="Q604" s="2" t="s">
        <v>12</v>
      </c>
      <c r="R604" s="2" t="s">
        <v>145</v>
      </c>
      <c r="S604" s="1" t="s">
        <v>7757</v>
      </c>
      <c r="T604" s="2" t="s">
        <v>14</v>
      </c>
      <c r="U604" s="3">
        <v>3</v>
      </c>
      <c r="V604" s="3">
        <v>3</v>
      </c>
      <c r="W604" s="4" t="s">
        <v>7758</v>
      </c>
      <c r="X604" s="4" t="s">
        <v>7758</v>
      </c>
      <c r="Y604" s="4" t="s">
        <v>7759</v>
      </c>
      <c r="Z604" s="4" t="s">
        <v>7759</v>
      </c>
      <c r="AA604" s="3">
        <v>212</v>
      </c>
      <c r="AB604" s="3">
        <v>172</v>
      </c>
      <c r="AC604" s="3">
        <v>274</v>
      </c>
      <c r="AD604" s="3">
        <v>1</v>
      </c>
      <c r="AE604" s="3">
        <v>1</v>
      </c>
      <c r="AF604" s="3">
        <v>13</v>
      </c>
      <c r="AG604" s="3">
        <v>16</v>
      </c>
      <c r="AH604" s="3">
        <v>2</v>
      </c>
      <c r="AI604" s="3">
        <v>5</v>
      </c>
      <c r="AJ604" s="3">
        <v>5</v>
      </c>
      <c r="AK604" s="3">
        <v>5</v>
      </c>
      <c r="AL604" s="3">
        <v>10</v>
      </c>
      <c r="AM604" s="3">
        <v>12</v>
      </c>
      <c r="AN604" s="3">
        <v>0</v>
      </c>
      <c r="AO604" s="3">
        <v>0</v>
      </c>
      <c r="AP604" s="3">
        <v>1</v>
      </c>
      <c r="AQ604" s="3">
        <v>1</v>
      </c>
      <c r="AR604" s="2" t="s">
        <v>8</v>
      </c>
      <c r="AS604" s="2" t="s">
        <v>6</v>
      </c>
      <c r="AT604" s="5" t="str">
        <f>HYPERLINK("http://catalog.hathitrust.org/Record/000917681","HathiTrust Record")</f>
        <v>HathiTrust Record</v>
      </c>
      <c r="AU604" s="5" t="str">
        <f>HYPERLINK("https://creighton-primo.hosted.exlibrisgroup.com/primo-explore/search?tab=default_tab&amp;search_scope=EVERYTHING&amp;vid=01CRU&amp;lang=en_US&amp;offset=0&amp;query=any,contains,991001249929702656","Catalog Record")</f>
        <v>Catalog Record</v>
      </c>
      <c r="AV604" s="5" t="str">
        <f>HYPERLINK("http://www.worldcat.org/oclc/17209989","WorldCat Record")</f>
        <v>WorldCat Record</v>
      </c>
      <c r="AW604" s="2" t="s">
        <v>7760</v>
      </c>
      <c r="AX604" s="2" t="s">
        <v>7761</v>
      </c>
      <c r="AY604" s="2" t="s">
        <v>7762</v>
      </c>
      <c r="AZ604" s="2" t="s">
        <v>7762</v>
      </c>
      <c r="BA604" s="2" t="s">
        <v>7763</v>
      </c>
      <c r="BB604" s="2" t="s">
        <v>21</v>
      </c>
      <c r="BD604" s="2" t="s">
        <v>7764</v>
      </c>
      <c r="BE604" s="2" t="s">
        <v>7765</v>
      </c>
      <c r="BF604" s="2" t="s">
        <v>7766</v>
      </c>
    </row>
    <row r="605" spans="1:58" ht="42.75" customHeight="1" x14ac:dyDescent="0.25">
      <c r="A605" s="8" t="s">
        <v>8</v>
      </c>
      <c r="B605" s="1" t="s">
        <v>0</v>
      </c>
      <c r="C605" s="1" t="s">
        <v>1</v>
      </c>
      <c r="D605" s="1" t="s">
        <v>7767</v>
      </c>
      <c r="E605" s="1" t="s">
        <v>7768</v>
      </c>
      <c r="F605" s="1" t="s">
        <v>7769</v>
      </c>
      <c r="G605" s="2" t="s">
        <v>7770</v>
      </c>
      <c r="H605" s="2" t="s">
        <v>8</v>
      </c>
      <c r="I605" s="2" t="s">
        <v>7</v>
      </c>
      <c r="J605" s="2" t="s">
        <v>8</v>
      </c>
      <c r="K605" s="2" t="s">
        <v>8</v>
      </c>
      <c r="L605" s="2" t="s">
        <v>9</v>
      </c>
      <c r="N605" s="1" t="s">
        <v>7771</v>
      </c>
      <c r="O605" s="2" t="s">
        <v>51</v>
      </c>
      <c r="Q605" s="2" t="s">
        <v>12</v>
      </c>
      <c r="R605" s="2" t="s">
        <v>145</v>
      </c>
      <c r="S605" s="1" t="s">
        <v>7772</v>
      </c>
      <c r="T605" s="2" t="s">
        <v>14</v>
      </c>
      <c r="U605" s="3">
        <v>2</v>
      </c>
      <c r="V605" s="3">
        <v>2</v>
      </c>
      <c r="W605" s="4" t="s">
        <v>7773</v>
      </c>
      <c r="X605" s="4" t="s">
        <v>7773</v>
      </c>
      <c r="Y605" s="4" t="s">
        <v>7774</v>
      </c>
      <c r="Z605" s="4" t="s">
        <v>7774</v>
      </c>
      <c r="AA605" s="3">
        <v>299</v>
      </c>
      <c r="AB605" s="3">
        <v>224</v>
      </c>
      <c r="AC605" s="3">
        <v>243</v>
      </c>
      <c r="AD605" s="3">
        <v>1</v>
      </c>
      <c r="AE605" s="3">
        <v>1</v>
      </c>
      <c r="AF605" s="3">
        <v>18</v>
      </c>
      <c r="AG605" s="3">
        <v>20</v>
      </c>
      <c r="AH605" s="3">
        <v>4</v>
      </c>
      <c r="AI605" s="3">
        <v>5</v>
      </c>
      <c r="AJ605" s="3">
        <v>4</v>
      </c>
      <c r="AK605" s="3">
        <v>5</v>
      </c>
      <c r="AL605" s="3">
        <v>14</v>
      </c>
      <c r="AM605" s="3">
        <v>16</v>
      </c>
      <c r="AN605" s="3">
        <v>0</v>
      </c>
      <c r="AO605" s="3">
        <v>0</v>
      </c>
      <c r="AP605" s="3">
        <v>2</v>
      </c>
      <c r="AQ605" s="3">
        <v>2</v>
      </c>
      <c r="AR605" s="2" t="s">
        <v>8</v>
      </c>
      <c r="AS605" s="2" t="s">
        <v>6</v>
      </c>
      <c r="AT605" s="5" t="str">
        <f>HYPERLINK("http://catalog.hathitrust.org/Record/010089526","HathiTrust Record")</f>
        <v>HathiTrust Record</v>
      </c>
      <c r="AU605" s="5" t="str">
        <f>HYPERLINK("https://creighton-primo.hosted.exlibrisgroup.com/primo-explore/search?tab=default_tab&amp;search_scope=EVERYTHING&amp;vid=01CRU&amp;lang=en_US&amp;offset=0&amp;query=any,contains,991001311019702656","Catalog Record")</f>
        <v>Catalog Record</v>
      </c>
      <c r="AV605" s="5" t="str">
        <f>HYPERLINK("http://www.worldcat.org/oclc/17676564","WorldCat Record")</f>
        <v>WorldCat Record</v>
      </c>
      <c r="AW605" s="2" t="s">
        <v>7775</v>
      </c>
      <c r="AX605" s="2" t="s">
        <v>7776</v>
      </c>
      <c r="AY605" s="2" t="s">
        <v>7777</v>
      </c>
      <c r="AZ605" s="2" t="s">
        <v>7777</v>
      </c>
      <c r="BA605" s="2" t="s">
        <v>7778</v>
      </c>
      <c r="BB605" s="2" t="s">
        <v>21</v>
      </c>
      <c r="BD605" s="2" t="s">
        <v>7779</v>
      </c>
      <c r="BE605" s="2" t="s">
        <v>7780</v>
      </c>
      <c r="BF605" s="2" t="s">
        <v>7781</v>
      </c>
    </row>
    <row r="606" spans="1:58" ht="42.75" customHeight="1" x14ac:dyDescent="0.25">
      <c r="A606" s="8" t="s">
        <v>8</v>
      </c>
      <c r="B606" s="1" t="s">
        <v>0</v>
      </c>
      <c r="C606" s="1" t="s">
        <v>1</v>
      </c>
      <c r="D606" s="1" t="s">
        <v>7782</v>
      </c>
      <c r="E606" s="1" t="s">
        <v>7783</v>
      </c>
      <c r="F606" s="1" t="s">
        <v>7784</v>
      </c>
      <c r="H606" s="2" t="s">
        <v>8</v>
      </c>
      <c r="I606" s="2" t="s">
        <v>7</v>
      </c>
      <c r="J606" s="2" t="s">
        <v>8</v>
      </c>
      <c r="K606" s="2" t="s">
        <v>8</v>
      </c>
      <c r="L606" s="2" t="s">
        <v>9</v>
      </c>
      <c r="M606" s="1" t="s">
        <v>7785</v>
      </c>
      <c r="N606" s="1" t="s">
        <v>5307</v>
      </c>
      <c r="O606" s="2" t="s">
        <v>844</v>
      </c>
      <c r="Q606" s="2" t="s">
        <v>12</v>
      </c>
      <c r="R606" s="2" t="s">
        <v>13</v>
      </c>
      <c r="T606" s="2" t="s">
        <v>14</v>
      </c>
      <c r="U606" s="3">
        <v>3</v>
      </c>
      <c r="V606" s="3">
        <v>3</v>
      </c>
      <c r="W606" s="4" t="s">
        <v>7786</v>
      </c>
      <c r="X606" s="4" t="s">
        <v>7786</v>
      </c>
      <c r="Y606" s="4" t="s">
        <v>7787</v>
      </c>
      <c r="Z606" s="4" t="s">
        <v>7787</v>
      </c>
      <c r="AA606" s="3">
        <v>281</v>
      </c>
      <c r="AB606" s="3">
        <v>244</v>
      </c>
      <c r="AC606" s="3">
        <v>246</v>
      </c>
      <c r="AD606" s="3">
        <v>2</v>
      </c>
      <c r="AE606" s="3">
        <v>2</v>
      </c>
      <c r="AF606" s="3">
        <v>13</v>
      </c>
      <c r="AG606" s="3">
        <v>13</v>
      </c>
      <c r="AH606" s="3">
        <v>5</v>
      </c>
      <c r="AI606" s="3">
        <v>5</v>
      </c>
      <c r="AJ606" s="3">
        <v>2</v>
      </c>
      <c r="AK606" s="3">
        <v>2</v>
      </c>
      <c r="AL606" s="3">
        <v>5</v>
      </c>
      <c r="AM606" s="3">
        <v>5</v>
      </c>
      <c r="AN606" s="3">
        <v>1</v>
      </c>
      <c r="AO606" s="3">
        <v>1</v>
      </c>
      <c r="AP606" s="3">
        <v>2</v>
      </c>
      <c r="AQ606" s="3">
        <v>2</v>
      </c>
      <c r="AR606" s="2" t="s">
        <v>8</v>
      </c>
      <c r="AS606" s="2" t="s">
        <v>6</v>
      </c>
      <c r="AT606" s="5" t="str">
        <f>HYPERLINK("http://catalog.hathitrust.org/Record/002958056","HathiTrust Record")</f>
        <v>HathiTrust Record</v>
      </c>
      <c r="AU606" s="5" t="str">
        <f>HYPERLINK("https://creighton-primo.hosted.exlibrisgroup.com/primo-explore/search?tab=default_tab&amp;search_scope=EVERYTHING&amp;vid=01CRU&amp;lang=en_US&amp;offset=0&amp;query=any,contains,991000685989702656","Catalog Record")</f>
        <v>Catalog Record</v>
      </c>
      <c r="AV606" s="5" t="str">
        <f>HYPERLINK("http://www.worldcat.org/oclc/30354153","WorldCat Record")</f>
        <v>WorldCat Record</v>
      </c>
      <c r="AW606" s="2" t="s">
        <v>7788</v>
      </c>
      <c r="AX606" s="2" t="s">
        <v>7789</v>
      </c>
      <c r="AY606" s="2" t="s">
        <v>7790</v>
      </c>
      <c r="AZ606" s="2" t="s">
        <v>7790</v>
      </c>
      <c r="BA606" s="2" t="s">
        <v>7791</v>
      </c>
      <c r="BB606" s="2" t="s">
        <v>21</v>
      </c>
      <c r="BD606" s="2" t="s">
        <v>7792</v>
      </c>
      <c r="BE606" s="2" t="s">
        <v>7793</v>
      </c>
      <c r="BF606" s="2" t="s">
        <v>7794</v>
      </c>
    </row>
    <row r="607" spans="1:58" ht="42.75" customHeight="1" x14ac:dyDescent="0.25">
      <c r="A607" s="8" t="s">
        <v>8</v>
      </c>
      <c r="B607" s="1" t="s">
        <v>0</v>
      </c>
      <c r="C607" s="1" t="s">
        <v>1</v>
      </c>
      <c r="D607" s="1" t="s">
        <v>7795</v>
      </c>
      <c r="E607" s="1" t="s">
        <v>7796</v>
      </c>
      <c r="F607" s="1" t="s">
        <v>7797</v>
      </c>
      <c r="H607" s="2" t="s">
        <v>8</v>
      </c>
      <c r="I607" s="2" t="s">
        <v>7</v>
      </c>
      <c r="J607" s="2" t="s">
        <v>8</v>
      </c>
      <c r="K607" s="2" t="s">
        <v>8</v>
      </c>
      <c r="L607" s="2" t="s">
        <v>9</v>
      </c>
      <c r="M607" s="1" t="s">
        <v>7798</v>
      </c>
      <c r="N607" s="1" t="s">
        <v>2905</v>
      </c>
      <c r="O607" s="2" t="s">
        <v>51</v>
      </c>
      <c r="Q607" s="2" t="s">
        <v>12</v>
      </c>
      <c r="R607" s="2" t="s">
        <v>145</v>
      </c>
      <c r="T607" s="2" t="s">
        <v>14</v>
      </c>
      <c r="U607" s="3">
        <v>12</v>
      </c>
      <c r="V607" s="3">
        <v>12</v>
      </c>
      <c r="W607" s="4" t="s">
        <v>3296</v>
      </c>
      <c r="X607" s="4" t="s">
        <v>3296</v>
      </c>
      <c r="Y607" s="4" t="s">
        <v>7799</v>
      </c>
      <c r="Z607" s="4" t="s">
        <v>7799</v>
      </c>
      <c r="AA607" s="3">
        <v>130</v>
      </c>
      <c r="AB607" s="3">
        <v>96</v>
      </c>
      <c r="AC607" s="3">
        <v>106</v>
      </c>
      <c r="AD607" s="3">
        <v>1</v>
      </c>
      <c r="AE607" s="3">
        <v>1</v>
      </c>
      <c r="AF607" s="3">
        <v>3</v>
      </c>
      <c r="AG607" s="3">
        <v>4</v>
      </c>
      <c r="AH607" s="3">
        <v>1</v>
      </c>
      <c r="AI607" s="3">
        <v>2</v>
      </c>
      <c r="AJ607" s="3">
        <v>0</v>
      </c>
      <c r="AK607" s="3">
        <v>0</v>
      </c>
      <c r="AL607" s="3">
        <v>3</v>
      </c>
      <c r="AM607" s="3">
        <v>4</v>
      </c>
      <c r="AN607" s="3">
        <v>0</v>
      </c>
      <c r="AO607" s="3">
        <v>0</v>
      </c>
      <c r="AP607" s="3">
        <v>0</v>
      </c>
      <c r="AQ607" s="3">
        <v>0</v>
      </c>
      <c r="AR607" s="2" t="s">
        <v>8</v>
      </c>
      <c r="AS607" s="2" t="s">
        <v>8</v>
      </c>
      <c r="AU607" s="5" t="str">
        <f>HYPERLINK("https://creighton-primo.hosted.exlibrisgroup.com/primo-explore/search?tab=default_tab&amp;search_scope=EVERYTHING&amp;vid=01CRU&amp;lang=en_US&amp;offset=0&amp;query=any,contains,991001115129702656","Catalog Record")</f>
        <v>Catalog Record</v>
      </c>
      <c r="AV607" s="5" t="str">
        <f>HYPERLINK("http://www.worldcat.org/oclc/17413704","WorldCat Record")</f>
        <v>WorldCat Record</v>
      </c>
      <c r="AW607" s="2" t="s">
        <v>7800</v>
      </c>
      <c r="AX607" s="2" t="s">
        <v>7801</v>
      </c>
      <c r="AY607" s="2" t="s">
        <v>7802</v>
      </c>
      <c r="AZ607" s="2" t="s">
        <v>7802</v>
      </c>
      <c r="BA607" s="2" t="s">
        <v>7803</v>
      </c>
      <c r="BB607" s="2" t="s">
        <v>21</v>
      </c>
      <c r="BD607" s="2" t="s">
        <v>7804</v>
      </c>
      <c r="BE607" s="2" t="s">
        <v>7805</v>
      </c>
      <c r="BF607" s="2" t="s">
        <v>7806</v>
      </c>
    </row>
    <row r="608" spans="1:58" ht="42.75" customHeight="1" x14ac:dyDescent="0.25">
      <c r="A608" s="8" t="s">
        <v>8</v>
      </c>
      <c r="B608" s="1" t="s">
        <v>0</v>
      </c>
      <c r="C608" s="1" t="s">
        <v>1</v>
      </c>
      <c r="D608" s="1" t="s">
        <v>7807</v>
      </c>
      <c r="E608" s="1" t="s">
        <v>7808</v>
      </c>
      <c r="F608" s="1" t="s">
        <v>7809</v>
      </c>
      <c r="H608" s="2" t="s">
        <v>8</v>
      </c>
      <c r="I608" s="2" t="s">
        <v>7</v>
      </c>
      <c r="J608" s="2" t="s">
        <v>8</v>
      </c>
      <c r="K608" s="2" t="s">
        <v>8</v>
      </c>
      <c r="L608" s="2" t="s">
        <v>9</v>
      </c>
      <c r="M608" s="1" t="s">
        <v>7810</v>
      </c>
      <c r="N608" s="1" t="s">
        <v>7811</v>
      </c>
      <c r="O608" s="2" t="s">
        <v>959</v>
      </c>
      <c r="Q608" s="2" t="s">
        <v>12</v>
      </c>
      <c r="R608" s="2" t="s">
        <v>520</v>
      </c>
      <c r="T608" s="2" t="s">
        <v>14</v>
      </c>
      <c r="U608" s="3">
        <v>2</v>
      </c>
      <c r="V608" s="3">
        <v>2</v>
      </c>
      <c r="W608" s="4" t="s">
        <v>7812</v>
      </c>
      <c r="X608" s="4" t="s">
        <v>7812</v>
      </c>
      <c r="Y608" s="4" t="s">
        <v>7813</v>
      </c>
      <c r="Z608" s="4" t="s">
        <v>7813</v>
      </c>
      <c r="AA608" s="3">
        <v>545</v>
      </c>
      <c r="AB608" s="3">
        <v>484</v>
      </c>
      <c r="AC608" s="3">
        <v>494</v>
      </c>
      <c r="AD608" s="3">
        <v>3</v>
      </c>
      <c r="AE608" s="3">
        <v>3</v>
      </c>
      <c r="AF608" s="3">
        <v>19</v>
      </c>
      <c r="AG608" s="3">
        <v>19</v>
      </c>
      <c r="AH608" s="3">
        <v>9</v>
      </c>
      <c r="AI608" s="3">
        <v>9</v>
      </c>
      <c r="AJ608" s="3">
        <v>4</v>
      </c>
      <c r="AK608" s="3">
        <v>4</v>
      </c>
      <c r="AL608" s="3">
        <v>8</v>
      </c>
      <c r="AM608" s="3">
        <v>8</v>
      </c>
      <c r="AN608" s="3">
        <v>2</v>
      </c>
      <c r="AO608" s="3">
        <v>2</v>
      </c>
      <c r="AP608" s="3">
        <v>0</v>
      </c>
      <c r="AQ608" s="3">
        <v>0</v>
      </c>
      <c r="AR608" s="2" t="s">
        <v>8</v>
      </c>
      <c r="AS608" s="2" t="s">
        <v>8</v>
      </c>
      <c r="AU608" s="5" t="str">
        <f>HYPERLINK("https://creighton-primo.hosted.exlibrisgroup.com/primo-explore/search?tab=default_tab&amp;search_scope=EVERYTHING&amp;vid=01CRU&amp;lang=en_US&amp;offset=0&amp;query=any,contains,991001319269702656","Catalog Record")</f>
        <v>Catalog Record</v>
      </c>
      <c r="AV608" s="5" t="str">
        <f>HYPERLINK("http://www.worldcat.org/oclc/58604684","WorldCat Record")</f>
        <v>WorldCat Record</v>
      </c>
      <c r="AW608" s="2" t="s">
        <v>7814</v>
      </c>
      <c r="AX608" s="2" t="s">
        <v>7815</v>
      </c>
      <c r="AY608" s="2" t="s">
        <v>7816</v>
      </c>
      <c r="AZ608" s="2" t="s">
        <v>7816</v>
      </c>
      <c r="BA608" s="2" t="s">
        <v>7817</v>
      </c>
      <c r="BB608" s="2" t="s">
        <v>21</v>
      </c>
      <c r="BD608" s="2" t="s">
        <v>7818</v>
      </c>
      <c r="BE608" s="2" t="s">
        <v>7819</v>
      </c>
      <c r="BF608" s="2" t="s">
        <v>7820</v>
      </c>
    </row>
    <row r="609" spans="1:58" ht="42.75" customHeight="1" x14ac:dyDescent="0.25">
      <c r="A609" s="8" t="s">
        <v>8</v>
      </c>
      <c r="B609" s="1" t="s">
        <v>0</v>
      </c>
      <c r="C609" s="1" t="s">
        <v>1</v>
      </c>
      <c r="D609" s="1" t="s">
        <v>7821</v>
      </c>
      <c r="E609" s="1" t="s">
        <v>7822</v>
      </c>
      <c r="F609" s="1" t="s">
        <v>7823</v>
      </c>
      <c r="H609" s="2" t="s">
        <v>8</v>
      </c>
      <c r="I609" s="2" t="s">
        <v>7</v>
      </c>
      <c r="J609" s="2" t="s">
        <v>8</v>
      </c>
      <c r="K609" s="2" t="s">
        <v>8</v>
      </c>
      <c r="L609" s="2" t="s">
        <v>7</v>
      </c>
      <c r="M609" s="1" t="s">
        <v>7824</v>
      </c>
      <c r="N609" s="1" t="s">
        <v>7825</v>
      </c>
      <c r="O609" s="2" t="s">
        <v>673</v>
      </c>
      <c r="Q609" s="2" t="s">
        <v>12</v>
      </c>
      <c r="R609" s="2" t="s">
        <v>145</v>
      </c>
      <c r="S609" s="1" t="s">
        <v>7826</v>
      </c>
      <c r="T609" s="2" t="s">
        <v>14</v>
      </c>
      <c r="U609" s="3">
        <v>1</v>
      </c>
      <c r="V609" s="3">
        <v>1</v>
      </c>
      <c r="W609" s="4" t="s">
        <v>7827</v>
      </c>
      <c r="X609" s="4" t="s">
        <v>7827</v>
      </c>
      <c r="Y609" s="4" t="s">
        <v>7828</v>
      </c>
      <c r="Z609" s="4" t="s">
        <v>7828</v>
      </c>
      <c r="AA609" s="3">
        <v>106</v>
      </c>
      <c r="AB609" s="3">
        <v>93</v>
      </c>
      <c r="AC609" s="3">
        <v>313</v>
      </c>
      <c r="AD609" s="3">
        <v>1</v>
      </c>
      <c r="AE609" s="3">
        <v>2</v>
      </c>
      <c r="AF609" s="3">
        <v>11</v>
      </c>
      <c r="AG609" s="3">
        <v>17</v>
      </c>
      <c r="AH609" s="3">
        <v>4</v>
      </c>
      <c r="AI609" s="3">
        <v>7</v>
      </c>
      <c r="AJ609" s="3">
        <v>4</v>
      </c>
      <c r="AK609" s="3">
        <v>6</v>
      </c>
      <c r="AL609" s="3">
        <v>8</v>
      </c>
      <c r="AM609" s="3">
        <v>13</v>
      </c>
      <c r="AN609" s="3">
        <v>0</v>
      </c>
      <c r="AO609" s="3">
        <v>0</v>
      </c>
      <c r="AP609" s="3">
        <v>0</v>
      </c>
      <c r="AQ609" s="3">
        <v>0</v>
      </c>
      <c r="AR609" s="2" t="s">
        <v>8</v>
      </c>
      <c r="AS609" s="2" t="s">
        <v>8</v>
      </c>
      <c r="AU609" s="5" t="str">
        <f>HYPERLINK("https://creighton-primo.hosted.exlibrisgroup.com/primo-explore/search?tab=default_tab&amp;search_scope=EVERYTHING&amp;vid=01CRU&amp;lang=en_US&amp;offset=0&amp;query=any,contains,991000910429702656","Catalog Record")</f>
        <v>Catalog Record</v>
      </c>
      <c r="AV609" s="5" t="str">
        <f>HYPERLINK("http://www.worldcat.org/oclc/74968036","WorldCat Record")</f>
        <v>WorldCat Record</v>
      </c>
      <c r="AW609" s="2" t="s">
        <v>7829</v>
      </c>
      <c r="AX609" s="2" t="s">
        <v>7830</v>
      </c>
      <c r="AY609" s="2" t="s">
        <v>7831</v>
      </c>
      <c r="AZ609" s="2" t="s">
        <v>7831</v>
      </c>
      <c r="BA609" s="2" t="s">
        <v>7832</v>
      </c>
      <c r="BB609" s="2" t="s">
        <v>21</v>
      </c>
      <c r="BD609" s="2" t="s">
        <v>7833</v>
      </c>
      <c r="BE609" s="2" t="s">
        <v>7834</v>
      </c>
      <c r="BF609" s="2" t="s">
        <v>7835</v>
      </c>
    </row>
    <row r="610" spans="1:58" ht="42.75" customHeight="1" x14ac:dyDescent="0.25">
      <c r="A610" s="8" t="s">
        <v>8</v>
      </c>
      <c r="B610" s="1" t="s">
        <v>0</v>
      </c>
      <c r="C610" s="1" t="s">
        <v>1</v>
      </c>
      <c r="D610" s="1" t="s">
        <v>7836</v>
      </c>
      <c r="E610" s="1" t="s">
        <v>7837</v>
      </c>
      <c r="F610" s="1" t="s">
        <v>7838</v>
      </c>
      <c r="H610" s="2" t="s">
        <v>8</v>
      </c>
      <c r="I610" s="2" t="s">
        <v>7</v>
      </c>
      <c r="J610" s="2" t="s">
        <v>8</v>
      </c>
      <c r="K610" s="2" t="s">
        <v>8</v>
      </c>
      <c r="L610" s="2" t="s">
        <v>9</v>
      </c>
      <c r="M610" s="1" t="s">
        <v>7839</v>
      </c>
      <c r="N610" s="1" t="s">
        <v>7840</v>
      </c>
      <c r="O610" s="2" t="s">
        <v>1327</v>
      </c>
      <c r="P610" s="1" t="s">
        <v>1225</v>
      </c>
      <c r="Q610" s="2" t="s">
        <v>12</v>
      </c>
      <c r="R610" s="2" t="s">
        <v>34</v>
      </c>
      <c r="T610" s="2" t="s">
        <v>14</v>
      </c>
      <c r="U610" s="3">
        <v>4</v>
      </c>
      <c r="V610" s="3">
        <v>4</v>
      </c>
      <c r="W610" s="4" t="s">
        <v>7608</v>
      </c>
      <c r="X610" s="4" t="s">
        <v>7608</v>
      </c>
      <c r="Y610" s="4" t="s">
        <v>4417</v>
      </c>
      <c r="Z610" s="4" t="s">
        <v>4417</v>
      </c>
      <c r="AA610" s="3">
        <v>115</v>
      </c>
      <c r="AB610" s="3">
        <v>99</v>
      </c>
      <c r="AC610" s="3">
        <v>101</v>
      </c>
      <c r="AD610" s="3">
        <v>1</v>
      </c>
      <c r="AE610" s="3">
        <v>1</v>
      </c>
      <c r="AF610" s="3">
        <v>1</v>
      </c>
      <c r="AG610" s="3">
        <v>1</v>
      </c>
      <c r="AH610" s="3">
        <v>0</v>
      </c>
      <c r="AI610" s="3">
        <v>0</v>
      </c>
      <c r="AJ610" s="3">
        <v>0</v>
      </c>
      <c r="AK610" s="3">
        <v>0</v>
      </c>
      <c r="AL610" s="3">
        <v>1</v>
      </c>
      <c r="AM610" s="3">
        <v>1</v>
      </c>
      <c r="AN610" s="3">
        <v>0</v>
      </c>
      <c r="AO610" s="3">
        <v>0</v>
      </c>
      <c r="AP610" s="3">
        <v>0</v>
      </c>
      <c r="AQ610" s="3">
        <v>0</v>
      </c>
      <c r="AR610" s="2" t="s">
        <v>8</v>
      </c>
      <c r="AS610" s="2" t="s">
        <v>6</v>
      </c>
      <c r="AT610" s="5" t="str">
        <f>HYPERLINK("http://catalog.hathitrust.org/Record/000672120","HathiTrust Record")</f>
        <v>HathiTrust Record</v>
      </c>
      <c r="AU610" s="5" t="str">
        <f>HYPERLINK("https://creighton-primo.hosted.exlibrisgroup.com/primo-explore/search?tab=default_tab&amp;search_scope=EVERYTHING&amp;vid=01CRU&amp;lang=en_US&amp;offset=0&amp;query=any,contains,991001529259702656","Catalog Record")</f>
        <v>Catalog Record</v>
      </c>
      <c r="AV610" s="5" t="str">
        <f>HYPERLINK("http://www.worldcat.org/oclc/14264934","WorldCat Record")</f>
        <v>WorldCat Record</v>
      </c>
      <c r="AW610" s="2" t="s">
        <v>7841</v>
      </c>
      <c r="AX610" s="2" t="s">
        <v>7842</v>
      </c>
      <c r="AY610" s="2" t="s">
        <v>7843</v>
      </c>
      <c r="AZ610" s="2" t="s">
        <v>7843</v>
      </c>
      <c r="BA610" s="2" t="s">
        <v>7844</v>
      </c>
      <c r="BB610" s="2" t="s">
        <v>21</v>
      </c>
      <c r="BD610" s="2" t="s">
        <v>7845</v>
      </c>
      <c r="BE610" s="2" t="s">
        <v>7846</v>
      </c>
      <c r="BF610" s="2" t="s">
        <v>7847</v>
      </c>
    </row>
    <row r="611" spans="1:58" ht="42.75" customHeight="1" x14ac:dyDescent="0.25">
      <c r="A611" s="8" t="s">
        <v>8</v>
      </c>
      <c r="B611" s="1" t="s">
        <v>0</v>
      </c>
      <c r="C611" s="1" t="s">
        <v>1</v>
      </c>
      <c r="D611" s="1" t="s">
        <v>7848</v>
      </c>
      <c r="E611" s="1" t="s">
        <v>7849</v>
      </c>
      <c r="F611" s="1" t="s">
        <v>7850</v>
      </c>
      <c r="H611" s="2" t="s">
        <v>8</v>
      </c>
      <c r="I611" s="2" t="s">
        <v>7</v>
      </c>
      <c r="J611" s="2" t="s">
        <v>8</v>
      </c>
      <c r="K611" s="2" t="s">
        <v>8</v>
      </c>
      <c r="L611" s="2" t="s">
        <v>9</v>
      </c>
      <c r="M611" s="1" t="s">
        <v>7851</v>
      </c>
      <c r="N611" s="1" t="s">
        <v>7852</v>
      </c>
      <c r="O611" s="2" t="s">
        <v>194</v>
      </c>
      <c r="Q611" s="2" t="s">
        <v>12</v>
      </c>
      <c r="R611" s="2" t="s">
        <v>7008</v>
      </c>
      <c r="T611" s="2" t="s">
        <v>14</v>
      </c>
      <c r="U611" s="3">
        <v>4</v>
      </c>
      <c r="V611" s="3">
        <v>4</v>
      </c>
      <c r="W611" s="4" t="s">
        <v>7853</v>
      </c>
      <c r="X611" s="4" t="s">
        <v>7853</v>
      </c>
      <c r="Y611" s="4" t="s">
        <v>7854</v>
      </c>
      <c r="Z611" s="4" t="s">
        <v>7854</v>
      </c>
      <c r="AA611" s="3">
        <v>86</v>
      </c>
      <c r="AB611" s="3">
        <v>54</v>
      </c>
      <c r="AC611" s="3">
        <v>139</v>
      </c>
      <c r="AD611" s="3">
        <v>1</v>
      </c>
      <c r="AE611" s="3">
        <v>1</v>
      </c>
      <c r="AF611" s="3">
        <v>2</v>
      </c>
      <c r="AG611" s="3">
        <v>2</v>
      </c>
      <c r="AH611" s="3">
        <v>0</v>
      </c>
      <c r="AI611" s="3">
        <v>0</v>
      </c>
      <c r="AJ611" s="3">
        <v>0</v>
      </c>
      <c r="AK611" s="3">
        <v>0</v>
      </c>
      <c r="AL611" s="3">
        <v>2</v>
      </c>
      <c r="AM611" s="3">
        <v>2</v>
      </c>
      <c r="AN611" s="3">
        <v>0</v>
      </c>
      <c r="AO611" s="3">
        <v>0</v>
      </c>
      <c r="AP611" s="3">
        <v>0</v>
      </c>
      <c r="AQ611" s="3">
        <v>0</v>
      </c>
      <c r="AR611" s="2" t="s">
        <v>8</v>
      </c>
      <c r="AS611" s="2" t="s">
        <v>6</v>
      </c>
      <c r="AT611" s="5" t="str">
        <f>HYPERLINK("http://catalog.hathitrust.org/Record/001557883","HathiTrust Record")</f>
        <v>HathiTrust Record</v>
      </c>
      <c r="AU611" s="5" t="str">
        <f>HYPERLINK("https://creighton-primo.hosted.exlibrisgroup.com/primo-explore/search?tab=default_tab&amp;search_scope=EVERYTHING&amp;vid=01CRU&amp;lang=en_US&amp;offset=0&amp;query=any,contains,991001212329702656","Catalog Record")</f>
        <v>Catalog Record</v>
      </c>
      <c r="AV611" s="5" t="str">
        <f>HYPERLINK("http://www.worldcat.org/oclc/6240744","WorldCat Record")</f>
        <v>WorldCat Record</v>
      </c>
      <c r="AW611" s="2" t="s">
        <v>7855</v>
      </c>
      <c r="AX611" s="2" t="s">
        <v>7856</v>
      </c>
      <c r="AY611" s="2" t="s">
        <v>7857</v>
      </c>
      <c r="AZ611" s="2" t="s">
        <v>7857</v>
      </c>
      <c r="BA611" s="2" t="s">
        <v>7858</v>
      </c>
      <c r="BB611" s="2" t="s">
        <v>21</v>
      </c>
      <c r="BE611" s="2" t="s">
        <v>7859</v>
      </c>
      <c r="BF611" s="2" t="s">
        <v>7860</v>
      </c>
    </row>
    <row r="612" spans="1:58" ht="42.75" customHeight="1" x14ac:dyDescent="0.25">
      <c r="A612" s="8" t="s">
        <v>8</v>
      </c>
      <c r="B612" s="1" t="s">
        <v>0</v>
      </c>
      <c r="C612" s="1" t="s">
        <v>1</v>
      </c>
      <c r="D612" s="1" t="s">
        <v>7861</v>
      </c>
      <c r="E612" s="1" t="s">
        <v>7862</v>
      </c>
      <c r="F612" s="1" t="s">
        <v>7863</v>
      </c>
      <c r="H612" s="2" t="s">
        <v>8</v>
      </c>
      <c r="I612" s="2" t="s">
        <v>7</v>
      </c>
      <c r="J612" s="2" t="s">
        <v>8</v>
      </c>
      <c r="K612" s="2" t="s">
        <v>8</v>
      </c>
      <c r="L612" s="2" t="s">
        <v>9</v>
      </c>
      <c r="M612" s="1" t="s">
        <v>7864</v>
      </c>
      <c r="N612" s="1" t="s">
        <v>7865</v>
      </c>
      <c r="O612" s="2" t="s">
        <v>731</v>
      </c>
      <c r="Q612" s="2" t="s">
        <v>12</v>
      </c>
      <c r="R612" s="2" t="s">
        <v>933</v>
      </c>
      <c r="T612" s="2" t="s">
        <v>14</v>
      </c>
      <c r="U612" s="3">
        <v>0</v>
      </c>
      <c r="V612" s="3">
        <v>0</v>
      </c>
      <c r="W612" s="4" t="s">
        <v>1212</v>
      </c>
      <c r="X612" s="4" t="s">
        <v>1212</v>
      </c>
      <c r="Y612" s="4" t="s">
        <v>1213</v>
      </c>
      <c r="Z612" s="4" t="s">
        <v>1213</v>
      </c>
      <c r="AA612" s="3">
        <v>39</v>
      </c>
      <c r="AB612" s="3">
        <v>35</v>
      </c>
      <c r="AC612" s="3">
        <v>42</v>
      </c>
      <c r="AD612" s="3">
        <v>1</v>
      </c>
      <c r="AE612" s="3">
        <v>1</v>
      </c>
      <c r="AF612" s="3">
        <v>1</v>
      </c>
      <c r="AG612" s="3">
        <v>1</v>
      </c>
      <c r="AH612" s="3">
        <v>0</v>
      </c>
      <c r="AI612" s="3">
        <v>0</v>
      </c>
      <c r="AJ612" s="3">
        <v>0</v>
      </c>
      <c r="AK612" s="3">
        <v>0</v>
      </c>
      <c r="AL612" s="3">
        <v>1</v>
      </c>
      <c r="AM612" s="3">
        <v>1</v>
      </c>
      <c r="AN612" s="3">
        <v>0</v>
      </c>
      <c r="AO612" s="3">
        <v>0</v>
      </c>
      <c r="AP612" s="3">
        <v>0</v>
      </c>
      <c r="AQ612" s="3">
        <v>0</v>
      </c>
      <c r="AR612" s="2" t="s">
        <v>8</v>
      </c>
      <c r="AS612" s="2" t="s">
        <v>6</v>
      </c>
      <c r="AT612" s="5" t="str">
        <f>HYPERLINK("http://catalog.hathitrust.org/Record/004018201","HathiTrust Record")</f>
        <v>HathiTrust Record</v>
      </c>
      <c r="AU612" s="5" t="str">
        <f>HYPERLINK("https://creighton-primo.hosted.exlibrisgroup.com/primo-explore/search?tab=default_tab&amp;search_scope=EVERYTHING&amp;vid=01CRU&amp;lang=en_US&amp;offset=0&amp;query=any,contains,991000580909702656","Catalog Record")</f>
        <v>Catalog Record</v>
      </c>
      <c r="AV612" s="5" t="str">
        <f>HYPERLINK("http://www.worldcat.org/oclc/41123892","WorldCat Record")</f>
        <v>WorldCat Record</v>
      </c>
      <c r="AW612" s="2" t="s">
        <v>7866</v>
      </c>
      <c r="AX612" s="2" t="s">
        <v>7867</v>
      </c>
      <c r="AY612" s="2" t="s">
        <v>7868</v>
      </c>
      <c r="AZ612" s="2" t="s">
        <v>7868</v>
      </c>
      <c r="BA612" s="2" t="s">
        <v>7869</v>
      </c>
      <c r="BB612" s="2" t="s">
        <v>21</v>
      </c>
      <c r="BD612" s="2" t="s">
        <v>7870</v>
      </c>
      <c r="BE612" s="2" t="s">
        <v>7871</v>
      </c>
      <c r="BF612" s="2" t="s">
        <v>7872</v>
      </c>
    </row>
    <row r="613" spans="1:58" ht="42.75" customHeight="1" x14ac:dyDescent="0.25">
      <c r="A613" s="8" t="s">
        <v>8</v>
      </c>
      <c r="B613" s="1" t="s">
        <v>0</v>
      </c>
      <c r="C613" s="1" t="s">
        <v>1</v>
      </c>
      <c r="D613" s="1" t="s">
        <v>7873</v>
      </c>
      <c r="E613" s="1" t="s">
        <v>7874</v>
      </c>
      <c r="F613" s="1" t="s">
        <v>7875</v>
      </c>
      <c r="H613" s="2" t="s">
        <v>8</v>
      </c>
      <c r="I613" s="2" t="s">
        <v>7</v>
      </c>
      <c r="J613" s="2" t="s">
        <v>8</v>
      </c>
      <c r="K613" s="2" t="s">
        <v>6</v>
      </c>
      <c r="L613" s="2" t="s">
        <v>7</v>
      </c>
      <c r="M613" s="1" t="s">
        <v>7495</v>
      </c>
      <c r="N613" s="1" t="s">
        <v>7876</v>
      </c>
      <c r="O613" s="2" t="s">
        <v>67</v>
      </c>
      <c r="P613" s="1" t="s">
        <v>7877</v>
      </c>
      <c r="Q613" s="2" t="s">
        <v>12</v>
      </c>
      <c r="R613" s="2" t="s">
        <v>34</v>
      </c>
      <c r="T613" s="2" t="s">
        <v>14</v>
      </c>
      <c r="U613" s="3">
        <v>4</v>
      </c>
      <c r="V613" s="3">
        <v>4</v>
      </c>
      <c r="W613" s="4" t="s">
        <v>7878</v>
      </c>
      <c r="X613" s="4" t="s">
        <v>7878</v>
      </c>
      <c r="Y613" s="4" t="s">
        <v>7406</v>
      </c>
      <c r="Z613" s="4" t="s">
        <v>7406</v>
      </c>
      <c r="AA613" s="3">
        <v>146</v>
      </c>
      <c r="AB613" s="3">
        <v>123</v>
      </c>
      <c r="AC613" s="3">
        <v>1103</v>
      </c>
      <c r="AD613" s="3">
        <v>1</v>
      </c>
      <c r="AE613" s="3">
        <v>16</v>
      </c>
      <c r="AF613" s="3">
        <v>2</v>
      </c>
      <c r="AG613" s="3">
        <v>39</v>
      </c>
      <c r="AH613" s="3">
        <v>1</v>
      </c>
      <c r="AI613" s="3">
        <v>10</v>
      </c>
      <c r="AJ613" s="3">
        <v>0</v>
      </c>
      <c r="AK613" s="3">
        <v>8</v>
      </c>
      <c r="AL613" s="3">
        <v>2</v>
      </c>
      <c r="AM613" s="3">
        <v>13</v>
      </c>
      <c r="AN613" s="3">
        <v>0</v>
      </c>
      <c r="AO613" s="3">
        <v>14</v>
      </c>
      <c r="AP613" s="3">
        <v>0</v>
      </c>
      <c r="AQ613" s="3">
        <v>1</v>
      </c>
      <c r="AR613" s="2" t="s">
        <v>8</v>
      </c>
      <c r="AS613" s="2" t="s">
        <v>8</v>
      </c>
      <c r="AU613" s="5" t="str">
        <f>HYPERLINK("https://creighton-primo.hosted.exlibrisgroup.com/primo-explore/search?tab=default_tab&amp;search_scope=EVERYTHING&amp;vid=01CRU&amp;lang=en_US&amp;offset=0&amp;query=any,contains,991001542599702656","Catalog Record")</f>
        <v>Catalog Record</v>
      </c>
      <c r="AV613" s="5" t="str">
        <f>HYPERLINK("http://www.worldcat.org/oclc/11399715","WorldCat Record")</f>
        <v>WorldCat Record</v>
      </c>
      <c r="AW613" s="2" t="s">
        <v>7879</v>
      </c>
      <c r="AX613" s="2" t="s">
        <v>7880</v>
      </c>
      <c r="AY613" s="2" t="s">
        <v>7881</v>
      </c>
      <c r="AZ613" s="2" t="s">
        <v>7881</v>
      </c>
      <c r="BA613" s="2" t="s">
        <v>7882</v>
      </c>
      <c r="BB613" s="2" t="s">
        <v>21</v>
      </c>
      <c r="BD613" s="2" t="s">
        <v>7883</v>
      </c>
      <c r="BE613" s="2" t="s">
        <v>7884</v>
      </c>
      <c r="BF613" s="2" t="s">
        <v>7885</v>
      </c>
    </row>
    <row r="614" spans="1:58" ht="42.75" customHeight="1" x14ac:dyDescent="0.25">
      <c r="A614" s="8" t="s">
        <v>8</v>
      </c>
      <c r="B614" s="1" t="s">
        <v>0</v>
      </c>
      <c r="C614" s="1" t="s">
        <v>1</v>
      </c>
      <c r="D614" s="1" t="s">
        <v>7886</v>
      </c>
      <c r="E614" s="1" t="s">
        <v>7887</v>
      </c>
      <c r="F614" s="1" t="s">
        <v>7888</v>
      </c>
      <c r="H614" s="2" t="s">
        <v>8</v>
      </c>
      <c r="I614" s="2" t="s">
        <v>7</v>
      </c>
      <c r="J614" s="2" t="s">
        <v>6</v>
      </c>
      <c r="K614" s="2" t="s">
        <v>8</v>
      </c>
      <c r="L614" s="2" t="s">
        <v>9</v>
      </c>
      <c r="M614" s="1" t="s">
        <v>7889</v>
      </c>
      <c r="N614" s="1" t="s">
        <v>5442</v>
      </c>
      <c r="O614" s="2" t="s">
        <v>1327</v>
      </c>
      <c r="Q614" s="2" t="s">
        <v>12</v>
      </c>
      <c r="R614" s="2" t="s">
        <v>34</v>
      </c>
      <c r="T614" s="2" t="s">
        <v>14</v>
      </c>
      <c r="U614" s="3">
        <v>6</v>
      </c>
      <c r="V614" s="3">
        <v>6</v>
      </c>
      <c r="W614" s="4" t="s">
        <v>7890</v>
      </c>
      <c r="X614" s="4" t="s">
        <v>7890</v>
      </c>
      <c r="Y614" s="4" t="s">
        <v>7406</v>
      </c>
      <c r="Z614" s="4" t="s">
        <v>7406</v>
      </c>
      <c r="AA614" s="3">
        <v>428</v>
      </c>
      <c r="AB614" s="3">
        <v>333</v>
      </c>
      <c r="AC614" s="3">
        <v>341</v>
      </c>
      <c r="AD614" s="3">
        <v>2</v>
      </c>
      <c r="AE614" s="3">
        <v>2</v>
      </c>
      <c r="AF614" s="3">
        <v>17</v>
      </c>
      <c r="AG614" s="3">
        <v>18</v>
      </c>
      <c r="AH614" s="3">
        <v>5</v>
      </c>
      <c r="AI614" s="3">
        <v>6</v>
      </c>
      <c r="AJ614" s="3">
        <v>3</v>
      </c>
      <c r="AK614" s="3">
        <v>3</v>
      </c>
      <c r="AL614" s="3">
        <v>9</v>
      </c>
      <c r="AM614" s="3">
        <v>10</v>
      </c>
      <c r="AN614" s="3">
        <v>0</v>
      </c>
      <c r="AO614" s="3">
        <v>0</v>
      </c>
      <c r="AP614" s="3">
        <v>4</v>
      </c>
      <c r="AQ614" s="3">
        <v>4</v>
      </c>
      <c r="AR614" s="2" t="s">
        <v>8</v>
      </c>
      <c r="AS614" s="2" t="s">
        <v>6</v>
      </c>
      <c r="AT614" s="5" t="str">
        <f>HYPERLINK("http://catalog.hathitrust.org/Record/000465735","HathiTrust Record")</f>
        <v>HathiTrust Record</v>
      </c>
      <c r="AU614" s="5" t="str">
        <f>HYPERLINK("https://creighton-primo.hosted.exlibrisgroup.com/primo-explore/search?tab=default_tab&amp;search_scope=EVERYTHING&amp;vid=01CRU&amp;lang=en_US&amp;offset=0&amp;query=any,contains,991001542639702656","Catalog Record")</f>
        <v>Catalog Record</v>
      </c>
      <c r="AV614" s="5" t="str">
        <f>HYPERLINK("http://www.worldcat.org/oclc/11971183","WorldCat Record")</f>
        <v>WorldCat Record</v>
      </c>
      <c r="AW614" s="2" t="s">
        <v>7891</v>
      </c>
      <c r="AX614" s="2" t="s">
        <v>7892</v>
      </c>
      <c r="AY614" s="2" t="s">
        <v>7893</v>
      </c>
      <c r="AZ614" s="2" t="s">
        <v>7893</v>
      </c>
      <c r="BA614" s="2" t="s">
        <v>7894</v>
      </c>
      <c r="BB614" s="2" t="s">
        <v>21</v>
      </c>
      <c r="BD614" s="2" t="s">
        <v>7895</v>
      </c>
      <c r="BE614" s="2" t="s">
        <v>7896</v>
      </c>
      <c r="BF614" s="2" t="s">
        <v>7897</v>
      </c>
    </row>
    <row r="615" spans="1:58" ht="42.75" customHeight="1" x14ac:dyDescent="0.25">
      <c r="A615" s="8" t="s">
        <v>8</v>
      </c>
      <c r="B615" s="1" t="s">
        <v>0</v>
      </c>
      <c r="C615" s="1" t="s">
        <v>1</v>
      </c>
      <c r="D615" s="1" t="s">
        <v>7898</v>
      </c>
      <c r="E615" s="1" t="s">
        <v>7899</v>
      </c>
      <c r="F615" s="1" t="s">
        <v>7900</v>
      </c>
      <c r="H615" s="2" t="s">
        <v>8</v>
      </c>
      <c r="I615" s="2" t="s">
        <v>7</v>
      </c>
      <c r="J615" s="2" t="s">
        <v>8</v>
      </c>
      <c r="K615" s="2" t="s">
        <v>8</v>
      </c>
      <c r="L615" s="2" t="s">
        <v>9</v>
      </c>
      <c r="M615" s="1" t="s">
        <v>7901</v>
      </c>
      <c r="N615" s="1" t="s">
        <v>7902</v>
      </c>
      <c r="O615" s="2" t="s">
        <v>5123</v>
      </c>
      <c r="Q615" s="2" t="s">
        <v>12</v>
      </c>
      <c r="R615" s="2" t="s">
        <v>5992</v>
      </c>
      <c r="T615" s="2" t="s">
        <v>14</v>
      </c>
      <c r="U615" s="3">
        <v>2</v>
      </c>
      <c r="V615" s="3">
        <v>2</v>
      </c>
      <c r="W615" s="4" t="s">
        <v>7903</v>
      </c>
      <c r="X615" s="4" t="s">
        <v>7903</v>
      </c>
      <c r="Y615" s="4" t="s">
        <v>7406</v>
      </c>
      <c r="Z615" s="4" t="s">
        <v>7406</v>
      </c>
      <c r="AA615" s="3">
        <v>355</v>
      </c>
      <c r="AB615" s="3">
        <v>269</v>
      </c>
      <c r="AC615" s="3">
        <v>276</v>
      </c>
      <c r="AD615" s="3">
        <v>2</v>
      </c>
      <c r="AE615" s="3">
        <v>2</v>
      </c>
      <c r="AF615" s="3">
        <v>8</v>
      </c>
      <c r="AG615" s="3">
        <v>8</v>
      </c>
      <c r="AH615" s="3">
        <v>1</v>
      </c>
      <c r="AI615" s="3">
        <v>1</v>
      </c>
      <c r="AJ615" s="3">
        <v>2</v>
      </c>
      <c r="AK615" s="3">
        <v>2</v>
      </c>
      <c r="AL615" s="3">
        <v>5</v>
      </c>
      <c r="AM615" s="3">
        <v>5</v>
      </c>
      <c r="AN615" s="3">
        <v>1</v>
      </c>
      <c r="AO615" s="3">
        <v>1</v>
      </c>
      <c r="AP615" s="3">
        <v>0</v>
      </c>
      <c r="AQ615" s="3">
        <v>0</v>
      </c>
      <c r="AR615" s="2" t="s">
        <v>8</v>
      </c>
      <c r="AS615" s="2" t="s">
        <v>6</v>
      </c>
      <c r="AT615" s="5" t="str">
        <f>HYPERLINK("http://catalog.hathitrust.org/Record/001556779","HathiTrust Record")</f>
        <v>HathiTrust Record</v>
      </c>
      <c r="AU615" s="5" t="str">
        <f>HYPERLINK("https://creighton-primo.hosted.exlibrisgroup.com/primo-explore/search?tab=default_tab&amp;search_scope=EVERYTHING&amp;vid=01CRU&amp;lang=en_US&amp;offset=0&amp;query=any,contains,991001542679702656","Catalog Record")</f>
        <v>Catalog Record</v>
      </c>
      <c r="AV615" s="5" t="str">
        <f>HYPERLINK("http://www.worldcat.org/oclc/565386","WorldCat Record")</f>
        <v>WorldCat Record</v>
      </c>
      <c r="AW615" s="2" t="s">
        <v>7904</v>
      </c>
      <c r="AX615" s="2" t="s">
        <v>7905</v>
      </c>
      <c r="AY615" s="2" t="s">
        <v>7906</v>
      </c>
      <c r="AZ615" s="2" t="s">
        <v>7906</v>
      </c>
      <c r="BA615" s="2" t="s">
        <v>7907</v>
      </c>
      <c r="BB615" s="2" t="s">
        <v>21</v>
      </c>
      <c r="BE615" s="2" t="s">
        <v>7908</v>
      </c>
      <c r="BF615" s="2" t="s">
        <v>7909</v>
      </c>
    </row>
    <row r="616" spans="1:58" ht="42.75" customHeight="1" x14ac:dyDescent="0.25">
      <c r="A616" s="8" t="s">
        <v>8</v>
      </c>
      <c r="B616" s="1" t="s">
        <v>0</v>
      </c>
      <c r="C616" s="1" t="s">
        <v>1</v>
      </c>
      <c r="D616" s="1" t="s">
        <v>7910</v>
      </c>
      <c r="E616" s="1" t="s">
        <v>7911</v>
      </c>
      <c r="F616" s="1" t="s">
        <v>7912</v>
      </c>
      <c r="H616" s="2" t="s">
        <v>8</v>
      </c>
      <c r="I616" s="2" t="s">
        <v>7</v>
      </c>
      <c r="J616" s="2" t="s">
        <v>8</v>
      </c>
      <c r="K616" s="2" t="s">
        <v>6</v>
      </c>
      <c r="L616" s="2" t="s">
        <v>9</v>
      </c>
      <c r="M616" s="1" t="s">
        <v>7913</v>
      </c>
      <c r="N616" s="1" t="s">
        <v>7914</v>
      </c>
      <c r="O616" s="2" t="s">
        <v>688</v>
      </c>
      <c r="P616" s="1" t="s">
        <v>83</v>
      </c>
      <c r="Q616" s="2" t="s">
        <v>12</v>
      </c>
      <c r="R616" s="2" t="s">
        <v>577</v>
      </c>
      <c r="T616" s="2" t="s">
        <v>14</v>
      </c>
      <c r="U616" s="3">
        <v>14</v>
      </c>
      <c r="V616" s="3">
        <v>14</v>
      </c>
      <c r="W616" s="4" t="s">
        <v>7915</v>
      </c>
      <c r="X616" s="4" t="s">
        <v>7915</v>
      </c>
      <c r="Y616" s="4" t="s">
        <v>7916</v>
      </c>
      <c r="Z616" s="4" t="s">
        <v>7916</v>
      </c>
      <c r="AA616" s="3">
        <v>118</v>
      </c>
      <c r="AB616" s="3">
        <v>93</v>
      </c>
      <c r="AC616" s="3">
        <v>467</v>
      </c>
      <c r="AD616" s="3">
        <v>1</v>
      </c>
      <c r="AE616" s="3">
        <v>2</v>
      </c>
      <c r="AF616" s="3">
        <v>6</v>
      </c>
      <c r="AG616" s="3">
        <v>19</v>
      </c>
      <c r="AH616" s="3">
        <v>3</v>
      </c>
      <c r="AI616" s="3">
        <v>9</v>
      </c>
      <c r="AJ616" s="3">
        <v>1</v>
      </c>
      <c r="AK616" s="3">
        <v>4</v>
      </c>
      <c r="AL616" s="3">
        <v>4</v>
      </c>
      <c r="AM616" s="3">
        <v>8</v>
      </c>
      <c r="AN616" s="3">
        <v>0</v>
      </c>
      <c r="AO616" s="3">
        <v>1</v>
      </c>
      <c r="AP616" s="3">
        <v>0</v>
      </c>
      <c r="AQ616" s="3">
        <v>0</v>
      </c>
      <c r="AR616" s="2" t="s">
        <v>8</v>
      </c>
      <c r="AS616" s="2" t="s">
        <v>6</v>
      </c>
      <c r="AT616" s="5" t="str">
        <f>HYPERLINK("http://catalog.hathitrust.org/Record/004582234","HathiTrust Record")</f>
        <v>HathiTrust Record</v>
      </c>
      <c r="AU616" s="5" t="str">
        <f>HYPERLINK("https://creighton-primo.hosted.exlibrisgroup.com/primo-explore/search?tab=default_tab&amp;search_scope=EVERYTHING&amp;vid=01CRU&amp;lang=en_US&amp;offset=0&amp;query=any,contains,991001480319702656","Catalog Record")</f>
        <v>Catalog Record</v>
      </c>
      <c r="AV616" s="5" t="str">
        <f>HYPERLINK("http://www.worldcat.org/oclc/29478003","WorldCat Record")</f>
        <v>WorldCat Record</v>
      </c>
      <c r="AW616" s="2" t="s">
        <v>7917</v>
      </c>
      <c r="AX616" s="2" t="s">
        <v>7918</v>
      </c>
      <c r="AY616" s="2" t="s">
        <v>7919</v>
      </c>
      <c r="AZ616" s="2" t="s">
        <v>7919</v>
      </c>
      <c r="BA616" s="2" t="s">
        <v>7920</v>
      </c>
      <c r="BB616" s="2" t="s">
        <v>21</v>
      </c>
      <c r="BD616" s="2" t="s">
        <v>7921</v>
      </c>
      <c r="BE616" s="2" t="s">
        <v>7922</v>
      </c>
      <c r="BF616" s="2" t="s">
        <v>7923</v>
      </c>
    </row>
    <row r="617" spans="1:58" ht="42.75" customHeight="1" x14ac:dyDescent="0.25">
      <c r="A617" s="8" t="s">
        <v>8</v>
      </c>
      <c r="B617" s="1" t="s">
        <v>0</v>
      </c>
      <c r="C617" s="1" t="s">
        <v>1</v>
      </c>
      <c r="D617" s="1" t="s">
        <v>7924</v>
      </c>
      <c r="E617" s="1" t="s">
        <v>7925</v>
      </c>
      <c r="F617" s="1" t="s">
        <v>7926</v>
      </c>
      <c r="H617" s="2" t="s">
        <v>8</v>
      </c>
      <c r="I617" s="2" t="s">
        <v>7</v>
      </c>
      <c r="J617" s="2" t="s">
        <v>8</v>
      </c>
      <c r="K617" s="2" t="s">
        <v>8</v>
      </c>
      <c r="L617" s="2" t="s">
        <v>7</v>
      </c>
      <c r="N617" s="1" t="s">
        <v>7927</v>
      </c>
      <c r="O617" s="2" t="s">
        <v>410</v>
      </c>
      <c r="Q617" s="2" t="s">
        <v>12</v>
      </c>
      <c r="R617" s="2" t="s">
        <v>628</v>
      </c>
      <c r="T617" s="2" t="s">
        <v>14</v>
      </c>
      <c r="U617" s="3">
        <v>4</v>
      </c>
      <c r="V617" s="3">
        <v>4</v>
      </c>
      <c r="W617" s="4" t="s">
        <v>7928</v>
      </c>
      <c r="X617" s="4" t="s">
        <v>7928</v>
      </c>
      <c r="Y617" s="4" t="s">
        <v>1075</v>
      </c>
      <c r="Z617" s="4" t="s">
        <v>1075</v>
      </c>
      <c r="AA617" s="3">
        <v>478</v>
      </c>
      <c r="AB617" s="3">
        <v>381</v>
      </c>
      <c r="AC617" s="3">
        <v>1114</v>
      </c>
      <c r="AD617" s="3">
        <v>1</v>
      </c>
      <c r="AE617" s="3">
        <v>14</v>
      </c>
      <c r="AF617" s="3">
        <v>11</v>
      </c>
      <c r="AG617" s="3">
        <v>39</v>
      </c>
      <c r="AH617" s="3">
        <v>3</v>
      </c>
      <c r="AI617" s="3">
        <v>10</v>
      </c>
      <c r="AJ617" s="3">
        <v>2</v>
      </c>
      <c r="AK617" s="3">
        <v>7</v>
      </c>
      <c r="AL617" s="3">
        <v>8</v>
      </c>
      <c r="AM617" s="3">
        <v>15</v>
      </c>
      <c r="AN617" s="3">
        <v>0</v>
      </c>
      <c r="AO617" s="3">
        <v>12</v>
      </c>
      <c r="AP617" s="3">
        <v>1</v>
      </c>
      <c r="AQ617" s="3">
        <v>2</v>
      </c>
      <c r="AR617" s="2" t="s">
        <v>8</v>
      </c>
      <c r="AS617" s="2" t="s">
        <v>8</v>
      </c>
      <c r="AU617" s="5" t="str">
        <f>HYPERLINK("https://creighton-primo.hosted.exlibrisgroup.com/primo-explore/search?tab=default_tab&amp;search_scope=EVERYTHING&amp;vid=01CRU&amp;lang=en_US&amp;offset=0&amp;query=any,contains,991000322339702656","Catalog Record")</f>
        <v>Catalog Record</v>
      </c>
      <c r="AV617" s="5" t="str">
        <f>HYPERLINK("http://www.worldcat.org/oclc/28377147","WorldCat Record")</f>
        <v>WorldCat Record</v>
      </c>
      <c r="AW617" s="2" t="s">
        <v>7929</v>
      </c>
      <c r="AX617" s="2" t="s">
        <v>7930</v>
      </c>
      <c r="AY617" s="2" t="s">
        <v>7931</v>
      </c>
      <c r="AZ617" s="2" t="s">
        <v>7931</v>
      </c>
      <c r="BA617" s="2" t="s">
        <v>7932</v>
      </c>
      <c r="BB617" s="2" t="s">
        <v>21</v>
      </c>
      <c r="BD617" s="2" t="s">
        <v>7933</v>
      </c>
      <c r="BE617" s="2" t="s">
        <v>7934</v>
      </c>
      <c r="BF617" s="2" t="s">
        <v>7935</v>
      </c>
    </row>
    <row r="618" spans="1:58" ht="42.75" customHeight="1" x14ac:dyDescent="0.25">
      <c r="A618" s="8" t="s">
        <v>8</v>
      </c>
      <c r="B618" s="1" t="s">
        <v>0</v>
      </c>
      <c r="C618" s="1" t="s">
        <v>1</v>
      </c>
      <c r="D618" s="1" t="s">
        <v>7936</v>
      </c>
      <c r="E618" s="1" t="s">
        <v>7937</v>
      </c>
      <c r="F618" s="1" t="s">
        <v>7938</v>
      </c>
      <c r="H618" s="2" t="s">
        <v>8</v>
      </c>
      <c r="I618" s="2" t="s">
        <v>7</v>
      </c>
      <c r="J618" s="2" t="s">
        <v>6</v>
      </c>
      <c r="K618" s="2" t="s">
        <v>8</v>
      </c>
      <c r="L618" s="2" t="s">
        <v>9</v>
      </c>
      <c r="N618" s="1" t="s">
        <v>7939</v>
      </c>
      <c r="O618" s="2" t="s">
        <v>298</v>
      </c>
      <c r="Q618" s="2" t="s">
        <v>12</v>
      </c>
      <c r="R618" s="2" t="s">
        <v>34</v>
      </c>
      <c r="S618" s="1" t="s">
        <v>7940</v>
      </c>
      <c r="T618" s="2" t="s">
        <v>14</v>
      </c>
      <c r="U618" s="3">
        <v>4</v>
      </c>
      <c r="V618" s="3">
        <v>4</v>
      </c>
      <c r="W618" s="4" t="s">
        <v>7941</v>
      </c>
      <c r="X618" s="4" t="s">
        <v>7941</v>
      </c>
      <c r="Y618" s="4" t="s">
        <v>7406</v>
      </c>
      <c r="Z618" s="4" t="s">
        <v>7406</v>
      </c>
      <c r="AA618" s="3">
        <v>271</v>
      </c>
      <c r="AB618" s="3">
        <v>214</v>
      </c>
      <c r="AC618" s="3">
        <v>221</v>
      </c>
      <c r="AD618" s="3">
        <v>2</v>
      </c>
      <c r="AE618" s="3">
        <v>2</v>
      </c>
      <c r="AF618" s="3">
        <v>10</v>
      </c>
      <c r="AG618" s="3">
        <v>10</v>
      </c>
      <c r="AH618" s="3">
        <v>3</v>
      </c>
      <c r="AI618" s="3">
        <v>3</v>
      </c>
      <c r="AJ618" s="3">
        <v>5</v>
      </c>
      <c r="AK618" s="3">
        <v>5</v>
      </c>
      <c r="AL618" s="3">
        <v>8</v>
      </c>
      <c r="AM618" s="3">
        <v>8</v>
      </c>
      <c r="AN618" s="3">
        <v>0</v>
      </c>
      <c r="AO618" s="3">
        <v>0</v>
      </c>
      <c r="AP618" s="3">
        <v>0</v>
      </c>
      <c r="AQ618" s="3">
        <v>0</v>
      </c>
      <c r="AR618" s="2" t="s">
        <v>8</v>
      </c>
      <c r="AS618" s="2" t="s">
        <v>6</v>
      </c>
      <c r="AT618" s="5" t="str">
        <f>HYPERLINK("http://catalog.hathitrust.org/Record/000811226","HathiTrust Record")</f>
        <v>HathiTrust Record</v>
      </c>
      <c r="AU618" s="5" t="str">
        <f>HYPERLINK("https://creighton-primo.hosted.exlibrisgroup.com/primo-explore/search?tab=default_tab&amp;search_scope=EVERYTHING&amp;vid=01CRU&amp;lang=en_US&amp;offset=0&amp;query=any,contains,991000762169702656","Catalog Record")</f>
        <v>Catalog Record</v>
      </c>
      <c r="AV618" s="5" t="str">
        <f>HYPERLINK("http://www.worldcat.org/oclc/13793062","WorldCat Record")</f>
        <v>WorldCat Record</v>
      </c>
      <c r="AW618" s="2" t="s">
        <v>7942</v>
      </c>
      <c r="AX618" s="2" t="s">
        <v>7943</v>
      </c>
      <c r="AY618" s="2" t="s">
        <v>7944</v>
      </c>
      <c r="AZ618" s="2" t="s">
        <v>7944</v>
      </c>
      <c r="BA618" s="2" t="s">
        <v>7945</v>
      </c>
      <c r="BB618" s="2" t="s">
        <v>21</v>
      </c>
      <c r="BD618" s="2" t="s">
        <v>7946</v>
      </c>
      <c r="BE618" s="2" t="s">
        <v>7947</v>
      </c>
      <c r="BF618" s="2" t="s">
        <v>7948</v>
      </c>
    </row>
    <row r="619" spans="1:58" ht="42.75" customHeight="1" x14ac:dyDescent="0.25">
      <c r="A619" s="8" t="s">
        <v>8</v>
      </c>
      <c r="B619" s="1" t="s">
        <v>0</v>
      </c>
      <c r="C619" s="1" t="s">
        <v>1</v>
      </c>
      <c r="D619" s="1" t="s">
        <v>7949</v>
      </c>
      <c r="E619" s="1" t="s">
        <v>7950</v>
      </c>
      <c r="F619" s="1" t="s">
        <v>7951</v>
      </c>
      <c r="H619" s="2" t="s">
        <v>8</v>
      </c>
      <c r="I619" s="2" t="s">
        <v>7</v>
      </c>
      <c r="J619" s="2" t="s">
        <v>8</v>
      </c>
      <c r="K619" s="2" t="s">
        <v>8</v>
      </c>
      <c r="L619" s="2" t="s">
        <v>9</v>
      </c>
      <c r="M619" s="1" t="s">
        <v>7952</v>
      </c>
      <c r="N619" s="1" t="s">
        <v>7953</v>
      </c>
      <c r="O619" s="2" t="s">
        <v>51</v>
      </c>
      <c r="Q619" s="2" t="s">
        <v>12</v>
      </c>
      <c r="R619" s="2" t="s">
        <v>643</v>
      </c>
      <c r="T619" s="2" t="s">
        <v>14</v>
      </c>
      <c r="U619" s="3">
        <v>11</v>
      </c>
      <c r="V619" s="3">
        <v>11</v>
      </c>
      <c r="W619" s="4" t="s">
        <v>7954</v>
      </c>
      <c r="X619" s="4" t="s">
        <v>7954</v>
      </c>
      <c r="Y619" s="4" t="s">
        <v>7955</v>
      </c>
      <c r="Z619" s="4" t="s">
        <v>7955</v>
      </c>
      <c r="AA619" s="3">
        <v>44</v>
      </c>
      <c r="AB619" s="3">
        <v>31</v>
      </c>
      <c r="AC619" s="3">
        <v>467</v>
      </c>
      <c r="AD619" s="3">
        <v>1</v>
      </c>
      <c r="AE619" s="3">
        <v>1</v>
      </c>
      <c r="AF619" s="3">
        <v>0</v>
      </c>
      <c r="AG619" s="3">
        <v>22</v>
      </c>
      <c r="AH619" s="3">
        <v>0</v>
      </c>
      <c r="AI619" s="3">
        <v>6</v>
      </c>
      <c r="AJ619" s="3">
        <v>0</v>
      </c>
      <c r="AK619" s="3">
        <v>5</v>
      </c>
      <c r="AL619" s="3">
        <v>0</v>
      </c>
      <c r="AM619" s="3">
        <v>14</v>
      </c>
      <c r="AN619" s="3">
        <v>0</v>
      </c>
      <c r="AO619" s="3">
        <v>0</v>
      </c>
      <c r="AP619" s="3">
        <v>0</v>
      </c>
      <c r="AQ619" s="3">
        <v>3</v>
      </c>
      <c r="AR619" s="2" t="s">
        <v>8</v>
      </c>
      <c r="AS619" s="2" t="s">
        <v>8</v>
      </c>
      <c r="AU619" s="5" t="str">
        <f>HYPERLINK("https://creighton-primo.hosted.exlibrisgroup.com/primo-explore/search?tab=default_tab&amp;search_scope=EVERYTHING&amp;vid=01CRU&amp;lang=en_US&amp;offset=0&amp;query=any,contains,991001418869702656","Catalog Record")</f>
        <v>Catalog Record</v>
      </c>
      <c r="AV619" s="5" t="str">
        <f>HYPERLINK("http://www.worldcat.org/oclc/21696311","WorldCat Record")</f>
        <v>WorldCat Record</v>
      </c>
      <c r="AW619" s="2" t="s">
        <v>7956</v>
      </c>
      <c r="AX619" s="2" t="s">
        <v>7957</v>
      </c>
      <c r="AY619" s="2" t="s">
        <v>7958</v>
      </c>
      <c r="AZ619" s="2" t="s">
        <v>7958</v>
      </c>
      <c r="BA619" s="2" t="s">
        <v>7959</v>
      </c>
      <c r="BB619" s="2" t="s">
        <v>21</v>
      </c>
      <c r="BD619" s="2" t="s">
        <v>7960</v>
      </c>
      <c r="BE619" s="2" t="s">
        <v>7961</v>
      </c>
      <c r="BF619" s="2" t="s">
        <v>7962</v>
      </c>
    </row>
    <row r="620" spans="1:58" ht="42.75" customHeight="1" x14ac:dyDescent="0.25">
      <c r="A620" s="8" t="s">
        <v>8</v>
      </c>
      <c r="B620" s="1" t="s">
        <v>0</v>
      </c>
      <c r="C620" s="1" t="s">
        <v>1</v>
      </c>
      <c r="D620" s="1" t="s">
        <v>7963</v>
      </c>
      <c r="E620" s="1" t="s">
        <v>7964</v>
      </c>
      <c r="F620" s="1" t="s">
        <v>7965</v>
      </c>
      <c r="H620" s="2" t="s">
        <v>8</v>
      </c>
      <c r="I620" s="2" t="s">
        <v>7</v>
      </c>
      <c r="J620" s="2" t="s">
        <v>8</v>
      </c>
      <c r="K620" s="2" t="s">
        <v>8</v>
      </c>
      <c r="L620" s="2" t="s">
        <v>9</v>
      </c>
      <c r="M620" s="1" t="s">
        <v>7966</v>
      </c>
      <c r="N620" s="1" t="s">
        <v>7967</v>
      </c>
      <c r="O620" s="2" t="s">
        <v>266</v>
      </c>
      <c r="Q620" s="2" t="s">
        <v>12</v>
      </c>
      <c r="R620" s="2" t="s">
        <v>34</v>
      </c>
      <c r="T620" s="2" t="s">
        <v>14</v>
      </c>
      <c r="U620" s="3">
        <v>8</v>
      </c>
      <c r="V620" s="3">
        <v>8</v>
      </c>
      <c r="W620" s="4" t="s">
        <v>3232</v>
      </c>
      <c r="X620" s="4" t="s">
        <v>3232</v>
      </c>
      <c r="Y620" s="4" t="s">
        <v>7406</v>
      </c>
      <c r="Z620" s="4" t="s">
        <v>7406</v>
      </c>
      <c r="AA620" s="3">
        <v>283</v>
      </c>
      <c r="AB620" s="3">
        <v>211</v>
      </c>
      <c r="AC620" s="3">
        <v>216</v>
      </c>
      <c r="AD620" s="3">
        <v>1</v>
      </c>
      <c r="AE620" s="3">
        <v>1</v>
      </c>
      <c r="AF620" s="3">
        <v>10</v>
      </c>
      <c r="AG620" s="3">
        <v>10</v>
      </c>
      <c r="AH620" s="3">
        <v>2</v>
      </c>
      <c r="AI620" s="3">
        <v>2</v>
      </c>
      <c r="AJ620" s="3">
        <v>4</v>
      </c>
      <c r="AK620" s="3">
        <v>4</v>
      </c>
      <c r="AL620" s="3">
        <v>6</v>
      </c>
      <c r="AM620" s="3">
        <v>6</v>
      </c>
      <c r="AN620" s="3">
        <v>0</v>
      </c>
      <c r="AO620" s="3">
        <v>0</v>
      </c>
      <c r="AP620" s="3">
        <v>0</v>
      </c>
      <c r="AQ620" s="3">
        <v>0</v>
      </c>
      <c r="AR620" s="2" t="s">
        <v>8</v>
      </c>
      <c r="AS620" s="2" t="s">
        <v>8</v>
      </c>
      <c r="AU620" s="5" t="str">
        <f>HYPERLINK("https://creighton-primo.hosted.exlibrisgroup.com/primo-explore/search?tab=default_tab&amp;search_scope=EVERYTHING&amp;vid=01CRU&amp;lang=en_US&amp;offset=0&amp;query=any,contains,991001542759702656","Catalog Record")</f>
        <v>Catalog Record</v>
      </c>
      <c r="AV620" s="5" t="str">
        <f>HYPERLINK("http://www.worldcat.org/oclc/8765102","WorldCat Record")</f>
        <v>WorldCat Record</v>
      </c>
      <c r="AW620" s="2" t="s">
        <v>7968</v>
      </c>
      <c r="AX620" s="2" t="s">
        <v>7969</v>
      </c>
      <c r="AY620" s="2" t="s">
        <v>7970</v>
      </c>
      <c r="AZ620" s="2" t="s">
        <v>7970</v>
      </c>
      <c r="BA620" s="2" t="s">
        <v>7971</v>
      </c>
      <c r="BB620" s="2" t="s">
        <v>21</v>
      </c>
      <c r="BD620" s="2" t="s">
        <v>7972</v>
      </c>
      <c r="BE620" s="2" t="s">
        <v>7973</v>
      </c>
      <c r="BF620" s="2" t="s">
        <v>7974</v>
      </c>
    </row>
    <row r="621" spans="1:58" ht="42.75" customHeight="1" x14ac:dyDescent="0.25">
      <c r="A621" s="8" t="s">
        <v>8</v>
      </c>
      <c r="B621" s="1" t="s">
        <v>0</v>
      </c>
      <c r="C621" s="1" t="s">
        <v>1</v>
      </c>
      <c r="D621" s="1" t="s">
        <v>7975</v>
      </c>
      <c r="E621" s="1" t="s">
        <v>7976</v>
      </c>
      <c r="F621" s="1" t="s">
        <v>7977</v>
      </c>
      <c r="H621" s="2" t="s">
        <v>8</v>
      </c>
      <c r="I621" s="2" t="s">
        <v>7</v>
      </c>
      <c r="J621" s="2" t="s">
        <v>8</v>
      </c>
      <c r="K621" s="2" t="s">
        <v>8</v>
      </c>
      <c r="L621" s="2" t="s">
        <v>9</v>
      </c>
      <c r="M621" s="1" t="s">
        <v>7978</v>
      </c>
      <c r="N621" s="1" t="s">
        <v>7979</v>
      </c>
      <c r="O621" s="2" t="s">
        <v>224</v>
      </c>
      <c r="Q621" s="2" t="s">
        <v>12</v>
      </c>
      <c r="R621" s="2" t="s">
        <v>34</v>
      </c>
      <c r="T621" s="2" t="s">
        <v>14</v>
      </c>
      <c r="U621" s="3">
        <v>6</v>
      </c>
      <c r="V621" s="3">
        <v>6</v>
      </c>
      <c r="W621" s="4" t="s">
        <v>5308</v>
      </c>
      <c r="X621" s="4" t="s">
        <v>5308</v>
      </c>
      <c r="Y621" s="4" t="s">
        <v>7406</v>
      </c>
      <c r="Z621" s="4" t="s">
        <v>7406</v>
      </c>
      <c r="AA621" s="3">
        <v>258</v>
      </c>
      <c r="AB621" s="3">
        <v>194</v>
      </c>
      <c r="AC621" s="3">
        <v>200</v>
      </c>
      <c r="AD621" s="3">
        <v>2</v>
      </c>
      <c r="AE621" s="3">
        <v>2</v>
      </c>
      <c r="AF621" s="3">
        <v>7</v>
      </c>
      <c r="AG621" s="3">
        <v>7</v>
      </c>
      <c r="AH621" s="3">
        <v>2</v>
      </c>
      <c r="AI621" s="3">
        <v>2</v>
      </c>
      <c r="AJ621" s="3">
        <v>1</v>
      </c>
      <c r="AK621" s="3">
        <v>1</v>
      </c>
      <c r="AL621" s="3">
        <v>5</v>
      </c>
      <c r="AM621" s="3">
        <v>5</v>
      </c>
      <c r="AN621" s="3">
        <v>1</v>
      </c>
      <c r="AO621" s="3">
        <v>1</v>
      </c>
      <c r="AP621" s="3">
        <v>0</v>
      </c>
      <c r="AQ621" s="3">
        <v>0</v>
      </c>
      <c r="AR621" s="2" t="s">
        <v>8</v>
      </c>
      <c r="AS621" s="2" t="s">
        <v>6</v>
      </c>
      <c r="AT621" s="5" t="str">
        <f>HYPERLINK("http://catalog.hathitrust.org/Record/000732547","HathiTrust Record")</f>
        <v>HathiTrust Record</v>
      </c>
      <c r="AU621" s="5" t="str">
        <f>HYPERLINK("https://creighton-primo.hosted.exlibrisgroup.com/primo-explore/search?tab=default_tab&amp;search_scope=EVERYTHING&amp;vid=01CRU&amp;lang=en_US&amp;offset=0&amp;query=any,contains,991001542799702656","Catalog Record")</f>
        <v>Catalog Record</v>
      </c>
      <c r="AV621" s="5" t="str">
        <f>HYPERLINK("http://www.worldcat.org/oclc/6195862","WorldCat Record")</f>
        <v>WorldCat Record</v>
      </c>
      <c r="AW621" s="2" t="s">
        <v>7980</v>
      </c>
      <c r="AX621" s="2" t="s">
        <v>7981</v>
      </c>
      <c r="AY621" s="2" t="s">
        <v>7982</v>
      </c>
      <c r="AZ621" s="2" t="s">
        <v>7982</v>
      </c>
      <c r="BA621" s="2" t="s">
        <v>7983</v>
      </c>
      <c r="BB621" s="2" t="s">
        <v>21</v>
      </c>
      <c r="BD621" s="2" t="s">
        <v>7984</v>
      </c>
      <c r="BE621" s="2" t="s">
        <v>7985</v>
      </c>
      <c r="BF621" s="2" t="s">
        <v>7986</v>
      </c>
    </row>
    <row r="622" spans="1:58" ht="42.75" customHeight="1" x14ac:dyDescent="0.25">
      <c r="A622" s="8" t="s">
        <v>8</v>
      </c>
      <c r="B622" s="1" t="s">
        <v>0</v>
      </c>
      <c r="C622" s="1" t="s">
        <v>1</v>
      </c>
      <c r="D622" s="1" t="s">
        <v>7987</v>
      </c>
      <c r="E622" s="1" t="s">
        <v>7988</v>
      </c>
      <c r="F622" s="1" t="s">
        <v>7989</v>
      </c>
      <c r="H622" s="2" t="s">
        <v>8</v>
      </c>
      <c r="I622" s="2" t="s">
        <v>7</v>
      </c>
      <c r="J622" s="2" t="s">
        <v>8</v>
      </c>
      <c r="K622" s="2" t="s">
        <v>8</v>
      </c>
      <c r="L622" s="2" t="s">
        <v>7</v>
      </c>
      <c r="M622" s="1" t="s">
        <v>7990</v>
      </c>
      <c r="N622" s="1" t="s">
        <v>7991</v>
      </c>
      <c r="O622" s="2" t="s">
        <v>657</v>
      </c>
      <c r="Q622" s="2" t="s">
        <v>12</v>
      </c>
      <c r="R622" s="2" t="s">
        <v>643</v>
      </c>
      <c r="T622" s="2" t="s">
        <v>14</v>
      </c>
      <c r="U622" s="3">
        <v>6</v>
      </c>
      <c r="V622" s="3">
        <v>6</v>
      </c>
      <c r="W622" s="4" t="s">
        <v>894</v>
      </c>
      <c r="X622" s="4" t="s">
        <v>894</v>
      </c>
      <c r="Y622" s="4" t="s">
        <v>7992</v>
      </c>
      <c r="Z622" s="4" t="s">
        <v>7992</v>
      </c>
      <c r="AA622" s="3">
        <v>267</v>
      </c>
      <c r="AB622" s="3">
        <v>213</v>
      </c>
      <c r="AC622" s="3">
        <v>1119</v>
      </c>
      <c r="AD622" s="3">
        <v>1</v>
      </c>
      <c r="AE622" s="3">
        <v>14</v>
      </c>
      <c r="AF622" s="3">
        <v>10</v>
      </c>
      <c r="AG622" s="3">
        <v>48</v>
      </c>
      <c r="AH622" s="3">
        <v>4</v>
      </c>
      <c r="AI622" s="3">
        <v>15</v>
      </c>
      <c r="AJ622" s="3">
        <v>3</v>
      </c>
      <c r="AK622" s="3">
        <v>11</v>
      </c>
      <c r="AL622" s="3">
        <v>4</v>
      </c>
      <c r="AM622" s="3">
        <v>15</v>
      </c>
      <c r="AN622" s="3">
        <v>0</v>
      </c>
      <c r="AO622" s="3">
        <v>12</v>
      </c>
      <c r="AP622" s="3">
        <v>1</v>
      </c>
      <c r="AQ622" s="3">
        <v>3</v>
      </c>
      <c r="AR622" s="2" t="s">
        <v>8</v>
      </c>
      <c r="AS622" s="2" t="s">
        <v>6</v>
      </c>
      <c r="AT622" s="5" t="str">
        <f>HYPERLINK("http://catalog.hathitrust.org/Record/004196764","HathiTrust Record")</f>
        <v>HathiTrust Record</v>
      </c>
      <c r="AU622" s="5" t="str">
        <f>HYPERLINK("https://creighton-primo.hosted.exlibrisgroup.com/primo-explore/search?tab=default_tab&amp;search_scope=EVERYTHING&amp;vid=01CRU&amp;lang=en_US&amp;offset=0&amp;query=any,contains,991000400289702656","Catalog Record")</f>
        <v>Catalog Record</v>
      </c>
      <c r="AV622" s="5" t="str">
        <f>HYPERLINK("http://www.worldcat.org/oclc/44545309","WorldCat Record")</f>
        <v>WorldCat Record</v>
      </c>
      <c r="AW622" s="2" t="s">
        <v>7993</v>
      </c>
      <c r="AX622" s="2" t="s">
        <v>7994</v>
      </c>
      <c r="AY622" s="2" t="s">
        <v>7995</v>
      </c>
      <c r="AZ622" s="2" t="s">
        <v>7995</v>
      </c>
      <c r="BA622" s="2" t="s">
        <v>7996</v>
      </c>
      <c r="BB622" s="2" t="s">
        <v>21</v>
      </c>
      <c r="BD622" s="2" t="s">
        <v>7997</v>
      </c>
      <c r="BE622" s="2" t="s">
        <v>7998</v>
      </c>
      <c r="BF622" s="2" t="s">
        <v>7999</v>
      </c>
    </row>
    <row r="623" spans="1:58" ht="42.75" customHeight="1" x14ac:dyDescent="0.25">
      <c r="A623" s="8" t="s">
        <v>8</v>
      </c>
      <c r="B623" s="1" t="s">
        <v>0</v>
      </c>
      <c r="C623" s="1" t="s">
        <v>1</v>
      </c>
      <c r="D623" s="1" t="s">
        <v>8000</v>
      </c>
      <c r="E623" s="1" t="s">
        <v>8001</v>
      </c>
      <c r="F623" s="1" t="s">
        <v>8002</v>
      </c>
      <c r="H623" s="2" t="s">
        <v>8</v>
      </c>
      <c r="I623" s="2" t="s">
        <v>7</v>
      </c>
      <c r="J623" s="2" t="s">
        <v>8</v>
      </c>
      <c r="K623" s="2" t="s">
        <v>8</v>
      </c>
      <c r="L623" s="2" t="s">
        <v>9</v>
      </c>
      <c r="M623" s="1" t="s">
        <v>8003</v>
      </c>
      <c r="N623" s="1" t="s">
        <v>8004</v>
      </c>
      <c r="O623" s="2" t="s">
        <v>731</v>
      </c>
      <c r="Q623" s="2" t="s">
        <v>12</v>
      </c>
      <c r="R623" s="2" t="s">
        <v>628</v>
      </c>
      <c r="T623" s="2" t="s">
        <v>14</v>
      </c>
      <c r="U623" s="3">
        <v>5</v>
      </c>
      <c r="V623" s="3">
        <v>5</v>
      </c>
      <c r="W623" s="4" t="s">
        <v>6665</v>
      </c>
      <c r="X623" s="4" t="s">
        <v>6665</v>
      </c>
      <c r="Y623" s="4" t="s">
        <v>2700</v>
      </c>
      <c r="Z623" s="4" t="s">
        <v>2700</v>
      </c>
      <c r="AA623" s="3">
        <v>104</v>
      </c>
      <c r="AB623" s="3">
        <v>84</v>
      </c>
      <c r="AC623" s="3">
        <v>87</v>
      </c>
      <c r="AD623" s="3">
        <v>2</v>
      </c>
      <c r="AE623" s="3">
        <v>2</v>
      </c>
      <c r="AF623" s="3">
        <v>5</v>
      </c>
      <c r="AG623" s="3">
        <v>5</v>
      </c>
      <c r="AH623" s="3">
        <v>0</v>
      </c>
      <c r="AI623" s="3">
        <v>0</v>
      </c>
      <c r="AJ623" s="3">
        <v>1</v>
      </c>
      <c r="AK623" s="3">
        <v>1</v>
      </c>
      <c r="AL623" s="3">
        <v>3</v>
      </c>
      <c r="AM623" s="3">
        <v>3</v>
      </c>
      <c r="AN623" s="3">
        <v>1</v>
      </c>
      <c r="AO623" s="3">
        <v>1</v>
      </c>
      <c r="AP623" s="3">
        <v>0</v>
      </c>
      <c r="AQ623" s="3">
        <v>0</v>
      </c>
      <c r="AR623" s="2" t="s">
        <v>8</v>
      </c>
      <c r="AS623" s="2" t="s">
        <v>6</v>
      </c>
      <c r="AT623" s="5" t="str">
        <f>HYPERLINK("http://catalog.hathitrust.org/Record/003983900","HathiTrust Record")</f>
        <v>HathiTrust Record</v>
      </c>
      <c r="AU623" s="5" t="str">
        <f>HYPERLINK("https://creighton-primo.hosted.exlibrisgroup.com/primo-explore/search?tab=default_tab&amp;search_scope=EVERYTHING&amp;vid=01CRU&amp;lang=en_US&amp;offset=0&amp;query=any,contains,991000692329702656","Catalog Record")</f>
        <v>Catalog Record</v>
      </c>
      <c r="AV623" s="5" t="str">
        <f>HYPERLINK("http://www.worldcat.org/oclc/37001359","WorldCat Record")</f>
        <v>WorldCat Record</v>
      </c>
      <c r="AW623" s="2" t="s">
        <v>8005</v>
      </c>
      <c r="AX623" s="2" t="s">
        <v>8006</v>
      </c>
      <c r="AY623" s="2" t="s">
        <v>8007</v>
      </c>
      <c r="AZ623" s="2" t="s">
        <v>8007</v>
      </c>
      <c r="BA623" s="2" t="s">
        <v>8008</v>
      </c>
      <c r="BB623" s="2" t="s">
        <v>21</v>
      </c>
      <c r="BD623" s="2" t="s">
        <v>8009</v>
      </c>
      <c r="BE623" s="2" t="s">
        <v>8010</v>
      </c>
      <c r="BF623" s="2" t="s">
        <v>8011</v>
      </c>
    </row>
    <row r="624" spans="1:58" ht="42.75" customHeight="1" x14ac:dyDescent="0.25">
      <c r="A624" s="8" t="s">
        <v>8</v>
      </c>
      <c r="B624" s="1" t="s">
        <v>0</v>
      </c>
      <c r="C624" s="1" t="s">
        <v>1</v>
      </c>
      <c r="D624" s="1" t="s">
        <v>8012</v>
      </c>
      <c r="E624" s="1" t="s">
        <v>8013</v>
      </c>
      <c r="F624" s="1" t="s">
        <v>8014</v>
      </c>
      <c r="H624" s="2" t="s">
        <v>8</v>
      </c>
      <c r="I624" s="2" t="s">
        <v>7</v>
      </c>
      <c r="J624" s="2" t="s">
        <v>8</v>
      </c>
      <c r="K624" s="2" t="s">
        <v>8</v>
      </c>
      <c r="L624" s="2" t="s">
        <v>9</v>
      </c>
      <c r="M624" s="1" t="s">
        <v>8015</v>
      </c>
      <c r="N624" s="1" t="s">
        <v>8016</v>
      </c>
      <c r="O624" s="2" t="s">
        <v>673</v>
      </c>
      <c r="Q624" s="2" t="s">
        <v>12</v>
      </c>
      <c r="R624" s="2" t="s">
        <v>643</v>
      </c>
      <c r="T624" s="2" t="s">
        <v>14</v>
      </c>
      <c r="U624" s="3">
        <v>0</v>
      </c>
      <c r="V624" s="3">
        <v>0</v>
      </c>
      <c r="W624" s="4" t="s">
        <v>8017</v>
      </c>
      <c r="X624" s="4" t="s">
        <v>8017</v>
      </c>
      <c r="Y624" s="4" t="s">
        <v>8018</v>
      </c>
      <c r="Z624" s="4" t="s">
        <v>8018</v>
      </c>
      <c r="AA624" s="3">
        <v>153</v>
      </c>
      <c r="AB624" s="3">
        <v>105</v>
      </c>
      <c r="AC624" s="3">
        <v>125</v>
      </c>
      <c r="AD624" s="3">
        <v>1</v>
      </c>
      <c r="AE624" s="3">
        <v>1</v>
      </c>
      <c r="AF624" s="3">
        <v>5</v>
      </c>
      <c r="AG624" s="3">
        <v>5</v>
      </c>
      <c r="AH624" s="3">
        <v>1</v>
      </c>
      <c r="AI624" s="3">
        <v>1</v>
      </c>
      <c r="AJ624" s="3">
        <v>2</v>
      </c>
      <c r="AK624" s="3">
        <v>2</v>
      </c>
      <c r="AL624" s="3">
        <v>3</v>
      </c>
      <c r="AM624" s="3">
        <v>3</v>
      </c>
      <c r="AN624" s="3">
        <v>0</v>
      </c>
      <c r="AO624" s="3">
        <v>0</v>
      </c>
      <c r="AP624" s="3">
        <v>1</v>
      </c>
      <c r="AQ624" s="3">
        <v>1</v>
      </c>
      <c r="AR624" s="2" t="s">
        <v>8</v>
      </c>
      <c r="AS624" s="2" t="s">
        <v>8</v>
      </c>
      <c r="AU624" s="5" t="str">
        <f>HYPERLINK("https://creighton-primo.hosted.exlibrisgroup.com/primo-explore/search?tab=default_tab&amp;search_scope=EVERYTHING&amp;vid=01CRU&amp;lang=en_US&amp;offset=0&amp;query=any,contains,991000661579702656","Catalog Record")</f>
        <v>Catalog Record</v>
      </c>
      <c r="AV624" s="5" t="str">
        <f>HYPERLINK("http://www.worldcat.org/oclc/76064682","WorldCat Record")</f>
        <v>WorldCat Record</v>
      </c>
      <c r="AW624" s="2" t="s">
        <v>8019</v>
      </c>
      <c r="AX624" s="2" t="s">
        <v>8020</v>
      </c>
      <c r="AY624" s="2" t="s">
        <v>8021</v>
      </c>
      <c r="AZ624" s="2" t="s">
        <v>8021</v>
      </c>
      <c r="BA624" s="2" t="s">
        <v>8022</v>
      </c>
      <c r="BB624" s="2" t="s">
        <v>21</v>
      </c>
      <c r="BD624" s="2" t="s">
        <v>8023</v>
      </c>
      <c r="BE624" s="2" t="s">
        <v>8024</v>
      </c>
      <c r="BF624" s="2" t="s">
        <v>8025</v>
      </c>
    </row>
    <row r="625" spans="1:58" ht="42.75" customHeight="1" x14ac:dyDescent="0.25">
      <c r="A625" s="8" t="s">
        <v>8</v>
      </c>
      <c r="B625" s="1" t="s">
        <v>0</v>
      </c>
      <c r="C625" s="1" t="s">
        <v>1</v>
      </c>
      <c r="D625" s="1" t="s">
        <v>8026</v>
      </c>
      <c r="E625" s="1" t="s">
        <v>8027</v>
      </c>
      <c r="F625" s="1" t="s">
        <v>8028</v>
      </c>
      <c r="H625" s="2" t="s">
        <v>8</v>
      </c>
      <c r="I625" s="2" t="s">
        <v>7</v>
      </c>
      <c r="J625" s="2" t="s">
        <v>8</v>
      </c>
      <c r="K625" s="2" t="s">
        <v>8</v>
      </c>
      <c r="L625" s="2" t="s">
        <v>9</v>
      </c>
      <c r="M625" s="1" t="s">
        <v>8029</v>
      </c>
      <c r="N625" s="1" t="s">
        <v>8030</v>
      </c>
      <c r="O625" s="2" t="s">
        <v>67</v>
      </c>
      <c r="Q625" s="2" t="s">
        <v>12</v>
      </c>
      <c r="R625" s="2" t="s">
        <v>34</v>
      </c>
      <c r="T625" s="2" t="s">
        <v>14</v>
      </c>
      <c r="U625" s="3">
        <v>13</v>
      </c>
      <c r="V625" s="3">
        <v>13</v>
      </c>
      <c r="W625" s="4" t="s">
        <v>8031</v>
      </c>
      <c r="X625" s="4" t="s">
        <v>8031</v>
      </c>
      <c r="Y625" s="4" t="s">
        <v>8032</v>
      </c>
      <c r="Z625" s="4" t="s">
        <v>8032</v>
      </c>
      <c r="AA625" s="3">
        <v>303</v>
      </c>
      <c r="AB625" s="3">
        <v>273</v>
      </c>
      <c r="AC625" s="3">
        <v>281</v>
      </c>
      <c r="AD625" s="3">
        <v>2</v>
      </c>
      <c r="AE625" s="3">
        <v>2</v>
      </c>
      <c r="AF625" s="3">
        <v>24</v>
      </c>
      <c r="AG625" s="3">
        <v>25</v>
      </c>
      <c r="AH625" s="3">
        <v>4</v>
      </c>
      <c r="AI625" s="3">
        <v>5</v>
      </c>
      <c r="AJ625" s="3">
        <v>3</v>
      </c>
      <c r="AK625" s="3">
        <v>3</v>
      </c>
      <c r="AL625" s="3">
        <v>9</v>
      </c>
      <c r="AM625" s="3">
        <v>10</v>
      </c>
      <c r="AN625" s="3">
        <v>1</v>
      </c>
      <c r="AO625" s="3">
        <v>1</v>
      </c>
      <c r="AP625" s="3">
        <v>10</v>
      </c>
      <c r="AQ625" s="3">
        <v>10</v>
      </c>
      <c r="AR625" s="2" t="s">
        <v>8</v>
      </c>
      <c r="AS625" s="2" t="s">
        <v>6</v>
      </c>
      <c r="AT625" s="5" t="str">
        <f>HYPERLINK("http://catalog.hathitrust.org/Record/000356251","HathiTrust Record")</f>
        <v>HathiTrust Record</v>
      </c>
      <c r="AU625" s="5" t="str">
        <f>HYPERLINK("https://creighton-primo.hosted.exlibrisgroup.com/primo-explore/search?tab=default_tab&amp;search_scope=EVERYTHING&amp;vid=01CRU&amp;lang=en_US&amp;offset=0&amp;query=any,contains,991001424359702656","Catalog Record")</f>
        <v>Catalog Record</v>
      </c>
      <c r="AV625" s="5" t="str">
        <f>HYPERLINK("http://www.worldcat.org/oclc/12081739","WorldCat Record")</f>
        <v>WorldCat Record</v>
      </c>
      <c r="AW625" s="2" t="s">
        <v>8033</v>
      </c>
      <c r="AX625" s="2" t="s">
        <v>8034</v>
      </c>
      <c r="AY625" s="2" t="s">
        <v>8035</v>
      </c>
      <c r="AZ625" s="2" t="s">
        <v>8035</v>
      </c>
      <c r="BA625" s="2" t="s">
        <v>8036</v>
      </c>
      <c r="BB625" s="2" t="s">
        <v>21</v>
      </c>
      <c r="BD625" s="2" t="s">
        <v>8037</v>
      </c>
      <c r="BE625" s="2" t="s">
        <v>8038</v>
      </c>
      <c r="BF625" s="2" t="s">
        <v>8039</v>
      </c>
    </row>
    <row r="626" spans="1:58" ht="42.75" customHeight="1" x14ac:dyDescent="0.25">
      <c r="A626" s="8" t="s">
        <v>8</v>
      </c>
      <c r="B626" s="1" t="s">
        <v>0</v>
      </c>
      <c r="C626" s="1" t="s">
        <v>1</v>
      </c>
      <c r="D626" s="1" t="s">
        <v>8040</v>
      </c>
      <c r="E626" s="1" t="s">
        <v>8041</v>
      </c>
      <c r="F626" s="1" t="s">
        <v>8042</v>
      </c>
      <c r="H626" s="2" t="s">
        <v>8</v>
      </c>
      <c r="I626" s="2" t="s">
        <v>7</v>
      </c>
      <c r="J626" s="2" t="s">
        <v>8</v>
      </c>
      <c r="K626" s="2" t="s">
        <v>6</v>
      </c>
      <c r="L626" s="2" t="s">
        <v>9</v>
      </c>
      <c r="M626" s="1" t="s">
        <v>8043</v>
      </c>
      <c r="N626" s="1" t="s">
        <v>8044</v>
      </c>
      <c r="O626" s="2" t="s">
        <v>1629</v>
      </c>
      <c r="Q626" s="2" t="s">
        <v>12</v>
      </c>
      <c r="R626" s="2" t="s">
        <v>34</v>
      </c>
      <c r="T626" s="2" t="s">
        <v>14</v>
      </c>
      <c r="U626" s="3">
        <v>15</v>
      </c>
      <c r="V626" s="3">
        <v>15</v>
      </c>
      <c r="W626" s="4" t="s">
        <v>239</v>
      </c>
      <c r="X626" s="4" t="s">
        <v>239</v>
      </c>
      <c r="Y626" s="4" t="s">
        <v>7406</v>
      </c>
      <c r="Z626" s="4" t="s">
        <v>7406</v>
      </c>
      <c r="AA626" s="3">
        <v>570</v>
      </c>
      <c r="AB626" s="3">
        <v>505</v>
      </c>
      <c r="AC626" s="3">
        <v>685</v>
      </c>
      <c r="AD626" s="3">
        <v>3</v>
      </c>
      <c r="AE626" s="3">
        <v>3</v>
      </c>
      <c r="AF626" s="3">
        <v>29</v>
      </c>
      <c r="AG626" s="3">
        <v>41</v>
      </c>
      <c r="AH626" s="3">
        <v>5</v>
      </c>
      <c r="AI626" s="3">
        <v>12</v>
      </c>
      <c r="AJ626" s="3">
        <v>5</v>
      </c>
      <c r="AK626" s="3">
        <v>6</v>
      </c>
      <c r="AL626" s="3">
        <v>15</v>
      </c>
      <c r="AM626" s="3">
        <v>19</v>
      </c>
      <c r="AN626" s="3">
        <v>0</v>
      </c>
      <c r="AO626" s="3">
        <v>0</v>
      </c>
      <c r="AP626" s="3">
        <v>9</v>
      </c>
      <c r="AQ626" s="3">
        <v>13</v>
      </c>
      <c r="AR626" s="2" t="s">
        <v>8</v>
      </c>
      <c r="AS626" s="2" t="s">
        <v>6</v>
      </c>
      <c r="AT626" s="5" t="str">
        <f>HYPERLINK("http://catalog.hathitrust.org/Record/000335768","HathiTrust Record")</f>
        <v>HathiTrust Record</v>
      </c>
      <c r="AU626" s="5" t="str">
        <f>HYPERLINK("https://creighton-primo.hosted.exlibrisgroup.com/primo-explore/search?tab=default_tab&amp;search_scope=EVERYTHING&amp;vid=01CRU&amp;lang=en_US&amp;offset=0&amp;query=any,contains,991001542879702656","Catalog Record")</f>
        <v>Catalog Record</v>
      </c>
      <c r="AV626" s="5" t="str">
        <f>HYPERLINK("http://www.worldcat.org/oclc/10230081","WorldCat Record")</f>
        <v>WorldCat Record</v>
      </c>
      <c r="AW626" s="2" t="s">
        <v>8045</v>
      </c>
      <c r="AX626" s="2" t="s">
        <v>8046</v>
      </c>
      <c r="AY626" s="2" t="s">
        <v>8047</v>
      </c>
      <c r="AZ626" s="2" t="s">
        <v>8047</v>
      </c>
      <c r="BA626" s="2" t="s">
        <v>8048</v>
      </c>
      <c r="BB626" s="2" t="s">
        <v>21</v>
      </c>
      <c r="BE626" s="2" t="s">
        <v>8049</v>
      </c>
      <c r="BF626" s="2" t="s">
        <v>8050</v>
      </c>
    </row>
    <row r="627" spans="1:58" ht="42.75" customHeight="1" x14ac:dyDescent="0.25">
      <c r="A627" s="8" t="s">
        <v>8</v>
      </c>
      <c r="B627" s="1" t="s">
        <v>0</v>
      </c>
      <c r="C627" s="1" t="s">
        <v>1</v>
      </c>
      <c r="D627" s="1" t="s">
        <v>8051</v>
      </c>
      <c r="E627" s="1" t="s">
        <v>8052</v>
      </c>
      <c r="F627" s="1" t="s">
        <v>8053</v>
      </c>
      <c r="H627" s="2" t="s">
        <v>8</v>
      </c>
      <c r="I627" s="2" t="s">
        <v>7</v>
      </c>
      <c r="J627" s="2" t="s">
        <v>6</v>
      </c>
      <c r="K627" s="2" t="s">
        <v>8</v>
      </c>
      <c r="L627" s="2" t="s">
        <v>9</v>
      </c>
      <c r="M627" s="1" t="s">
        <v>8054</v>
      </c>
      <c r="N627" s="1" t="s">
        <v>8055</v>
      </c>
      <c r="O627" s="2" t="s">
        <v>266</v>
      </c>
      <c r="Q627" s="2" t="s">
        <v>12</v>
      </c>
      <c r="R627" s="2" t="s">
        <v>643</v>
      </c>
      <c r="T627" s="2" t="s">
        <v>14</v>
      </c>
      <c r="U627" s="3">
        <v>2</v>
      </c>
      <c r="V627" s="3">
        <v>2</v>
      </c>
      <c r="W627" s="4" t="s">
        <v>7915</v>
      </c>
      <c r="X627" s="4" t="s">
        <v>7915</v>
      </c>
      <c r="Y627" s="4" t="s">
        <v>7406</v>
      </c>
      <c r="Z627" s="4" t="s">
        <v>7406</v>
      </c>
      <c r="AA627" s="3">
        <v>100</v>
      </c>
      <c r="AB627" s="3">
        <v>55</v>
      </c>
      <c r="AC627" s="3">
        <v>113</v>
      </c>
      <c r="AD627" s="3">
        <v>2</v>
      </c>
      <c r="AE627" s="3">
        <v>2</v>
      </c>
      <c r="AF627" s="3">
        <v>0</v>
      </c>
      <c r="AG627" s="3">
        <v>1</v>
      </c>
      <c r="AH627" s="3">
        <v>0</v>
      </c>
      <c r="AI627" s="3">
        <v>0</v>
      </c>
      <c r="AJ627" s="3">
        <v>0</v>
      </c>
      <c r="AK627" s="3">
        <v>0</v>
      </c>
      <c r="AL627" s="3">
        <v>0</v>
      </c>
      <c r="AM627" s="3">
        <v>1</v>
      </c>
      <c r="AN627" s="3">
        <v>0</v>
      </c>
      <c r="AO627" s="3">
        <v>0</v>
      </c>
      <c r="AP627" s="3">
        <v>0</v>
      </c>
      <c r="AQ627" s="3">
        <v>0</v>
      </c>
      <c r="AR627" s="2" t="s">
        <v>8</v>
      </c>
      <c r="AS627" s="2" t="s">
        <v>8</v>
      </c>
      <c r="AU627" s="5" t="str">
        <f>HYPERLINK("https://creighton-primo.hosted.exlibrisgroup.com/primo-explore/search?tab=default_tab&amp;search_scope=EVERYTHING&amp;vid=01CRU&amp;lang=en_US&amp;offset=0&amp;query=any,contains,991001542919702656","Catalog Record")</f>
        <v>Catalog Record</v>
      </c>
      <c r="AV627" s="5" t="str">
        <f>HYPERLINK("http://www.worldcat.org/oclc/8410246","WorldCat Record")</f>
        <v>WorldCat Record</v>
      </c>
      <c r="AW627" s="2" t="s">
        <v>8056</v>
      </c>
      <c r="AX627" s="2" t="s">
        <v>8057</v>
      </c>
      <c r="AY627" s="2" t="s">
        <v>8058</v>
      </c>
      <c r="AZ627" s="2" t="s">
        <v>8058</v>
      </c>
      <c r="BA627" s="2" t="s">
        <v>8059</v>
      </c>
      <c r="BB627" s="2" t="s">
        <v>21</v>
      </c>
      <c r="BD627" s="2" t="s">
        <v>8060</v>
      </c>
      <c r="BE627" s="2" t="s">
        <v>8061</v>
      </c>
      <c r="BF627" s="2" t="s">
        <v>8062</v>
      </c>
    </row>
    <row r="628" spans="1:58" ht="42.75" customHeight="1" x14ac:dyDescent="0.25">
      <c r="A628" s="8" t="s">
        <v>8</v>
      </c>
      <c r="B628" s="1" t="s">
        <v>0</v>
      </c>
      <c r="C628" s="1" t="s">
        <v>1</v>
      </c>
      <c r="D628" s="1" t="s">
        <v>8063</v>
      </c>
      <c r="E628" s="1" t="s">
        <v>8064</v>
      </c>
      <c r="F628" s="1" t="s">
        <v>8065</v>
      </c>
      <c r="H628" s="2" t="s">
        <v>8</v>
      </c>
      <c r="I628" s="2" t="s">
        <v>7</v>
      </c>
      <c r="J628" s="2" t="s">
        <v>8</v>
      </c>
      <c r="K628" s="2" t="s">
        <v>8</v>
      </c>
      <c r="L628" s="2" t="s">
        <v>9</v>
      </c>
      <c r="M628" s="1" t="s">
        <v>8066</v>
      </c>
      <c r="N628" s="1" t="s">
        <v>747</v>
      </c>
      <c r="O628" s="2" t="s">
        <v>266</v>
      </c>
      <c r="Q628" s="2" t="s">
        <v>12</v>
      </c>
      <c r="R628" s="2" t="s">
        <v>34</v>
      </c>
      <c r="T628" s="2" t="s">
        <v>14</v>
      </c>
      <c r="U628" s="3">
        <v>8</v>
      </c>
      <c r="V628" s="3">
        <v>8</v>
      </c>
      <c r="W628" s="4" t="s">
        <v>8067</v>
      </c>
      <c r="X628" s="4" t="s">
        <v>8067</v>
      </c>
      <c r="Y628" s="4" t="s">
        <v>7406</v>
      </c>
      <c r="Z628" s="4" t="s">
        <v>7406</v>
      </c>
      <c r="AA628" s="3">
        <v>30</v>
      </c>
      <c r="AB628" s="3">
        <v>30</v>
      </c>
      <c r="AC628" s="3">
        <v>231</v>
      </c>
      <c r="AD628" s="3">
        <v>1</v>
      </c>
      <c r="AE628" s="3">
        <v>1</v>
      </c>
      <c r="AF628" s="3">
        <v>0</v>
      </c>
      <c r="AG628" s="3">
        <v>8</v>
      </c>
      <c r="AH628" s="3">
        <v>0</v>
      </c>
      <c r="AI628" s="3">
        <v>3</v>
      </c>
      <c r="AJ628" s="3">
        <v>0</v>
      </c>
      <c r="AK628" s="3">
        <v>1</v>
      </c>
      <c r="AL628" s="3">
        <v>0</v>
      </c>
      <c r="AM628" s="3">
        <v>7</v>
      </c>
      <c r="AN628" s="3">
        <v>0</v>
      </c>
      <c r="AO628" s="3">
        <v>0</v>
      </c>
      <c r="AP628" s="3">
        <v>0</v>
      </c>
      <c r="AQ628" s="3">
        <v>0</v>
      </c>
      <c r="AR628" s="2" t="s">
        <v>8</v>
      </c>
      <c r="AS628" s="2" t="s">
        <v>8</v>
      </c>
      <c r="AU628" s="5" t="str">
        <f>HYPERLINK("https://creighton-primo.hosted.exlibrisgroup.com/primo-explore/search?tab=default_tab&amp;search_scope=EVERYTHING&amp;vid=01CRU&amp;lang=en_US&amp;offset=0&amp;query=any,contains,991001542989702656","Catalog Record")</f>
        <v>Catalog Record</v>
      </c>
      <c r="AV628" s="5" t="str">
        <f>HYPERLINK("http://www.worldcat.org/oclc/8765350","WorldCat Record")</f>
        <v>WorldCat Record</v>
      </c>
      <c r="AW628" s="2" t="s">
        <v>8068</v>
      </c>
      <c r="AX628" s="2" t="s">
        <v>8069</v>
      </c>
      <c r="AY628" s="2" t="s">
        <v>8070</v>
      </c>
      <c r="AZ628" s="2" t="s">
        <v>8070</v>
      </c>
      <c r="BA628" s="2" t="s">
        <v>8071</v>
      </c>
      <c r="BB628" s="2" t="s">
        <v>21</v>
      </c>
      <c r="BD628" s="2" t="s">
        <v>8072</v>
      </c>
      <c r="BE628" s="2" t="s">
        <v>8073</v>
      </c>
      <c r="BF628" s="2" t="s">
        <v>8074</v>
      </c>
    </row>
    <row r="629" spans="1:58" ht="42.75" customHeight="1" x14ac:dyDescent="0.25">
      <c r="A629" s="8" t="s">
        <v>8</v>
      </c>
      <c r="B629" s="1" t="s">
        <v>0</v>
      </c>
      <c r="C629" s="1" t="s">
        <v>1</v>
      </c>
      <c r="D629" s="1" t="s">
        <v>8075</v>
      </c>
      <c r="E629" s="1" t="s">
        <v>8076</v>
      </c>
      <c r="F629" s="1" t="s">
        <v>8077</v>
      </c>
      <c r="H629" s="2" t="s">
        <v>8</v>
      </c>
      <c r="I629" s="2" t="s">
        <v>7</v>
      </c>
      <c r="J629" s="2" t="s">
        <v>8</v>
      </c>
      <c r="K629" s="2" t="s">
        <v>6</v>
      </c>
      <c r="L629" s="2" t="s">
        <v>9</v>
      </c>
      <c r="M629" s="1" t="s">
        <v>8078</v>
      </c>
      <c r="N629" s="1" t="s">
        <v>8079</v>
      </c>
      <c r="O629" s="2" t="s">
        <v>589</v>
      </c>
      <c r="P629" s="1" t="s">
        <v>83</v>
      </c>
      <c r="Q629" s="2" t="s">
        <v>12</v>
      </c>
      <c r="R629" s="2" t="s">
        <v>34</v>
      </c>
      <c r="T629" s="2" t="s">
        <v>14</v>
      </c>
      <c r="U629" s="3">
        <v>5</v>
      </c>
      <c r="V629" s="3">
        <v>5</v>
      </c>
      <c r="W629" s="4" t="s">
        <v>8080</v>
      </c>
      <c r="X629" s="4" t="s">
        <v>8080</v>
      </c>
      <c r="Y629" s="4" t="s">
        <v>8081</v>
      </c>
      <c r="Z629" s="4" t="s">
        <v>8081</v>
      </c>
      <c r="AA629" s="3">
        <v>216</v>
      </c>
      <c r="AB629" s="3">
        <v>172</v>
      </c>
      <c r="AC629" s="3">
        <v>1687</v>
      </c>
      <c r="AD629" s="3">
        <v>2</v>
      </c>
      <c r="AE629" s="3">
        <v>12</v>
      </c>
      <c r="AF629" s="3">
        <v>12</v>
      </c>
      <c r="AG629" s="3">
        <v>45</v>
      </c>
      <c r="AH629" s="3">
        <v>5</v>
      </c>
      <c r="AI629" s="3">
        <v>17</v>
      </c>
      <c r="AJ629" s="3">
        <v>2</v>
      </c>
      <c r="AK629" s="3">
        <v>8</v>
      </c>
      <c r="AL629" s="3">
        <v>7</v>
      </c>
      <c r="AM629" s="3">
        <v>19</v>
      </c>
      <c r="AN629" s="3">
        <v>1</v>
      </c>
      <c r="AO629" s="3">
        <v>9</v>
      </c>
      <c r="AP629" s="3">
        <v>0</v>
      </c>
      <c r="AQ629" s="3">
        <v>0</v>
      </c>
      <c r="AR629" s="2" t="s">
        <v>8</v>
      </c>
      <c r="AS629" s="2" t="s">
        <v>6</v>
      </c>
      <c r="AT629" s="5" t="str">
        <f>HYPERLINK("http://catalog.hathitrust.org/Record/002057635","HathiTrust Record")</f>
        <v>HathiTrust Record</v>
      </c>
      <c r="AU629" s="5" t="str">
        <f>HYPERLINK("https://creighton-primo.hosted.exlibrisgroup.com/primo-explore/search?tab=default_tab&amp;search_scope=EVERYTHING&amp;vid=01CRU&amp;lang=en_US&amp;offset=0&amp;query=any,contains,991001355589702656","Catalog Record")</f>
        <v>Catalog Record</v>
      </c>
      <c r="AV629" s="5" t="str">
        <f>HYPERLINK("http://www.worldcat.org/oclc/21118080","WorldCat Record")</f>
        <v>WorldCat Record</v>
      </c>
      <c r="AW629" s="2" t="s">
        <v>8082</v>
      </c>
      <c r="AX629" s="2" t="s">
        <v>8083</v>
      </c>
      <c r="AY629" s="2" t="s">
        <v>8084</v>
      </c>
      <c r="AZ629" s="2" t="s">
        <v>8084</v>
      </c>
      <c r="BA629" s="2" t="s">
        <v>8085</v>
      </c>
      <c r="BB629" s="2" t="s">
        <v>21</v>
      </c>
      <c r="BD629" s="2" t="s">
        <v>8086</v>
      </c>
      <c r="BE629" s="2" t="s">
        <v>8087</v>
      </c>
      <c r="BF629" s="2" t="s">
        <v>8088</v>
      </c>
    </row>
    <row r="630" spans="1:58" ht="42.75" customHeight="1" x14ac:dyDescent="0.25">
      <c r="A630" s="8" t="s">
        <v>8</v>
      </c>
      <c r="B630" s="1" t="s">
        <v>0</v>
      </c>
      <c r="C630" s="1" t="s">
        <v>1</v>
      </c>
      <c r="D630" s="1" t="s">
        <v>8089</v>
      </c>
      <c r="E630" s="1" t="s">
        <v>8090</v>
      </c>
      <c r="F630" s="1" t="s">
        <v>8091</v>
      </c>
      <c r="H630" s="2" t="s">
        <v>8</v>
      </c>
      <c r="I630" s="2" t="s">
        <v>7</v>
      </c>
      <c r="J630" s="2" t="s">
        <v>8</v>
      </c>
      <c r="K630" s="2" t="s">
        <v>8</v>
      </c>
      <c r="L630" s="2" t="s">
        <v>9</v>
      </c>
      <c r="M630" s="1" t="s">
        <v>8092</v>
      </c>
      <c r="N630" s="1" t="s">
        <v>8093</v>
      </c>
      <c r="O630" s="2" t="s">
        <v>2089</v>
      </c>
      <c r="Q630" s="2" t="s">
        <v>12</v>
      </c>
      <c r="R630" s="2" t="s">
        <v>643</v>
      </c>
      <c r="T630" s="2" t="s">
        <v>14</v>
      </c>
      <c r="U630" s="3">
        <v>1</v>
      </c>
      <c r="V630" s="3">
        <v>1</v>
      </c>
      <c r="W630" s="4" t="s">
        <v>8094</v>
      </c>
      <c r="X630" s="4" t="s">
        <v>8094</v>
      </c>
      <c r="Y630" s="4" t="s">
        <v>8095</v>
      </c>
      <c r="Z630" s="4" t="s">
        <v>8095</v>
      </c>
      <c r="AA630" s="3">
        <v>59</v>
      </c>
      <c r="AB630" s="3">
        <v>38</v>
      </c>
      <c r="AC630" s="3">
        <v>39</v>
      </c>
      <c r="AD630" s="3">
        <v>1</v>
      </c>
      <c r="AE630" s="3">
        <v>1</v>
      </c>
      <c r="AF630" s="3">
        <v>1</v>
      </c>
      <c r="AG630" s="3">
        <v>1</v>
      </c>
      <c r="AH630" s="3">
        <v>0</v>
      </c>
      <c r="AI630" s="3">
        <v>0</v>
      </c>
      <c r="AJ630" s="3">
        <v>0</v>
      </c>
      <c r="AK630" s="3">
        <v>0</v>
      </c>
      <c r="AL630" s="3">
        <v>1</v>
      </c>
      <c r="AM630" s="3">
        <v>1</v>
      </c>
      <c r="AN630" s="3">
        <v>0</v>
      </c>
      <c r="AO630" s="3">
        <v>0</v>
      </c>
      <c r="AP630" s="3">
        <v>0</v>
      </c>
      <c r="AQ630" s="3">
        <v>0</v>
      </c>
      <c r="AR630" s="2" t="s">
        <v>8</v>
      </c>
      <c r="AS630" s="2" t="s">
        <v>8</v>
      </c>
      <c r="AU630" s="5" t="str">
        <f>HYPERLINK("https://creighton-primo.hosted.exlibrisgroup.com/primo-explore/search?tab=default_tab&amp;search_scope=EVERYTHING&amp;vid=01CRU&amp;lang=en_US&amp;offset=0&amp;query=any,contains,991000665889702656","Catalog Record")</f>
        <v>Catalog Record</v>
      </c>
      <c r="AV630" s="5" t="str">
        <f>HYPERLINK("http://www.worldcat.org/oclc/70672604","WorldCat Record")</f>
        <v>WorldCat Record</v>
      </c>
      <c r="AW630" s="2" t="s">
        <v>8096</v>
      </c>
      <c r="AX630" s="2" t="s">
        <v>8097</v>
      </c>
      <c r="AY630" s="2" t="s">
        <v>8098</v>
      </c>
      <c r="AZ630" s="2" t="s">
        <v>8098</v>
      </c>
      <c r="BA630" s="2" t="s">
        <v>8099</v>
      </c>
      <c r="BB630" s="2" t="s">
        <v>21</v>
      </c>
      <c r="BD630" s="2" t="s">
        <v>8100</v>
      </c>
      <c r="BE630" s="2" t="s">
        <v>8101</v>
      </c>
      <c r="BF630" s="2" t="s">
        <v>8102</v>
      </c>
    </row>
    <row r="631" spans="1:58" ht="42.75" customHeight="1" x14ac:dyDescent="0.25">
      <c r="A631" s="8" t="s">
        <v>8</v>
      </c>
      <c r="B631" s="1" t="s">
        <v>0</v>
      </c>
      <c r="C631" s="1" t="s">
        <v>1</v>
      </c>
      <c r="D631" s="1" t="s">
        <v>8103</v>
      </c>
      <c r="E631" s="1" t="s">
        <v>8104</v>
      </c>
      <c r="F631" s="1" t="s">
        <v>8105</v>
      </c>
      <c r="H631" s="2" t="s">
        <v>8</v>
      </c>
      <c r="I631" s="2" t="s">
        <v>7</v>
      </c>
      <c r="J631" s="2" t="s">
        <v>8</v>
      </c>
      <c r="K631" s="2" t="s">
        <v>8</v>
      </c>
      <c r="L631" s="2" t="s">
        <v>9</v>
      </c>
      <c r="M631" s="1" t="s">
        <v>8106</v>
      </c>
      <c r="N631" s="1" t="s">
        <v>8107</v>
      </c>
      <c r="O631" s="2" t="s">
        <v>410</v>
      </c>
      <c r="Q631" s="2" t="s">
        <v>12</v>
      </c>
      <c r="R631" s="2" t="s">
        <v>1170</v>
      </c>
      <c r="T631" s="2" t="s">
        <v>14</v>
      </c>
      <c r="U631" s="3">
        <v>1</v>
      </c>
      <c r="V631" s="3">
        <v>1</v>
      </c>
      <c r="W631" s="4" t="s">
        <v>8108</v>
      </c>
      <c r="X631" s="4" t="s">
        <v>8108</v>
      </c>
      <c r="Y631" s="4" t="s">
        <v>4589</v>
      </c>
      <c r="Z631" s="4" t="s">
        <v>4589</v>
      </c>
      <c r="AA631" s="3">
        <v>375</v>
      </c>
      <c r="AB631" s="3">
        <v>271</v>
      </c>
      <c r="AC631" s="3">
        <v>343</v>
      </c>
      <c r="AD631" s="3">
        <v>3</v>
      </c>
      <c r="AE631" s="3">
        <v>3</v>
      </c>
      <c r="AF631" s="3">
        <v>14</v>
      </c>
      <c r="AG631" s="3">
        <v>16</v>
      </c>
      <c r="AH631" s="3">
        <v>4</v>
      </c>
      <c r="AI631" s="3">
        <v>5</v>
      </c>
      <c r="AJ631" s="3">
        <v>4</v>
      </c>
      <c r="AK631" s="3">
        <v>5</v>
      </c>
      <c r="AL631" s="3">
        <v>9</v>
      </c>
      <c r="AM631" s="3">
        <v>9</v>
      </c>
      <c r="AN631" s="3">
        <v>2</v>
      </c>
      <c r="AO631" s="3">
        <v>2</v>
      </c>
      <c r="AP631" s="3">
        <v>0</v>
      </c>
      <c r="AQ631" s="3">
        <v>0</v>
      </c>
      <c r="AR631" s="2" t="s">
        <v>8</v>
      </c>
      <c r="AS631" s="2" t="s">
        <v>6</v>
      </c>
      <c r="AT631" s="5" t="str">
        <f>HYPERLINK("http://catalog.hathitrust.org/Record/004522059","HathiTrust Record")</f>
        <v>HathiTrust Record</v>
      </c>
      <c r="AU631" s="5" t="str">
        <f>HYPERLINK("https://creighton-primo.hosted.exlibrisgroup.com/primo-explore/search?tab=default_tab&amp;search_scope=EVERYTHING&amp;vid=01CRU&amp;lang=en_US&amp;offset=0&amp;query=any,contains,991000378179702656","Catalog Record")</f>
        <v>Catalog Record</v>
      </c>
      <c r="AV631" s="5" t="str">
        <f>HYPERLINK("http://www.worldcat.org/oclc/27388111","WorldCat Record")</f>
        <v>WorldCat Record</v>
      </c>
      <c r="AW631" s="2" t="s">
        <v>8109</v>
      </c>
      <c r="AX631" s="2" t="s">
        <v>8110</v>
      </c>
      <c r="AY631" s="2" t="s">
        <v>8111</v>
      </c>
      <c r="AZ631" s="2" t="s">
        <v>8111</v>
      </c>
      <c r="BA631" s="2" t="s">
        <v>8112</v>
      </c>
      <c r="BB631" s="2" t="s">
        <v>21</v>
      </c>
      <c r="BD631" s="2" t="s">
        <v>8113</v>
      </c>
      <c r="BE631" s="2" t="s">
        <v>8114</v>
      </c>
      <c r="BF631" s="2" t="s">
        <v>8115</v>
      </c>
    </row>
    <row r="632" spans="1:58" ht="42.75" customHeight="1" x14ac:dyDescent="0.25">
      <c r="A632" s="8" t="s">
        <v>8</v>
      </c>
      <c r="B632" s="1" t="s">
        <v>0</v>
      </c>
      <c r="C632" s="1" t="s">
        <v>1</v>
      </c>
      <c r="D632" s="1" t="s">
        <v>8116</v>
      </c>
      <c r="E632" s="1" t="s">
        <v>8117</v>
      </c>
      <c r="F632" s="1" t="s">
        <v>8118</v>
      </c>
      <c r="H632" s="2" t="s">
        <v>8</v>
      </c>
      <c r="I632" s="2" t="s">
        <v>7</v>
      </c>
      <c r="J632" s="2" t="s">
        <v>8</v>
      </c>
      <c r="K632" s="2" t="s">
        <v>8</v>
      </c>
      <c r="L632" s="2" t="s">
        <v>9</v>
      </c>
      <c r="M632" s="1" t="s">
        <v>8119</v>
      </c>
      <c r="N632" s="1" t="s">
        <v>8120</v>
      </c>
      <c r="O632" s="2" t="s">
        <v>161</v>
      </c>
      <c r="Q632" s="2" t="s">
        <v>12</v>
      </c>
      <c r="R632" s="2" t="s">
        <v>933</v>
      </c>
      <c r="T632" s="2" t="s">
        <v>14</v>
      </c>
      <c r="U632" s="3">
        <v>6</v>
      </c>
      <c r="V632" s="3">
        <v>6</v>
      </c>
      <c r="W632" s="4" t="s">
        <v>8121</v>
      </c>
      <c r="X632" s="4" t="s">
        <v>8121</v>
      </c>
      <c r="Y632" s="4" t="s">
        <v>7406</v>
      </c>
      <c r="Z632" s="4" t="s">
        <v>7406</v>
      </c>
      <c r="AA632" s="3">
        <v>156</v>
      </c>
      <c r="AB632" s="3">
        <v>142</v>
      </c>
      <c r="AC632" s="3">
        <v>144</v>
      </c>
      <c r="AD632" s="3">
        <v>2</v>
      </c>
      <c r="AE632" s="3">
        <v>2</v>
      </c>
      <c r="AF632" s="3">
        <v>4</v>
      </c>
      <c r="AG632" s="3">
        <v>4</v>
      </c>
      <c r="AH632" s="3">
        <v>0</v>
      </c>
      <c r="AI632" s="3">
        <v>0</v>
      </c>
      <c r="AJ632" s="3">
        <v>1</v>
      </c>
      <c r="AK632" s="3">
        <v>1</v>
      </c>
      <c r="AL632" s="3">
        <v>2</v>
      </c>
      <c r="AM632" s="3">
        <v>2</v>
      </c>
      <c r="AN632" s="3">
        <v>1</v>
      </c>
      <c r="AO632" s="3">
        <v>1</v>
      </c>
      <c r="AP632" s="3">
        <v>0</v>
      </c>
      <c r="AQ632" s="3">
        <v>0</v>
      </c>
      <c r="AR632" s="2" t="s">
        <v>8</v>
      </c>
      <c r="AS632" s="2" t="s">
        <v>8</v>
      </c>
      <c r="AU632" s="5" t="str">
        <f>HYPERLINK("https://creighton-primo.hosted.exlibrisgroup.com/primo-explore/search?tab=default_tab&amp;search_scope=EVERYTHING&amp;vid=01CRU&amp;lang=en_US&amp;offset=0&amp;query=any,contains,991001543059702656","Catalog Record")</f>
        <v>Catalog Record</v>
      </c>
      <c r="AV632" s="5" t="str">
        <f>HYPERLINK("http://www.worldcat.org/oclc/163810","WorldCat Record")</f>
        <v>WorldCat Record</v>
      </c>
      <c r="AW632" s="2" t="s">
        <v>8122</v>
      </c>
      <c r="AX632" s="2" t="s">
        <v>8123</v>
      </c>
      <c r="AY632" s="2" t="s">
        <v>8124</v>
      </c>
      <c r="AZ632" s="2" t="s">
        <v>8124</v>
      </c>
      <c r="BA632" s="2" t="s">
        <v>8125</v>
      </c>
      <c r="BB632" s="2" t="s">
        <v>21</v>
      </c>
      <c r="BD632" s="2" t="s">
        <v>8126</v>
      </c>
      <c r="BE632" s="2" t="s">
        <v>8127</v>
      </c>
      <c r="BF632" s="2" t="s">
        <v>8128</v>
      </c>
    </row>
    <row r="633" spans="1:58" ht="42.75" customHeight="1" x14ac:dyDescent="0.25">
      <c r="A633" s="8" t="s">
        <v>8</v>
      </c>
      <c r="B633" s="1" t="s">
        <v>0</v>
      </c>
      <c r="C633" s="1" t="s">
        <v>1</v>
      </c>
      <c r="D633" s="1" t="s">
        <v>8129</v>
      </c>
      <c r="E633" s="1" t="s">
        <v>8130</v>
      </c>
      <c r="F633" s="1" t="s">
        <v>8131</v>
      </c>
      <c r="H633" s="2" t="s">
        <v>8</v>
      </c>
      <c r="I633" s="2" t="s">
        <v>7</v>
      </c>
      <c r="J633" s="2" t="s">
        <v>8</v>
      </c>
      <c r="K633" s="2" t="s">
        <v>8</v>
      </c>
      <c r="L633" s="2" t="s">
        <v>9</v>
      </c>
      <c r="M633" s="1" t="s">
        <v>8132</v>
      </c>
      <c r="N633" s="1" t="s">
        <v>5345</v>
      </c>
      <c r="O633" s="2" t="s">
        <v>627</v>
      </c>
      <c r="Q633" s="2" t="s">
        <v>12</v>
      </c>
      <c r="R633" s="2" t="s">
        <v>643</v>
      </c>
      <c r="S633" s="1" t="s">
        <v>2837</v>
      </c>
      <c r="T633" s="2" t="s">
        <v>14</v>
      </c>
      <c r="U633" s="3">
        <v>13</v>
      </c>
      <c r="V633" s="3">
        <v>13</v>
      </c>
      <c r="W633" s="4" t="s">
        <v>5308</v>
      </c>
      <c r="X633" s="4" t="s">
        <v>5308</v>
      </c>
      <c r="Y633" s="4" t="s">
        <v>8133</v>
      </c>
      <c r="Z633" s="4" t="s">
        <v>8133</v>
      </c>
      <c r="AA633" s="3">
        <v>145</v>
      </c>
      <c r="AB633" s="3">
        <v>83</v>
      </c>
      <c r="AC633" s="3">
        <v>133</v>
      </c>
      <c r="AD633" s="3">
        <v>1</v>
      </c>
      <c r="AE633" s="3">
        <v>2</v>
      </c>
      <c r="AF633" s="3">
        <v>0</v>
      </c>
      <c r="AG633" s="3">
        <v>1</v>
      </c>
      <c r="AH633" s="3">
        <v>0</v>
      </c>
      <c r="AI633" s="3">
        <v>0</v>
      </c>
      <c r="AJ633" s="3">
        <v>0</v>
      </c>
      <c r="AK633" s="3">
        <v>0</v>
      </c>
      <c r="AL633" s="3">
        <v>0</v>
      </c>
      <c r="AM633" s="3">
        <v>0</v>
      </c>
      <c r="AN633" s="3">
        <v>0</v>
      </c>
      <c r="AO633" s="3">
        <v>1</v>
      </c>
      <c r="AP633" s="3">
        <v>0</v>
      </c>
      <c r="AQ633" s="3">
        <v>0</v>
      </c>
      <c r="AR633" s="2" t="s">
        <v>8</v>
      </c>
      <c r="AS633" s="2" t="s">
        <v>6</v>
      </c>
      <c r="AT633" s="5" t="str">
        <f>HYPERLINK("http://catalog.hathitrust.org/Record/001816139","HathiTrust Record")</f>
        <v>HathiTrust Record</v>
      </c>
      <c r="AU633" s="5" t="str">
        <f>HYPERLINK("https://creighton-primo.hosted.exlibrisgroup.com/primo-explore/search?tab=default_tab&amp;search_scope=EVERYTHING&amp;vid=01CRU&amp;lang=en_US&amp;offset=0&amp;query=any,contains,991001447139702656","Catalog Record")</f>
        <v>Catalog Record</v>
      </c>
      <c r="AV633" s="5" t="str">
        <f>HYPERLINK("http://www.worldcat.org/oclc/19125633","WorldCat Record")</f>
        <v>WorldCat Record</v>
      </c>
      <c r="AW633" s="2" t="s">
        <v>8134</v>
      </c>
      <c r="AX633" s="2" t="s">
        <v>8135</v>
      </c>
      <c r="AY633" s="2" t="s">
        <v>8136</v>
      </c>
      <c r="AZ633" s="2" t="s">
        <v>8136</v>
      </c>
      <c r="BA633" s="2" t="s">
        <v>8137</v>
      </c>
      <c r="BB633" s="2" t="s">
        <v>21</v>
      </c>
      <c r="BD633" s="2" t="s">
        <v>8138</v>
      </c>
      <c r="BE633" s="2" t="s">
        <v>8139</v>
      </c>
      <c r="BF633" s="2" t="s">
        <v>8140</v>
      </c>
    </row>
    <row r="634" spans="1:58" ht="42.75" customHeight="1" x14ac:dyDescent="0.25">
      <c r="A634" s="8" t="s">
        <v>8</v>
      </c>
      <c r="B634" s="1" t="s">
        <v>0</v>
      </c>
      <c r="C634" s="1" t="s">
        <v>1</v>
      </c>
      <c r="D634" s="1" t="s">
        <v>8141</v>
      </c>
      <c r="E634" s="1" t="s">
        <v>8142</v>
      </c>
      <c r="F634" s="1" t="s">
        <v>8143</v>
      </c>
      <c r="H634" s="2" t="s">
        <v>8</v>
      </c>
      <c r="I634" s="2" t="s">
        <v>7</v>
      </c>
      <c r="J634" s="2" t="s">
        <v>8</v>
      </c>
      <c r="K634" s="2" t="s">
        <v>8</v>
      </c>
      <c r="L634" s="2" t="s">
        <v>9</v>
      </c>
      <c r="M634" s="1" t="s">
        <v>8144</v>
      </c>
      <c r="N634" s="1" t="s">
        <v>8145</v>
      </c>
      <c r="O634" s="2" t="s">
        <v>589</v>
      </c>
      <c r="Q634" s="2" t="s">
        <v>12</v>
      </c>
      <c r="R634" s="2" t="s">
        <v>577</v>
      </c>
      <c r="T634" s="2" t="s">
        <v>14</v>
      </c>
      <c r="U634" s="3">
        <v>8</v>
      </c>
      <c r="V634" s="3">
        <v>8</v>
      </c>
      <c r="W634" s="4" t="s">
        <v>8146</v>
      </c>
      <c r="X634" s="4" t="s">
        <v>8146</v>
      </c>
      <c r="Y634" s="4" t="s">
        <v>8147</v>
      </c>
      <c r="Z634" s="4" t="s">
        <v>8147</v>
      </c>
      <c r="AA634" s="3">
        <v>179</v>
      </c>
      <c r="AB634" s="3">
        <v>128</v>
      </c>
      <c r="AC634" s="3">
        <v>128</v>
      </c>
      <c r="AD634" s="3">
        <v>1</v>
      </c>
      <c r="AE634" s="3">
        <v>1</v>
      </c>
      <c r="AF634" s="3">
        <v>8</v>
      </c>
      <c r="AG634" s="3">
        <v>8</v>
      </c>
      <c r="AH634" s="3">
        <v>5</v>
      </c>
      <c r="AI634" s="3">
        <v>5</v>
      </c>
      <c r="AJ634" s="3">
        <v>2</v>
      </c>
      <c r="AK634" s="3">
        <v>2</v>
      </c>
      <c r="AL634" s="3">
        <v>3</v>
      </c>
      <c r="AM634" s="3">
        <v>3</v>
      </c>
      <c r="AN634" s="3">
        <v>0</v>
      </c>
      <c r="AO634" s="3">
        <v>0</v>
      </c>
      <c r="AP634" s="3">
        <v>0</v>
      </c>
      <c r="AQ634" s="3">
        <v>0</v>
      </c>
      <c r="AR634" s="2" t="s">
        <v>8</v>
      </c>
      <c r="AS634" s="2" t="s">
        <v>8</v>
      </c>
      <c r="AU634" s="5" t="str">
        <f>HYPERLINK("https://creighton-primo.hosted.exlibrisgroup.com/primo-explore/search?tab=default_tab&amp;search_scope=EVERYTHING&amp;vid=01CRU&amp;lang=en_US&amp;offset=0&amp;query=any,contains,991000778229702656","Catalog Record")</f>
        <v>Catalog Record</v>
      </c>
      <c r="AV634" s="5" t="str">
        <f>HYPERLINK("http://www.worldcat.org/oclc/22646658","WorldCat Record")</f>
        <v>WorldCat Record</v>
      </c>
      <c r="AW634" s="2" t="s">
        <v>8148</v>
      </c>
      <c r="AX634" s="2" t="s">
        <v>8149</v>
      </c>
      <c r="AY634" s="2" t="s">
        <v>8150</v>
      </c>
      <c r="AZ634" s="2" t="s">
        <v>8150</v>
      </c>
      <c r="BA634" s="2" t="s">
        <v>8151</v>
      </c>
      <c r="BB634" s="2" t="s">
        <v>21</v>
      </c>
      <c r="BD634" s="2" t="s">
        <v>8152</v>
      </c>
      <c r="BE634" s="2" t="s">
        <v>8153</v>
      </c>
      <c r="BF634" s="2" t="s">
        <v>8154</v>
      </c>
    </row>
    <row r="635" spans="1:58" ht="42.75" customHeight="1" x14ac:dyDescent="0.25">
      <c r="A635" s="8" t="s">
        <v>8</v>
      </c>
      <c r="B635" s="1" t="s">
        <v>0</v>
      </c>
      <c r="C635" s="1" t="s">
        <v>1</v>
      </c>
      <c r="D635" s="1" t="s">
        <v>8155</v>
      </c>
      <c r="E635" s="1" t="s">
        <v>8156</v>
      </c>
      <c r="F635" s="1" t="s">
        <v>8157</v>
      </c>
      <c r="H635" s="2" t="s">
        <v>8</v>
      </c>
      <c r="I635" s="2" t="s">
        <v>7</v>
      </c>
      <c r="J635" s="2" t="s">
        <v>6</v>
      </c>
      <c r="K635" s="2" t="s">
        <v>8</v>
      </c>
      <c r="L635" s="2" t="s">
        <v>9</v>
      </c>
      <c r="M635" s="1" t="s">
        <v>6563</v>
      </c>
      <c r="N635" s="1" t="s">
        <v>8158</v>
      </c>
      <c r="O635" s="2" t="s">
        <v>51</v>
      </c>
      <c r="Q635" s="2" t="s">
        <v>12</v>
      </c>
      <c r="R635" s="2" t="s">
        <v>34</v>
      </c>
      <c r="T635" s="2" t="s">
        <v>14</v>
      </c>
      <c r="U635" s="3">
        <v>25</v>
      </c>
      <c r="V635" s="3">
        <v>25</v>
      </c>
      <c r="W635" s="4" t="s">
        <v>6577</v>
      </c>
      <c r="X635" s="4" t="s">
        <v>6577</v>
      </c>
      <c r="Y635" s="4" t="s">
        <v>8159</v>
      </c>
      <c r="Z635" s="4" t="s">
        <v>8159</v>
      </c>
      <c r="AA635" s="3">
        <v>580</v>
      </c>
      <c r="AB635" s="3">
        <v>471</v>
      </c>
      <c r="AC635" s="3">
        <v>474</v>
      </c>
      <c r="AD635" s="3">
        <v>4</v>
      </c>
      <c r="AE635" s="3">
        <v>4</v>
      </c>
      <c r="AF635" s="3">
        <v>32</v>
      </c>
      <c r="AG635" s="3">
        <v>32</v>
      </c>
      <c r="AH635" s="3">
        <v>12</v>
      </c>
      <c r="AI635" s="3">
        <v>12</v>
      </c>
      <c r="AJ635" s="3">
        <v>7</v>
      </c>
      <c r="AK635" s="3">
        <v>7</v>
      </c>
      <c r="AL635" s="3">
        <v>18</v>
      </c>
      <c r="AM635" s="3">
        <v>18</v>
      </c>
      <c r="AN635" s="3">
        <v>2</v>
      </c>
      <c r="AO635" s="3">
        <v>2</v>
      </c>
      <c r="AP635" s="3">
        <v>5</v>
      </c>
      <c r="AQ635" s="3">
        <v>5</v>
      </c>
      <c r="AR635" s="2" t="s">
        <v>8</v>
      </c>
      <c r="AS635" s="2" t="s">
        <v>6</v>
      </c>
      <c r="AT635" s="5" t="str">
        <f>HYPERLINK("http://catalog.hathitrust.org/Record/000874489","HathiTrust Record")</f>
        <v>HathiTrust Record</v>
      </c>
      <c r="AU635" s="5" t="str">
        <f>HYPERLINK("https://creighton-primo.hosted.exlibrisgroup.com/primo-explore/search?tab=default_tab&amp;search_scope=EVERYTHING&amp;vid=01CRU&amp;lang=en_US&amp;offset=0&amp;query=any,contains,991001418149702656","Catalog Record")</f>
        <v>Catalog Record</v>
      </c>
      <c r="AV635" s="5" t="str">
        <f>HYPERLINK("http://www.worldcat.org/oclc/15856289","WorldCat Record")</f>
        <v>WorldCat Record</v>
      </c>
      <c r="AW635" s="2" t="s">
        <v>8160</v>
      </c>
      <c r="AX635" s="2" t="s">
        <v>8161</v>
      </c>
      <c r="AY635" s="2" t="s">
        <v>8162</v>
      </c>
      <c r="AZ635" s="2" t="s">
        <v>8162</v>
      </c>
      <c r="BA635" s="2" t="s">
        <v>8163</v>
      </c>
      <c r="BB635" s="2" t="s">
        <v>21</v>
      </c>
      <c r="BD635" s="2" t="s">
        <v>8164</v>
      </c>
      <c r="BE635" s="2" t="s">
        <v>8165</v>
      </c>
      <c r="BF635" s="2" t="s">
        <v>8166</v>
      </c>
    </row>
    <row r="636" spans="1:58" ht="42.75" customHeight="1" x14ac:dyDescent="0.25">
      <c r="A636" s="8" t="s">
        <v>8</v>
      </c>
      <c r="B636" s="1" t="s">
        <v>0</v>
      </c>
      <c r="C636" s="1" t="s">
        <v>1</v>
      </c>
      <c r="D636" s="1" t="s">
        <v>8167</v>
      </c>
      <c r="E636" s="1" t="s">
        <v>8168</v>
      </c>
      <c r="F636" s="1" t="s">
        <v>8169</v>
      </c>
      <c r="H636" s="2" t="s">
        <v>8</v>
      </c>
      <c r="I636" s="2" t="s">
        <v>7</v>
      </c>
      <c r="J636" s="2" t="s">
        <v>6</v>
      </c>
      <c r="K636" s="2" t="s">
        <v>8</v>
      </c>
      <c r="L636" s="2" t="s">
        <v>9</v>
      </c>
      <c r="N636" s="1" t="s">
        <v>5468</v>
      </c>
      <c r="O636" s="2" t="s">
        <v>252</v>
      </c>
      <c r="Q636" s="2" t="s">
        <v>12</v>
      </c>
      <c r="R636" s="2" t="s">
        <v>34</v>
      </c>
      <c r="T636" s="2" t="s">
        <v>14</v>
      </c>
      <c r="U636" s="3">
        <v>11</v>
      </c>
      <c r="V636" s="3">
        <v>11</v>
      </c>
      <c r="W636" s="4" t="s">
        <v>5308</v>
      </c>
      <c r="X636" s="4" t="s">
        <v>5308</v>
      </c>
      <c r="Y636" s="4" t="s">
        <v>7406</v>
      </c>
      <c r="Z636" s="4" t="s">
        <v>7406</v>
      </c>
      <c r="AA636" s="3">
        <v>195</v>
      </c>
      <c r="AB636" s="3">
        <v>175</v>
      </c>
      <c r="AC636" s="3">
        <v>177</v>
      </c>
      <c r="AD636" s="3">
        <v>3</v>
      </c>
      <c r="AE636" s="3">
        <v>3</v>
      </c>
      <c r="AF636" s="3">
        <v>3</v>
      </c>
      <c r="AG636" s="3">
        <v>3</v>
      </c>
      <c r="AH636" s="3">
        <v>0</v>
      </c>
      <c r="AI636" s="3">
        <v>0</v>
      </c>
      <c r="AJ636" s="3">
        <v>1</v>
      </c>
      <c r="AK636" s="3">
        <v>1</v>
      </c>
      <c r="AL636" s="3">
        <v>1</v>
      </c>
      <c r="AM636" s="3">
        <v>1</v>
      </c>
      <c r="AN636" s="3">
        <v>1</v>
      </c>
      <c r="AO636" s="3">
        <v>1</v>
      </c>
      <c r="AP636" s="3">
        <v>0</v>
      </c>
      <c r="AQ636" s="3">
        <v>0</v>
      </c>
      <c r="AR636" s="2" t="s">
        <v>8</v>
      </c>
      <c r="AS636" s="2" t="s">
        <v>6</v>
      </c>
      <c r="AT636" s="5" t="str">
        <f>HYPERLINK("http://catalog.hathitrust.org/Record/004416345","HathiTrust Record")</f>
        <v>HathiTrust Record</v>
      </c>
      <c r="AU636" s="5" t="str">
        <f>HYPERLINK("https://creighton-primo.hosted.exlibrisgroup.com/primo-explore/search?tab=default_tab&amp;search_scope=EVERYTHING&amp;vid=01CRU&amp;lang=en_US&amp;offset=0&amp;query=any,contains,991001543099702656","Catalog Record")</f>
        <v>Catalog Record</v>
      </c>
      <c r="AV636" s="5" t="str">
        <f>HYPERLINK("http://www.worldcat.org/oclc/7007053","WorldCat Record")</f>
        <v>WorldCat Record</v>
      </c>
      <c r="AW636" s="2" t="s">
        <v>8170</v>
      </c>
      <c r="AX636" s="2" t="s">
        <v>8171</v>
      </c>
      <c r="AY636" s="2" t="s">
        <v>8172</v>
      </c>
      <c r="AZ636" s="2" t="s">
        <v>8172</v>
      </c>
      <c r="BA636" s="2" t="s">
        <v>8173</v>
      </c>
      <c r="BB636" s="2" t="s">
        <v>21</v>
      </c>
      <c r="BD636" s="2" t="s">
        <v>8174</v>
      </c>
      <c r="BE636" s="2" t="s">
        <v>8175</v>
      </c>
      <c r="BF636" s="2" t="s">
        <v>8176</v>
      </c>
    </row>
    <row r="637" spans="1:58" ht="42.75" customHeight="1" x14ac:dyDescent="0.25">
      <c r="A637" s="8" t="s">
        <v>8</v>
      </c>
      <c r="B637" s="1" t="s">
        <v>0</v>
      </c>
      <c r="C637" s="1" t="s">
        <v>1</v>
      </c>
      <c r="D637" s="1" t="s">
        <v>8177</v>
      </c>
      <c r="E637" s="1" t="s">
        <v>8178</v>
      </c>
      <c r="F637" s="1" t="s">
        <v>8179</v>
      </c>
      <c r="H637" s="2" t="s">
        <v>8</v>
      </c>
      <c r="I637" s="2" t="s">
        <v>7</v>
      </c>
      <c r="J637" s="2" t="s">
        <v>8</v>
      </c>
      <c r="K637" s="2" t="s">
        <v>8</v>
      </c>
      <c r="L637" s="2" t="s">
        <v>9</v>
      </c>
      <c r="N637" s="1" t="s">
        <v>8180</v>
      </c>
      <c r="O637" s="2" t="s">
        <v>589</v>
      </c>
      <c r="Q637" s="2" t="s">
        <v>12</v>
      </c>
      <c r="R637" s="2" t="s">
        <v>1873</v>
      </c>
      <c r="T637" s="2" t="s">
        <v>14</v>
      </c>
      <c r="U637" s="3">
        <v>1</v>
      </c>
      <c r="V637" s="3">
        <v>1</v>
      </c>
      <c r="W637" s="4" t="s">
        <v>8181</v>
      </c>
      <c r="X637" s="4" t="s">
        <v>8181</v>
      </c>
      <c r="Y637" s="4" t="s">
        <v>8181</v>
      </c>
      <c r="Z637" s="4" t="s">
        <v>8181</v>
      </c>
      <c r="AA637" s="3">
        <v>65</v>
      </c>
      <c r="AB637" s="3">
        <v>65</v>
      </c>
      <c r="AC637" s="3">
        <v>67</v>
      </c>
      <c r="AD637" s="3">
        <v>1</v>
      </c>
      <c r="AE637" s="3">
        <v>1</v>
      </c>
      <c r="AF637" s="3">
        <v>0</v>
      </c>
      <c r="AG637" s="3">
        <v>0</v>
      </c>
      <c r="AH637" s="3">
        <v>0</v>
      </c>
      <c r="AI637" s="3">
        <v>0</v>
      </c>
      <c r="AJ637" s="3">
        <v>0</v>
      </c>
      <c r="AK637" s="3">
        <v>0</v>
      </c>
      <c r="AL637" s="3">
        <v>0</v>
      </c>
      <c r="AM637" s="3">
        <v>0</v>
      </c>
      <c r="AN637" s="3">
        <v>0</v>
      </c>
      <c r="AO637" s="3">
        <v>0</v>
      </c>
      <c r="AP637" s="3">
        <v>0</v>
      </c>
      <c r="AQ637" s="3">
        <v>0</v>
      </c>
      <c r="AR637" s="2" t="s">
        <v>8</v>
      </c>
      <c r="AS637" s="2" t="s">
        <v>6</v>
      </c>
      <c r="AT637" s="5" t="str">
        <f>HYPERLINK("http://catalog.hathitrust.org/Record/002483633","HathiTrust Record")</f>
        <v>HathiTrust Record</v>
      </c>
      <c r="AU637" s="5" t="str">
        <f>HYPERLINK("https://creighton-primo.hosted.exlibrisgroup.com/primo-explore/search?tab=default_tab&amp;search_scope=EVERYTHING&amp;vid=01CRU&amp;lang=en_US&amp;offset=0&amp;query=any,contains,991000937309702656","Catalog Record")</f>
        <v>Catalog Record</v>
      </c>
      <c r="AV637" s="5" t="str">
        <f>HYPERLINK("http://www.worldcat.org/oclc/23136573","WorldCat Record")</f>
        <v>WorldCat Record</v>
      </c>
      <c r="AW637" s="2" t="s">
        <v>8182</v>
      </c>
      <c r="AX637" s="2" t="s">
        <v>8183</v>
      </c>
      <c r="AY637" s="2" t="s">
        <v>8184</v>
      </c>
      <c r="AZ637" s="2" t="s">
        <v>8184</v>
      </c>
      <c r="BA637" s="2" t="s">
        <v>8185</v>
      </c>
      <c r="BB637" s="2" t="s">
        <v>21</v>
      </c>
      <c r="BE637" s="2" t="s">
        <v>8186</v>
      </c>
      <c r="BF637" s="2" t="s">
        <v>8187</v>
      </c>
    </row>
    <row r="638" spans="1:58" ht="42.75" customHeight="1" x14ac:dyDescent="0.25">
      <c r="A638" s="8" t="s">
        <v>8</v>
      </c>
      <c r="B638" s="1" t="s">
        <v>0</v>
      </c>
      <c r="C638" s="1" t="s">
        <v>1</v>
      </c>
      <c r="D638" s="1" t="s">
        <v>8188</v>
      </c>
      <c r="E638" s="1" t="s">
        <v>8189</v>
      </c>
      <c r="F638" s="1" t="s">
        <v>8190</v>
      </c>
      <c r="H638" s="2" t="s">
        <v>8</v>
      </c>
      <c r="I638" s="2" t="s">
        <v>7</v>
      </c>
      <c r="J638" s="2" t="s">
        <v>8</v>
      </c>
      <c r="K638" s="2" t="s">
        <v>8</v>
      </c>
      <c r="L638" s="2" t="s">
        <v>9</v>
      </c>
      <c r="M638" s="1" t="s">
        <v>8191</v>
      </c>
      <c r="N638" s="1" t="s">
        <v>8192</v>
      </c>
      <c r="O638" s="2" t="s">
        <v>814</v>
      </c>
      <c r="Q638" s="2" t="s">
        <v>12</v>
      </c>
      <c r="R638" s="2" t="s">
        <v>456</v>
      </c>
      <c r="S638" s="1" t="s">
        <v>8193</v>
      </c>
      <c r="T638" s="2" t="s">
        <v>14</v>
      </c>
      <c r="U638" s="3">
        <v>10</v>
      </c>
      <c r="V638" s="3">
        <v>10</v>
      </c>
      <c r="W638" s="4" t="s">
        <v>7915</v>
      </c>
      <c r="X638" s="4" t="s">
        <v>7915</v>
      </c>
      <c r="Y638" s="4" t="s">
        <v>4575</v>
      </c>
      <c r="Z638" s="4" t="s">
        <v>4575</v>
      </c>
      <c r="AA638" s="3">
        <v>171</v>
      </c>
      <c r="AB638" s="3">
        <v>118</v>
      </c>
      <c r="AC638" s="3">
        <v>608</v>
      </c>
      <c r="AD638" s="3">
        <v>1</v>
      </c>
      <c r="AE638" s="3">
        <v>5</v>
      </c>
      <c r="AF638" s="3">
        <v>4</v>
      </c>
      <c r="AG638" s="3">
        <v>25</v>
      </c>
      <c r="AH638" s="3">
        <v>1</v>
      </c>
      <c r="AI638" s="3">
        <v>9</v>
      </c>
      <c r="AJ638" s="3">
        <v>2</v>
      </c>
      <c r="AK638" s="3">
        <v>7</v>
      </c>
      <c r="AL638" s="3">
        <v>3</v>
      </c>
      <c r="AM638" s="3">
        <v>8</v>
      </c>
      <c r="AN638" s="3">
        <v>0</v>
      </c>
      <c r="AO638" s="3">
        <v>4</v>
      </c>
      <c r="AP638" s="3">
        <v>0</v>
      </c>
      <c r="AQ638" s="3">
        <v>1</v>
      </c>
      <c r="AR638" s="2" t="s">
        <v>8</v>
      </c>
      <c r="AS638" s="2" t="s">
        <v>6</v>
      </c>
      <c r="AT638" s="5" t="str">
        <f>HYPERLINK("http://catalog.hathitrust.org/Record/004038997","HathiTrust Record")</f>
        <v>HathiTrust Record</v>
      </c>
      <c r="AU638" s="5" t="str">
        <f>HYPERLINK("https://creighton-primo.hosted.exlibrisgroup.com/primo-explore/search?tab=default_tab&amp;search_scope=EVERYTHING&amp;vid=01CRU&amp;lang=en_US&amp;offset=0&amp;query=any,contains,991001443289702656","Catalog Record")</f>
        <v>Catalog Record</v>
      </c>
      <c r="AV638" s="5" t="str">
        <f>HYPERLINK("http://www.worldcat.org/oclc/40881504","WorldCat Record")</f>
        <v>WorldCat Record</v>
      </c>
      <c r="AW638" s="2" t="s">
        <v>8194</v>
      </c>
      <c r="AX638" s="2" t="s">
        <v>8195</v>
      </c>
      <c r="AY638" s="2" t="s">
        <v>8196</v>
      </c>
      <c r="AZ638" s="2" t="s">
        <v>8196</v>
      </c>
      <c r="BA638" s="2" t="s">
        <v>8197</v>
      </c>
      <c r="BB638" s="2" t="s">
        <v>21</v>
      </c>
      <c r="BD638" s="2" t="s">
        <v>8198</v>
      </c>
      <c r="BE638" s="2" t="s">
        <v>8199</v>
      </c>
      <c r="BF638" s="2" t="s">
        <v>8200</v>
      </c>
    </row>
    <row r="639" spans="1:58" ht="42.75" customHeight="1" x14ac:dyDescent="0.25">
      <c r="A639" s="8" t="s">
        <v>8</v>
      </c>
      <c r="B639" s="1" t="s">
        <v>0</v>
      </c>
      <c r="C639" s="1" t="s">
        <v>1</v>
      </c>
      <c r="D639" s="1" t="s">
        <v>8201</v>
      </c>
      <c r="E639" s="1" t="s">
        <v>8202</v>
      </c>
      <c r="F639" s="1" t="s">
        <v>8203</v>
      </c>
      <c r="H639" s="2" t="s">
        <v>8</v>
      </c>
      <c r="I639" s="2" t="s">
        <v>7</v>
      </c>
      <c r="J639" s="2" t="s">
        <v>8</v>
      </c>
      <c r="K639" s="2" t="s">
        <v>8</v>
      </c>
      <c r="L639" s="2" t="s">
        <v>9</v>
      </c>
      <c r="M639" s="1" t="s">
        <v>8204</v>
      </c>
      <c r="N639" s="1" t="s">
        <v>8205</v>
      </c>
      <c r="O639" s="2" t="s">
        <v>589</v>
      </c>
      <c r="Q639" s="2" t="s">
        <v>12</v>
      </c>
      <c r="R639" s="2" t="s">
        <v>34</v>
      </c>
      <c r="T639" s="2" t="s">
        <v>14</v>
      </c>
      <c r="U639" s="3">
        <v>7</v>
      </c>
      <c r="V639" s="3">
        <v>7</v>
      </c>
      <c r="W639" s="4" t="s">
        <v>8206</v>
      </c>
      <c r="X639" s="4" t="s">
        <v>8206</v>
      </c>
      <c r="Y639" s="4" t="s">
        <v>5560</v>
      </c>
      <c r="Z639" s="4" t="s">
        <v>5560</v>
      </c>
      <c r="AA639" s="3">
        <v>69</v>
      </c>
      <c r="AB639" s="3">
        <v>57</v>
      </c>
      <c r="AC639" s="3">
        <v>57</v>
      </c>
      <c r="AD639" s="3">
        <v>1</v>
      </c>
      <c r="AE639" s="3">
        <v>1</v>
      </c>
      <c r="AF639" s="3">
        <v>1</v>
      </c>
      <c r="AG639" s="3">
        <v>1</v>
      </c>
      <c r="AH639" s="3">
        <v>0</v>
      </c>
      <c r="AI639" s="3">
        <v>0</v>
      </c>
      <c r="AJ639" s="3">
        <v>0</v>
      </c>
      <c r="AK639" s="3">
        <v>0</v>
      </c>
      <c r="AL639" s="3">
        <v>0</v>
      </c>
      <c r="AM639" s="3">
        <v>0</v>
      </c>
      <c r="AN639" s="3">
        <v>0</v>
      </c>
      <c r="AO639" s="3">
        <v>0</v>
      </c>
      <c r="AP639" s="3">
        <v>1</v>
      </c>
      <c r="AQ639" s="3">
        <v>1</v>
      </c>
      <c r="AR639" s="2" t="s">
        <v>8</v>
      </c>
      <c r="AS639" s="2" t="s">
        <v>8</v>
      </c>
      <c r="AU639" s="5" t="str">
        <f>HYPERLINK("https://creighton-primo.hosted.exlibrisgroup.com/primo-explore/search?tab=default_tab&amp;search_scope=EVERYTHING&amp;vid=01CRU&amp;lang=en_US&amp;offset=0&amp;query=any,contains,991000774189702656","Catalog Record")</f>
        <v>Catalog Record</v>
      </c>
      <c r="AV639" s="5" t="str">
        <f>HYPERLINK("http://www.worldcat.org/oclc/20994089","WorldCat Record")</f>
        <v>WorldCat Record</v>
      </c>
      <c r="AW639" s="2" t="s">
        <v>8207</v>
      </c>
      <c r="AX639" s="2" t="s">
        <v>8208</v>
      </c>
      <c r="AY639" s="2" t="s">
        <v>8209</v>
      </c>
      <c r="AZ639" s="2" t="s">
        <v>8209</v>
      </c>
      <c r="BA639" s="2" t="s">
        <v>8210</v>
      </c>
      <c r="BB639" s="2" t="s">
        <v>21</v>
      </c>
      <c r="BD639" s="2" t="s">
        <v>8211</v>
      </c>
      <c r="BE639" s="2" t="s">
        <v>8212</v>
      </c>
      <c r="BF639" s="2" t="s">
        <v>8213</v>
      </c>
    </row>
    <row r="640" spans="1:58" ht="42.75" customHeight="1" x14ac:dyDescent="0.25">
      <c r="A640" s="8" t="s">
        <v>8</v>
      </c>
      <c r="B640" s="1" t="s">
        <v>0</v>
      </c>
      <c r="C640" s="1" t="s">
        <v>1</v>
      </c>
      <c r="D640" s="1" t="s">
        <v>8214</v>
      </c>
      <c r="E640" s="1" t="s">
        <v>8215</v>
      </c>
      <c r="F640" s="1" t="s">
        <v>8216</v>
      </c>
      <c r="H640" s="2" t="s">
        <v>8</v>
      </c>
      <c r="I640" s="2" t="s">
        <v>7</v>
      </c>
      <c r="J640" s="2" t="s">
        <v>8</v>
      </c>
      <c r="K640" s="2" t="s">
        <v>8</v>
      </c>
      <c r="L640" s="2" t="s">
        <v>9</v>
      </c>
      <c r="M640" s="1" t="s">
        <v>8217</v>
      </c>
      <c r="N640" s="1" t="s">
        <v>8218</v>
      </c>
      <c r="O640" s="2" t="s">
        <v>731</v>
      </c>
      <c r="Q640" s="2" t="s">
        <v>12</v>
      </c>
      <c r="R640" s="2" t="s">
        <v>628</v>
      </c>
      <c r="T640" s="2" t="s">
        <v>14</v>
      </c>
      <c r="U640" s="3">
        <v>5</v>
      </c>
      <c r="V640" s="3">
        <v>5</v>
      </c>
      <c r="W640" s="4" t="s">
        <v>8219</v>
      </c>
      <c r="X640" s="4" t="s">
        <v>8219</v>
      </c>
      <c r="Y640" s="4" t="s">
        <v>8220</v>
      </c>
      <c r="Z640" s="4" t="s">
        <v>8220</v>
      </c>
      <c r="AA640" s="3">
        <v>36</v>
      </c>
      <c r="AB640" s="3">
        <v>26</v>
      </c>
      <c r="AC640" s="3">
        <v>120</v>
      </c>
      <c r="AD640" s="3">
        <v>1</v>
      </c>
      <c r="AE640" s="3">
        <v>1</v>
      </c>
      <c r="AF640" s="3">
        <v>0</v>
      </c>
      <c r="AG640" s="3">
        <v>5</v>
      </c>
      <c r="AH640" s="3">
        <v>0</v>
      </c>
      <c r="AI640" s="3">
        <v>0</v>
      </c>
      <c r="AJ640" s="3">
        <v>0</v>
      </c>
      <c r="AK640" s="3">
        <v>2</v>
      </c>
      <c r="AL640" s="3">
        <v>0</v>
      </c>
      <c r="AM640" s="3">
        <v>2</v>
      </c>
      <c r="AN640" s="3">
        <v>0</v>
      </c>
      <c r="AO640" s="3">
        <v>0</v>
      </c>
      <c r="AP640" s="3">
        <v>0</v>
      </c>
      <c r="AQ640" s="3">
        <v>1</v>
      </c>
      <c r="AR640" s="2" t="s">
        <v>8</v>
      </c>
      <c r="AS640" s="2" t="s">
        <v>8</v>
      </c>
      <c r="AU640" s="5" t="str">
        <f>HYPERLINK("https://creighton-primo.hosted.exlibrisgroup.com/primo-explore/search?tab=default_tab&amp;search_scope=EVERYTHING&amp;vid=01CRU&amp;lang=en_US&amp;offset=0&amp;query=any,contains,991000795809702656","Catalog Record")</f>
        <v>Catalog Record</v>
      </c>
      <c r="AV640" s="5" t="str">
        <f>HYPERLINK("http://www.worldcat.org/oclc/40682356","WorldCat Record")</f>
        <v>WorldCat Record</v>
      </c>
      <c r="AW640" s="2" t="s">
        <v>8221</v>
      </c>
      <c r="AX640" s="2" t="s">
        <v>8222</v>
      </c>
      <c r="AY640" s="2" t="s">
        <v>8223</v>
      </c>
      <c r="AZ640" s="2" t="s">
        <v>8223</v>
      </c>
      <c r="BA640" s="2" t="s">
        <v>8224</v>
      </c>
      <c r="BB640" s="2" t="s">
        <v>21</v>
      </c>
      <c r="BD640" s="2" t="s">
        <v>8225</v>
      </c>
      <c r="BE640" s="2" t="s">
        <v>8226</v>
      </c>
      <c r="BF640" s="2" t="s">
        <v>8227</v>
      </c>
    </row>
    <row r="641" spans="1:58" ht="42.75" customHeight="1" x14ac:dyDescent="0.25">
      <c r="A641" s="8" t="s">
        <v>8</v>
      </c>
      <c r="B641" s="1" t="s">
        <v>0</v>
      </c>
      <c r="C641" s="1" t="s">
        <v>1</v>
      </c>
      <c r="D641" s="1" t="s">
        <v>8228</v>
      </c>
      <c r="E641" s="1" t="s">
        <v>8229</v>
      </c>
      <c r="F641" s="1" t="s">
        <v>8230</v>
      </c>
      <c r="H641" s="2" t="s">
        <v>8</v>
      </c>
      <c r="I641" s="2" t="s">
        <v>7</v>
      </c>
      <c r="J641" s="2" t="s">
        <v>8</v>
      </c>
      <c r="K641" s="2" t="s">
        <v>8</v>
      </c>
      <c r="L641" s="2" t="s">
        <v>9</v>
      </c>
      <c r="M641" s="1" t="s">
        <v>8231</v>
      </c>
      <c r="N641" s="1" t="s">
        <v>8232</v>
      </c>
      <c r="O641" s="2" t="s">
        <v>830</v>
      </c>
      <c r="Q641" s="2" t="s">
        <v>12</v>
      </c>
      <c r="R641" s="2" t="s">
        <v>5992</v>
      </c>
      <c r="S641" s="1" t="s">
        <v>8233</v>
      </c>
      <c r="T641" s="2" t="s">
        <v>14</v>
      </c>
      <c r="U641" s="3">
        <v>2</v>
      </c>
      <c r="V641" s="3">
        <v>2</v>
      </c>
      <c r="W641" s="4" t="s">
        <v>8234</v>
      </c>
      <c r="X641" s="4" t="s">
        <v>8234</v>
      </c>
      <c r="Y641" s="4" t="s">
        <v>8235</v>
      </c>
      <c r="Z641" s="4" t="s">
        <v>8235</v>
      </c>
      <c r="AA641" s="3">
        <v>3</v>
      </c>
      <c r="AB641" s="3">
        <v>3</v>
      </c>
      <c r="AC641" s="3">
        <v>10</v>
      </c>
      <c r="AD641" s="3">
        <v>1</v>
      </c>
      <c r="AE641" s="3">
        <v>1</v>
      </c>
      <c r="AF641" s="3">
        <v>0</v>
      </c>
      <c r="AG641" s="3">
        <v>0</v>
      </c>
      <c r="AH641" s="3">
        <v>0</v>
      </c>
      <c r="AI641" s="3">
        <v>0</v>
      </c>
      <c r="AJ641" s="3">
        <v>0</v>
      </c>
      <c r="AK641" s="3">
        <v>0</v>
      </c>
      <c r="AL641" s="3">
        <v>0</v>
      </c>
      <c r="AM641" s="3">
        <v>0</v>
      </c>
      <c r="AN641" s="3">
        <v>0</v>
      </c>
      <c r="AO641" s="3">
        <v>0</v>
      </c>
      <c r="AP641" s="3">
        <v>0</v>
      </c>
      <c r="AQ641" s="3">
        <v>0</v>
      </c>
      <c r="AR641" s="2" t="s">
        <v>8</v>
      </c>
      <c r="AS641" s="2" t="s">
        <v>8</v>
      </c>
      <c r="AU641" s="5" t="str">
        <f>HYPERLINK("https://creighton-primo.hosted.exlibrisgroup.com/primo-explore/search?tab=default_tab&amp;search_scope=EVERYTHING&amp;vid=01CRU&amp;lang=en_US&amp;offset=0&amp;query=any,contains,991000366059702656","Catalog Record")</f>
        <v>Catalog Record</v>
      </c>
      <c r="AV641" s="5" t="str">
        <f>HYPERLINK("http://www.worldcat.org/oclc/54099643","WorldCat Record")</f>
        <v>WorldCat Record</v>
      </c>
      <c r="AW641" s="2" t="s">
        <v>8236</v>
      </c>
      <c r="AX641" s="2" t="s">
        <v>8237</v>
      </c>
      <c r="AY641" s="2" t="s">
        <v>8238</v>
      </c>
      <c r="AZ641" s="2" t="s">
        <v>8238</v>
      </c>
      <c r="BA641" s="2" t="s">
        <v>8239</v>
      </c>
      <c r="BB641" s="2" t="s">
        <v>21</v>
      </c>
      <c r="BE641" s="2" t="s">
        <v>8240</v>
      </c>
      <c r="BF641" s="2" t="s">
        <v>8241</v>
      </c>
    </row>
    <row r="642" spans="1:58" ht="42.75" customHeight="1" x14ac:dyDescent="0.25">
      <c r="A642" s="8" t="s">
        <v>8</v>
      </c>
      <c r="B642" s="1" t="s">
        <v>0</v>
      </c>
      <c r="C642" s="1" t="s">
        <v>1</v>
      </c>
      <c r="D642" s="1" t="s">
        <v>8242</v>
      </c>
      <c r="E642" s="1" t="s">
        <v>8243</v>
      </c>
      <c r="F642" s="1" t="s">
        <v>8244</v>
      </c>
      <c r="H642" s="2" t="s">
        <v>8</v>
      </c>
      <c r="I642" s="2" t="s">
        <v>7</v>
      </c>
      <c r="J642" s="2" t="s">
        <v>8</v>
      </c>
      <c r="K642" s="2" t="s">
        <v>8</v>
      </c>
      <c r="L642" s="2" t="s">
        <v>9</v>
      </c>
      <c r="M642" s="1" t="s">
        <v>8245</v>
      </c>
      <c r="N642" s="1" t="s">
        <v>8246</v>
      </c>
      <c r="O642" s="2" t="s">
        <v>252</v>
      </c>
      <c r="P642" s="1" t="s">
        <v>83</v>
      </c>
      <c r="Q642" s="2" t="s">
        <v>12</v>
      </c>
      <c r="R642" s="2" t="s">
        <v>34</v>
      </c>
      <c r="S642" s="1" t="s">
        <v>4441</v>
      </c>
      <c r="T642" s="2" t="s">
        <v>14</v>
      </c>
      <c r="U642" s="3">
        <v>5</v>
      </c>
      <c r="V642" s="3">
        <v>5</v>
      </c>
      <c r="W642" s="4" t="s">
        <v>2351</v>
      </c>
      <c r="X642" s="4" t="s">
        <v>2351</v>
      </c>
      <c r="Y642" s="4" t="s">
        <v>7406</v>
      </c>
      <c r="Z642" s="4" t="s">
        <v>7406</v>
      </c>
      <c r="AA642" s="3">
        <v>257</v>
      </c>
      <c r="AB642" s="3">
        <v>208</v>
      </c>
      <c r="AC642" s="3">
        <v>434</v>
      </c>
      <c r="AD642" s="3">
        <v>1</v>
      </c>
      <c r="AE642" s="3">
        <v>3</v>
      </c>
      <c r="AF642" s="3">
        <v>7</v>
      </c>
      <c r="AG642" s="3">
        <v>14</v>
      </c>
      <c r="AH642" s="3">
        <v>3</v>
      </c>
      <c r="AI642" s="3">
        <v>4</v>
      </c>
      <c r="AJ642" s="3">
        <v>3</v>
      </c>
      <c r="AK642" s="3">
        <v>4</v>
      </c>
      <c r="AL642" s="3">
        <v>5</v>
      </c>
      <c r="AM642" s="3">
        <v>10</v>
      </c>
      <c r="AN642" s="3">
        <v>0</v>
      </c>
      <c r="AO642" s="3">
        <v>2</v>
      </c>
      <c r="AP642" s="3">
        <v>0</v>
      </c>
      <c r="AQ642" s="3">
        <v>0</v>
      </c>
      <c r="AR642" s="2" t="s">
        <v>8</v>
      </c>
      <c r="AS642" s="2" t="s">
        <v>6</v>
      </c>
      <c r="AT642" s="5" t="str">
        <f>HYPERLINK("http://catalog.hathitrust.org/Record/000186949","HathiTrust Record")</f>
        <v>HathiTrust Record</v>
      </c>
      <c r="AU642" s="5" t="str">
        <f>HYPERLINK("https://creighton-primo.hosted.exlibrisgroup.com/primo-explore/search?tab=default_tab&amp;search_scope=EVERYTHING&amp;vid=01CRU&amp;lang=en_US&amp;offset=0&amp;query=any,contains,991001543169702656","Catalog Record")</f>
        <v>Catalog Record</v>
      </c>
      <c r="AV642" s="5" t="str">
        <f>HYPERLINK("http://www.worldcat.org/oclc/6941845","WorldCat Record")</f>
        <v>WorldCat Record</v>
      </c>
      <c r="AW642" s="2" t="s">
        <v>8247</v>
      </c>
      <c r="AX642" s="2" t="s">
        <v>8248</v>
      </c>
      <c r="AY642" s="2" t="s">
        <v>8249</v>
      </c>
      <c r="AZ642" s="2" t="s">
        <v>8249</v>
      </c>
      <c r="BA642" s="2" t="s">
        <v>8250</v>
      </c>
      <c r="BB642" s="2" t="s">
        <v>21</v>
      </c>
      <c r="BD642" s="2" t="s">
        <v>8251</v>
      </c>
      <c r="BE642" s="2" t="s">
        <v>8252</v>
      </c>
      <c r="BF642" s="2" t="s">
        <v>8253</v>
      </c>
    </row>
    <row r="643" spans="1:58" ht="42.75" customHeight="1" x14ac:dyDescent="0.25">
      <c r="A643" s="8" t="s">
        <v>8</v>
      </c>
      <c r="B643" s="1" t="s">
        <v>0</v>
      </c>
      <c r="C643" s="1" t="s">
        <v>1</v>
      </c>
      <c r="D643" s="1" t="s">
        <v>8254</v>
      </c>
      <c r="E643" s="1" t="s">
        <v>8255</v>
      </c>
      <c r="F643" s="1" t="s">
        <v>8256</v>
      </c>
      <c r="H643" s="2" t="s">
        <v>8</v>
      </c>
      <c r="I643" s="2" t="s">
        <v>7</v>
      </c>
      <c r="J643" s="2" t="s">
        <v>8</v>
      </c>
      <c r="K643" s="2" t="s">
        <v>8</v>
      </c>
      <c r="L643" s="2" t="s">
        <v>9</v>
      </c>
      <c r="M643" s="1" t="s">
        <v>8257</v>
      </c>
      <c r="N643" s="1" t="s">
        <v>8258</v>
      </c>
      <c r="O643" s="2" t="s">
        <v>1629</v>
      </c>
      <c r="Q643" s="2" t="s">
        <v>12</v>
      </c>
      <c r="R643" s="2" t="s">
        <v>34</v>
      </c>
      <c r="S643" s="1" t="s">
        <v>8259</v>
      </c>
      <c r="T643" s="2" t="s">
        <v>14</v>
      </c>
      <c r="U643" s="3">
        <v>8</v>
      </c>
      <c r="V643" s="3">
        <v>8</v>
      </c>
      <c r="W643" s="4" t="s">
        <v>8067</v>
      </c>
      <c r="X643" s="4" t="s">
        <v>8067</v>
      </c>
      <c r="Y643" s="4" t="s">
        <v>7406</v>
      </c>
      <c r="Z643" s="4" t="s">
        <v>7406</v>
      </c>
      <c r="AA643" s="3">
        <v>51</v>
      </c>
      <c r="AB643" s="3">
        <v>43</v>
      </c>
      <c r="AC643" s="3">
        <v>45</v>
      </c>
      <c r="AD643" s="3">
        <v>1</v>
      </c>
      <c r="AE643" s="3">
        <v>1</v>
      </c>
      <c r="AF643" s="3">
        <v>0</v>
      </c>
      <c r="AG643" s="3">
        <v>0</v>
      </c>
      <c r="AH643" s="3">
        <v>0</v>
      </c>
      <c r="AI643" s="3">
        <v>0</v>
      </c>
      <c r="AJ643" s="3">
        <v>0</v>
      </c>
      <c r="AK643" s="3">
        <v>0</v>
      </c>
      <c r="AL643" s="3">
        <v>0</v>
      </c>
      <c r="AM643" s="3">
        <v>0</v>
      </c>
      <c r="AN643" s="3">
        <v>0</v>
      </c>
      <c r="AO643" s="3">
        <v>0</v>
      </c>
      <c r="AP643" s="3">
        <v>0</v>
      </c>
      <c r="AQ643" s="3">
        <v>0</v>
      </c>
      <c r="AR643" s="2" t="s">
        <v>8</v>
      </c>
      <c r="AS643" s="2" t="s">
        <v>6</v>
      </c>
      <c r="AT643" s="5" t="str">
        <f>HYPERLINK("http://catalog.hathitrust.org/Record/000207751","HathiTrust Record")</f>
        <v>HathiTrust Record</v>
      </c>
      <c r="AU643" s="5" t="str">
        <f>HYPERLINK("https://creighton-primo.hosted.exlibrisgroup.com/primo-explore/search?tab=default_tab&amp;search_scope=EVERYTHING&amp;vid=01CRU&amp;lang=en_US&amp;offset=0&amp;query=any,contains,991001543209702656","Catalog Record")</f>
        <v>Catalog Record</v>
      </c>
      <c r="AV643" s="5" t="str">
        <f>HYPERLINK("http://www.worldcat.org/oclc/9682926","WorldCat Record")</f>
        <v>WorldCat Record</v>
      </c>
      <c r="AW643" s="2" t="s">
        <v>8260</v>
      </c>
      <c r="AX643" s="2" t="s">
        <v>8261</v>
      </c>
      <c r="AY643" s="2" t="s">
        <v>8262</v>
      </c>
      <c r="AZ643" s="2" t="s">
        <v>8262</v>
      </c>
      <c r="BA643" s="2" t="s">
        <v>8263</v>
      </c>
      <c r="BB643" s="2" t="s">
        <v>21</v>
      </c>
      <c r="BD643" s="2" t="s">
        <v>8264</v>
      </c>
      <c r="BE643" s="2" t="s">
        <v>8265</v>
      </c>
      <c r="BF643" s="2" t="s">
        <v>8266</v>
      </c>
    </row>
    <row r="644" spans="1:58" ht="42.75" customHeight="1" x14ac:dyDescent="0.25">
      <c r="A644" s="8" t="s">
        <v>8</v>
      </c>
      <c r="B644" s="1" t="s">
        <v>0</v>
      </c>
      <c r="C644" s="1" t="s">
        <v>1</v>
      </c>
      <c r="D644" s="1" t="s">
        <v>8267</v>
      </c>
      <c r="E644" s="1" t="s">
        <v>8268</v>
      </c>
      <c r="F644" s="1" t="s">
        <v>8269</v>
      </c>
      <c r="H644" s="2" t="s">
        <v>8</v>
      </c>
      <c r="I644" s="2" t="s">
        <v>7</v>
      </c>
      <c r="J644" s="2" t="s">
        <v>8</v>
      </c>
      <c r="K644" s="2" t="s">
        <v>8</v>
      </c>
      <c r="L644" s="2" t="s">
        <v>9</v>
      </c>
      <c r="M644" s="1" t="s">
        <v>8270</v>
      </c>
      <c r="N644" s="1" t="s">
        <v>8271</v>
      </c>
      <c r="O644" s="2" t="s">
        <v>51</v>
      </c>
      <c r="Q644" s="2" t="s">
        <v>12</v>
      </c>
      <c r="R644" s="2" t="s">
        <v>13</v>
      </c>
      <c r="T644" s="2" t="s">
        <v>14</v>
      </c>
      <c r="U644" s="3">
        <v>5</v>
      </c>
      <c r="V644" s="3">
        <v>5</v>
      </c>
      <c r="W644" s="4" t="s">
        <v>8272</v>
      </c>
      <c r="X644" s="4" t="s">
        <v>8272</v>
      </c>
      <c r="Y644" s="4" t="s">
        <v>8273</v>
      </c>
      <c r="Z644" s="4" t="s">
        <v>8273</v>
      </c>
      <c r="AA644" s="3">
        <v>213</v>
      </c>
      <c r="AB644" s="3">
        <v>192</v>
      </c>
      <c r="AC644" s="3">
        <v>198</v>
      </c>
      <c r="AD644" s="3">
        <v>1</v>
      </c>
      <c r="AE644" s="3">
        <v>1</v>
      </c>
      <c r="AF644" s="3">
        <v>8</v>
      </c>
      <c r="AG644" s="3">
        <v>8</v>
      </c>
      <c r="AH644" s="3">
        <v>2</v>
      </c>
      <c r="AI644" s="3">
        <v>2</v>
      </c>
      <c r="AJ644" s="3">
        <v>2</v>
      </c>
      <c r="AK644" s="3">
        <v>2</v>
      </c>
      <c r="AL644" s="3">
        <v>4</v>
      </c>
      <c r="AM644" s="3">
        <v>4</v>
      </c>
      <c r="AN644" s="3">
        <v>0</v>
      </c>
      <c r="AO644" s="3">
        <v>0</v>
      </c>
      <c r="AP644" s="3">
        <v>2</v>
      </c>
      <c r="AQ644" s="3">
        <v>2</v>
      </c>
      <c r="AR644" s="2" t="s">
        <v>8</v>
      </c>
      <c r="AS644" s="2" t="s">
        <v>6</v>
      </c>
      <c r="AT644" s="5" t="str">
        <f>HYPERLINK("http://catalog.hathitrust.org/Record/000945091","HathiTrust Record")</f>
        <v>HathiTrust Record</v>
      </c>
      <c r="AU644" s="5" t="str">
        <f>HYPERLINK("https://creighton-primo.hosted.exlibrisgroup.com/primo-explore/search?tab=default_tab&amp;search_scope=EVERYTHING&amp;vid=01CRU&amp;lang=en_US&amp;offset=0&amp;query=any,contains,991001243239702656","Catalog Record")</f>
        <v>Catalog Record</v>
      </c>
      <c r="AV644" s="5" t="str">
        <f>HYPERLINK("http://www.worldcat.org/oclc/17953685","WorldCat Record")</f>
        <v>WorldCat Record</v>
      </c>
      <c r="AW644" s="2" t="s">
        <v>8274</v>
      </c>
      <c r="AX644" s="2" t="s">
        <v>8275</v>
      </c>
      <c r="AY644" s="2" t="s">
        <v>8276</v>
      </c>
      <c r="AZ644" s="2" t="s">
        <v>8276</v>
      </c>
      <c r="BA644" s="2" t="s">
        <v>8277</v>
      </c>
      <c r="BB644" s="2" t="s">
        <v>21</v>
      </c>
      <c r="BD644" s="2" t="s">
        <v>8278</v>
      </c>
      <c r="BE644" s="2" t="s">
        <v>8279</v>
      </c>
      <c r="BF644" s="2" t="s">
        <v>8280</v>
      </c>
    </row>
    <row r="645" spans="1:58" ht="42.75" customHeight="1" x14ac:dyDescent="0.25">
      <c r="A645" s="8" t="s">
        <v>8</v>
      </c>
      <c r="B645" s="1" t="s">
        <v>0</v>
      </c>
      <c r="C645" s="1" t="s">
        <v>1</v>
      </c>
      <c r="D645" s="1" t="s">
        <v>8281</v>
      </c>
      <c r="E645" s="1" t="s">
        <v>8282</v>
      </c>
      <c r="F645" s="1" t="s">
        <v>8283</v>
      </c>
      <c r="H645" s="2" t="s">
        <v>8</v>
      </c>
      <c r="I645" s="2" t="s">
        <v>7</v>
      </c>
      <c r="J645" s="2" t="s">
        <v>8</v>
      </c>
      <c r="K645" s="2" t="s">
        <v>8</v>
      </c>
      <c r="L645" s="2" t="s">
        <v>9</v>
      </c>
      <c r="M645" s="1" t="s">
        <v>8284</v>
      </c>
      <c r="N645" s="1" t="s">
        <v>8285</v>
      </c>
      <c r="O645" s="2" t="s">
        <v>688</v>
      </c>
      <c r="Q645" s="2" t="s">
        <v>12</v>
      </c>
      <c r="R645" s="2" t="s">
        <v>13</v>
      </c>
      <c r="T645" s="2" t="s">
        <v>14</v>
      </c>
      <c r="U645" s="3">
        <v>3</v>
      </c>
      <c r="V645" s="3">
        <v>3</v>
      </c>
      <c r="W645" s="4" t="s">
        <v>8286</v>
      </c>
      <c r="X645" s="4" t="s">
        <v>8286</v>
      </c>
      <c r="Y645" s="4" t="s">
        <v>1994</v>
      </c>
      <c r="Z645" s="4" t="s">
        <v>1994</v>
      </c>
      <c r="AA645" s="3">
        <v>103</v>
      </c>
      <c r="AB645" s="3">
        <v>99</v>
      </c>
      <c r="AC645" s="3">
        <v>104</v>
      </c>
      <c r="AD645" s="3">
        <v>1</v>
      </c>
      <c r="AE645" s="3">
        <v>1</v>
      </c>
      <c r="AF645" s="3">
        <v>1</v>
      </c>
      <c r="AG645" s="3">
        <v>1</v>
      </c>
      <c r="AH645" s="3">
        <v>0</v>
      </c>
      <c r="AI645" s="3">
        <v>0</v>
      </c>
      <c r="AJ645" s="3">
        <v>0</v>
      </c>
      <c r="AK645" s="3">
        <v>0</v>
      </c>
      <c r="AL645" s="3">
        <v>1</v>
      </c>
      <c r="AM645" s="3">
        <v>1</v>
      </c>
      <c r="AN645" s="3">
        <v>0</v>
      </c>
      <c r="AO645" s="3">
        <v>0</v>
      </c>
      <c r="AP645" s="3">
        <v>0</v>
      </c>
      <c r="AQ645" s="3">
        <v>0</v>
      </c>
      <c r="AR645" s="2" t="s">
        <v>8</v>
      </c>
      <c r="AS645" s="2" t="s">
        <v>8</v>
      </c>
      <c r="AU645" s="5" t="str">
        <f>HYPERLINK("https://creighton-primo.hosted.exlibrisgroup.com/primo-explore/search?tab=default_tab&amp;search_scope=EVERYTHING&amp;vid=01CRU&amp;lang=en_US&amp;offset=0&amp;query=any,contains,991001562169702656","Catalog Record")</f>
        <v>Catalog Record</v>
      </c>
      <c r="AV645" s="5" t="str">
        <f>HYPERLINK("http://www.worldcat.org/oclc/29704219","WorldCat Record")</f>
        <v>WorldCat Record</v>
      </c>
      <c r="AW645" s="2" t="s">
        <v>8287</v>
      </c>
      <c r="AX645" s="2" t="s">
        <v>8288</v>
      </c>
      <c r="AY645" s="2" t="s">
        <v>8289</v>
      </c>
      <c r="AZ645" s="2" t="s">
        <v>8289</v>
      </c>
      <c r="BA645" s="2" t="s">
        <v>8290</v>
      </c>
      <c r="BB645" s="2" t="s">
        <v>21</v>
      </c>
      <c r="BD645" s="2" t="s">
        <v>8291</v>
      </c>
      <c r="BE645" s="2" t="s">
        <v>8292</v>
      </c>
      <c r="BF645" s="2" t="s">
        <v>8293</v>
      </c>
    </row>
    <row r="646" spans="1:58" ht="42.75" customHeight="1" x14ac:dyDescent="0.25">
      <c r="A646" s="8" t="s">
        <v>8</v>
      </c>
      <c r="B646" s="1" t="s">
        <v>0</v>
      </c>
      <c r="C646" s="1" t="s">
        <v>1</v>
      </c>
      <c r="D646" s="1" t="s">
        <v>8294</v>
      </c>
      <c r="E646" s="1" t="s">
        <v>8295</v>
      </c>
      <c r="F646" s="1" t="s">
        <v>8296</v>
      </c>
      <c r="H646" s="2" t="s">
        <v>8</v>
      </c>
      <c r="I646" s="2" t="s">
        <v>7</v>
      </c>
      <c r="J646" s="2" t="s">
        <v>8</v>
      </c>
      <c r="K646" s="2" t="s">
        <v>8</v>
      </c>
      <c r="L646" s="2" t="s">
        <v>9</v>
      </c>
      <c r="M646" s="1" t="s">
        <v>8297</v>
      </c>
      <c r="N646" s="1" t="s">
        <v>8298</v>
      </c>
      <c r="O646" s="2" t="s">
        <v>1060</v>
      </c>
      <c r="Q646" s="2" t="s">
        <v>12</v>
      </c>
      <c r="R646" s="2" t="s">
        <v>34</v>
      </c>
      <c r="T646" s="2" t="s">
        <v>14</v>
      </c>
      <c r="U646" s="3">
        <v>18</v>
      </c>
      <c r="V646" s="3">
        <v>18</v>
      </c>
      <c r="W646" s="4" t="s">
        <v>7290</v>
      </c>
      <c r="X646" s="4" t="s">
        <v>7290</v>
      </c>
      <c r="Y646" s="4" t="s">
        <v>8299</v>
      </c>
      <c r="Z646" s="4" t="s">
        <v>8299</v>
      </c>
      <c r="AA646" s="3">
        <v>174</v>
      </c>
      <c r="AB646" s="3">
        <v>169</v>
      </c>
      <c r="AC646" s="3">
        <v>189</v>
      </c>
      <c r="AD646" s="3">
        <v>2</v>
      </c>
      <c r="AE646" s="3">
        <v>2</v>
      </c>
      <c r="AF646" s="3">
        <v>5</v>
      </c>
      <c r="AG646" s="3">
        <v>6</v>
      </c>
      <c r="AH646" s="3">
        <v>1</v>
      </c>
      <c r="AI646" s="3">
        <v>2</v>
      </c>
      <c r="AJ646" s="3">
        <v>1</v>
      </c>
      <c r="AK646" s="3">
        <v>1</v>
      </c>
      <c r="AL646" s="3">
        <v>2</v>
      </c>
      <c r="AM646" s="3">
        <v>2</v>
      </c>
      <c r="AN646" s="3">
        <v>1</v>
      </c>
      <c r="AO646" s="3">
        <v>1</v>
      </c>
      <c r="AP646" s="3">
        <v>0</v>
      </c>
      <c r="AQ646" s="3">
        <v>0</v>
      </c>
      <c r="AR646" s="2" t="s">
        <v>8</v>
      </c>
      <c r="AS646" s="2" t="s">
        <v>6</v>
      </c>
      <c r="AT646" s="5" t="str">
        <f>HYPERLINK("http://catalog.hathitrust.org/Record/009923097","HathiTrust Record")</f>
        <v>HathiTrust Record</v>
      </c>
      <c r="AU646" s="5" t="str">
        <f>HYPERLINK("https://creighton-primo.hosted.exlibrisgroup.com/primo-explore/search?tab=default_tab&amp;search_scope=EVERYTHING&amp;vid=01CRU&amp;lang=en_US&amp;offset=0&amp;query=any,contains,991001505669702656","Catalog Record")</f>
        <v>Catalog Record</v>
      </c>
      <c r="AV646" s="5" t="str">
        <f>HYPERLINK("http://www.worldcat.org/oclc/33132619","WorldCat Record")</f>
        <v>WorldCat Record</v>
      </c>
      <c r="AW646" s="2" t="s">
        <v>8300</v>
      </c>
      <c r="AX646" s="2" t="s">
        <v>8301</v>
      </c>
      <c r="AY646" s="2" t="s">
        <v>8302</v>
      </c>
      <c r="AZ646" s="2" t="s">
        <v>8302</v>
      </c>
      <c r="BA646" s="2" t="s">
        <v>8303</v>
      </c>
      <c r="BB646" s="2" t="s">
        <v>21</v>
      </c>
      <c r="BD646" s="2" t="s">
        <v>8304</v>
      </c>
      <c r="BE646" s="2" t="s">
        <v>8305</v>
      </c>
      <c r="BF646" s="2" t="s">
        <v>8306</v>
      </c>
    </row>
    <row r="647" spans="1:58" ht="42.75" customHeight="1" x14ac:dyDescent="0.25">
      <c r="A647" s="8" t="s">
        <v>8</v>
      </c>
      <c r="B647" s="1" t="s">
        <v>0</v>
      </c>
      <c r="C647" s="1" t="s">
        <v>1</v>
      </c>
      <c r="D647" s="1" t="s">
        <v>8307</v>
      </c>
      <c r="E647" s="1" t="s">
        <v>8308</v>
      </c>
      <c r="F647" s="1" t="s">
        <v>8309</v>
      </c>
      <c r="H647" s="2" t="s">
        <v>8</v>
      </c>
      <c r="I647" s="2" t="s">
        <v>7</v>
      </c>
      <c r="J647" s="2" t="s">
        <v>8</v>
      </c>
      <c r="K647" s="2" t="s">
        <v>8</v>
      </c>
      <c r="L647" s="2" t="s">
        <v>9</v>
      </c>
      <c r="M647" s="1" t="s">
        <v>8310</v>
      </c>
      <c r="N647" s="1" t="s">
        <v>8311</v>
      </c>
      <c r="O647" s="2" t="s">
        <v>440</v>
      </c>
      <c r="Q647" s="2" t="s">
        <v>12</v>
      </c>
      <c r="R647" s="2" t="s">
        <v>13</v>
      </c>
      <c r="T647" s="2" t="s">
        <v>14</v>
      </c>
      <c r="U647" s="3">
        <v>3</v>
      </c>
      <c r="V647" s="3">
        <v>3</v>
      </c>
      <c r="W647" s="4" t="s">
        <v>8067</v>
      </c>
      <c r="X647" s="4" t="s">
        <v>8067</v>
      </c>
      <c r="Y647" s="4" t="s">
        <v>7406</v>
      </c>
      <c r="Z647" s="4" t="s">
        <v>7406</v>
      </c>
      <c r="AA647" s="3">
        <v>73</v>
      </c>
      <c r="AB647" s="3">
        <v>63</v>
      </c>
      <c r="AC647" s="3">
        <v>70</v>
      </c>
      <c r="AD647" s="3">
        <v>1</v>
      </c>
      <c r="AE647" s="3">
        <v>1</v>
      </c>
      <c r="AF647" s="3">
        <v>1</v>
      </c>
      <c r="AG647" s="3">
        <v>1</v>
      </c>
      <c r="AH647" s="3">
        <v>0</v>
      </c>
      <c r="AI647" s="3">
        <v>0</v>
      </c>
      <c r="AJ647" s="3">
        <v>0</v>
      </c>
      <c r="AK647" s="3">
        <v>0</v>
      </c>
      <c r="AL647" s="3">
        <v>1</v>
      </c>
      <c r="AM647" s="3">
        <v>1</v>
      </c>
      <c r="AN647" s="3">
        <v>0</v>
      </c>
      <c r="AO647" s="3">
        <v>0</v>
      </c>
      <c r="AP647" s="3">
        <v>0</v>
      </c>
      <c r="AQ647" s="3">
        <v>0</v>
      </c>
      <c r="AR647" s="2" t="s">
        <v>6</v>
      </c>
      <c r="AS647" s="2" t="s">
        <v>8</v>
      </c>
      <c r="AT647" s="5" t="str">
        <f>HYPERLINK("http://catalog.hathitrust.org/Record/001557905","HathiTrust Record")</f>
        <v>HathiTrust Record</v>
      </c>
      <c r="AU647" s="5" t="str">
        <f>HYPERLINK("https://creighton-primo.hosted.exlibrisgroup.com/primo-explore/search?tab=default_tab&amp;search_scope=EVERYTHING&amp;vid=01CRU&amp;lang=en_US&amp;offset=0&amp;query=any,contains,991001543289702656","Catalog Record")</f>
        <v>Catalog Record</v>
      </c>
      <c r="AV647" s="5" t="str">
        <f>HYPERLINK("http://www.worldcat.org/oclc/1741266","WorldCat Record")</f>
        <v>WorldCat Record</v>
      </c>
      <c r="AW647" s="2" t="s">
        <v>8312</v>
      </c>
      <c r="AX647" s="2" t="s">
        <v>8313</v>
      </c>
      <c r="AY647" s="2" t="s">
        <v>8314</v>
      </c>
      <c r="AZ647" s="2" t="s">
        <v>8314</v>
      </c>
      <c r="BA647" s="2" t="s">
        <v>8315</v>
      </c>
      <c r="BB647" s="2" t="s">
        <v>21</v>
      </c>
      <c r="BE647" s="2" t="s">
        <v>8316</v>
      </c>
      <c r="BF647" s="2" t="s">
        <v>8317</v>
      </c>
    </row>
    <row r="648" spans="1:58" ht="42.75" customHeight="1" x14ac:dyDescent="0.25">
      <c r="A648" s="8" t="s">
        <v>8</v>
      </c>
      <c r="B648" s="1" t="s">
        <v>0</v>
      </c>
      <c r="C648" s="1" t="s">
        <v>1</v>
      </c>
      <c r="D648" s="1" t="s">
        <v>8318</v>
      </c>
      <c r="E648" s="1" t="s">
        <v>8319</v>
      </c>
      <c r="F648" s="1" t="s">
        <v>8320</v>
      </c>
      <c r="H648" s="2" t="s">
        <v>8</v>
      </c>
      <c r="I648" s="2" t="s">
        <v>7</v>
      </c>
      <c r="J648" s="2" t="s">
        <v>8</v>
      </c>
      <c r="K648" s="2" t="s">
        <v>6</v>
      </c>
      <c r="L648" s="2" t="s">
        <v>9</v>
      </c>
      <c r="M648" s="1" t="s">
        <v>8321</v>
      </c>
      <c r="N648" s="1" t="s">
        <v>8322</v>
      </c>
      <c r="O648" s="2" t="s">
        <v>907</v>
      </c>
      <c r="Q648" s="2" t="s">
        <v>12</v>
      </c>
      <c r="R648" s="2" t="s">
        <v>13</v>
      </c>
      <c r="T648" s="2" t="s">
        <v>14</v>
      </c>
      <c r="U648" s="3">
        <v>1</v>
      </c>
      <c r="V648" s="3">
        <v>1</v>
      </c>
      <c r="W648" s="4" t="s">
        <v>8323</v>
      </c>
      <c r="X648" s="4" t="s">
        <v>8323</v>
      </c>
      <c r="Y648" s="4" t="s">
        <v>8324</v>
      </c>
      <c r="Z648" s="4" t="s">
        <v>8324</v>
      </c>
      <c r="AA648" s="3">
        <v>588</v>
      </c>
      <c r="AB648" s="3">
        <v>552</v>
      </c>
      <c r="AC648" s="3">
        <v>644</v>
      </c>
      <c r="AD648" s="3">
        <v>3</v>
      </c>
      <c r="AE648" s="3">
        <v>4</v>
      </c>
      <c r="AF648" s="3">
        <v>9</v>
      </c>
      <c r="AG648" s="3">
        <v>9</v>
      </c>
      <c r="AH648" s="3">
        <v>3</v>
      </c>
      <c r="AI648" s="3">
        <v>3</v>
      </c>
      <c r="AJ648" s="3">
        <v>3</v>
      </c>
      <c r="AK648" s="3">
        <v>3</v>
      </c>
      <c r="AL648" s="3">
        <v>5</v>
      </c>
      <c r="AM648" s="3">
        <v>5</v>
      </c>
      <c r="AN648" s="3">
        <v>1</v>
      </c>
      <c r="AO648" s="3">
        <v>1</v>
      </c>
      <c r="AP648" s="3">
        <v>0</v>
      </c>
      <c r="AQ648" s="3">
        <v>0</v>
      </c>
      <c r="AR648" s="2" t="s">
        <v>8</v>
      </c>
      <c r="AS648" s="2" t="s">
        <v>8</v>
      </c>
      <c r="AU648" s="5" t="str">
        <f>HYPERLINK("https://creighton-primo.hosted.exlibrisgroup.com/primo-explore/search?tab=default_tab&amp;search_scope=EVERYTHING&amp;vid=01CRU&amp;lang=en_US&amp;offset=0&amp;query=any,contains,991000406679702656","Catalog Record")</f>
        <v>Catalog Record</v>
      </c>
      <c r="AV648" s="5" t="str">
        <f>HYPERLINK("http://www.worldcat.org/oclc/41621164","WorldCat Record")</f>
        <v>WorldCat Record</v>
      </c>
      <c r="AW648" s="2" t="s">
        <v>8325</v>
      </c>
      <c r="AX648" s="2" t="s">
        <v>8326</v>
      </c>
      <c r="AY648" s="2" t="s">
        <v>8327</v>
      </c>
      <c r="AZ648" s="2" t="s">
        <v>8327</v>
      </c>
      <c r="BA648" s="2" t="s">
        <v>8328</v>
      </c>
      <c r="BB648" s="2" t="s">
        <v>21</v>
      </c>
      <c r="BD648" s="2" t="s">
        <v>8329</v>
      </c>
      <c r="BE648" s="2" t="s">
        <v>8330</v>
      </c>
      <c r="BF648" s="2" t="s">
        <v>8331</v>
      </c>
    </row>
    <row r="649" spans="1:58" ht="42.75" customHeight="1" x14ac:dyDescent="0.25">
      <c r="A649" s="8" t="s">
        <v>8</v>
      </c>
      <c r="B649" s="1" t="s">
        <v>0</v>
      </c>
      <c r="C649" s="1" t="s">
        <v>1</v>
      </c>
      <c r="D649" s="1" t="s">
        <v>8332</v>
      </c>
      <c r="E649" s="1" t="s">
        <v>8333</v>
      </c>
      <c r="F649" s="1" t="s">
        <v>8334</v>
      </c>
      <c r="H649" s="2" t="s">
        <v>8</v>
      </c>
      <c r="I649" s="2" t="s">
        <v>7</v>
      </c>
      <c r="J649" s="2" t="s">
        <v>8</v>
      </c>
      <c r="K649" s="2" t="s">
        <v>8</v>
      </c>
      <c r="L649" s="2" t="s">
        <v>9</v>
      </c>
      <c r="M649" s="1" t="s">
        <v>8335</v>
      </c>
      <c r="N649" s="1" t="s">
        <v>8336</v>
      </c>
      <c r="O649" s="2" t="s">
        <v>67</v>
      </c>
      <c r="Q649" s="2" t="s">
        <v>12</v>
      </c>
      <c r="R649" s="2" t="s">
        <v>774</v>
      </c>
      <c r="S649" s="1" t="s">
        <v>8337</v>
      </c>
      <c r="T649" s="2" t="s">
        <v>14</v>
      </c>
      <c r="U649" s="3">
        <v>4</v>
      </c>
      <c r="V649" s="3">
        <v>4</v>
      </c>
      <c r="W649" s="4" t="s">
        <v>8338</v>
      </c>
      <c r="X649" s="4" t="s">
        <v>8338</v>
      </c>
      <c r="Y649" s="4" t="s">
        <v>8339</v>
      </c>
      <c r="Z649" s="4" t="s">
        <v>8339</v>
      </c>
      <c r="AA649" s="3">
        <v>112</v>
      </c>
      <c r="AB649" s="3">
        <v>108</v>
      </c>
      <c r="AC649" s="3">
        <v>118</v>
      </c>
      <c r="AD649" s="3">
        <v>3</v>
      </c>
      <c r="AE649" s="3">
        <v>3</v>
      </c>
      <c r="AF649" s="3">
        <v>7</v>
      </c>
      <c r="AG649" s="3">
        <v>7</v>
      </c>
      <c r="AH649" s="3">
        <v>0</v>
      </c>
      <c r="AI649" s="3">
        <v>0</v>
      </c>
      <c r="AJ649" s="3">
        <v>1</v>
      </c>
      <c r="AK649" s="3">
        <v>1</v>
      </c>
      <c r="AL649" s="3">
        <v>6</v>
      </c>
      <c r="AM649" s="3">
        <v>6</v>
      </c>
      <c r="AN649" s="3">
        <v>1</v>
      </c>
      <c r="AO649" s="3">
        <v>1</v>
      </c>
      <c r="AP649" s="3">
        <v>0</v>
      </c>
      <c r="AQ649" s="3">
        <v>0</v>
      </c>
      <c r="AR649" s="2" t="s">
        <v>8</v>
      </c>
      <c r="AS649" s="2" t="s">
        <v>6</v>
      </c>
      <c r="AT649" s="5" t="str">
        <f>HYPERLINK("http://catalog.hathitrust.org/Record/000625946","HathiTrust Record")</f>
        <v>HathiTrust Record</v>
      </c>
      <c r="AU649" s="5" t="str">
        <f>HYPERLINK("https://creighton-primo.hosted.exlibrisgroup.com/primo-explore/search?tab=default_tab&amp;search_scope=EVERYTHING&amp;vid=01CRU&amp;lang=en_US&amp;offset=0&amp;query=any,contains,991001241659702656","Catalog Record")</f>
        <v>Catalog Record</v>
      </c>
      <c r="AV649" s="5" t="str">
        <f>HYPERLINK("http://www.worldcat.org/oclc/12839463","WorldCat Record")</f>
        <v>WorldCat Record</v>
      </c>
      <c r="AW649" s="2" t="s">
        <v>8340</v>
      </c>
      <c r="AX649" s="2" t="s">
        <v>8341</v>
      </c>
      <c r="AY649" s="2" t="s">
        <v>8342</v>
      </c>
      <c r="AZ649" s="2" t="s">
        <v>8342</v>
      </c>
      <c r="BA649" s="2" t="s">
        <v>8343</v>
      </c>
      <c r="BB649" s="2" t="s">
        <v>21</v>
      </c>
      <c r="BE649" s="2" t="s">
        <v>8344</v>
      </c>
      <c r="BF649" s="2" t="s">
        <v>8345</v>
      </c>
    </row>
    <row r="650" spans="1:58" ht="42.75" customHeight="1" x14ac:dyDescent="0.25">
      <c r="A650" s="8" t="s">
        <v>8</v>
      </c>
      <c r="B650" s="1" t="s">
        <v>0</v>
      </c>
      <c r="C650" s="1" t="s">
        <v>1</v>
      </c>
      <c r="D650" s="1" t="s">
        <v>8346</v>
      </c>
      <c r="E650" s="1" t="s">
        <v>8347</v>
      </c>
      <c r="F650" s="1" t="s">
        <v>8348</v>
      </c>
      <c r="H650" s="2" t="s">
        <v>8</v>
      </c>
      <c r="I650" s="2" t="s">
        <v>7</v>
      </c>
      <c r="J650" s="2" t="s">
        <v>8</v>
      </c>
      <c r="K650" s="2" t="s">
        <v>8</v>
      </c>
      <c r="L650" s="2" t="s">
        <v>9</v>
      </c>
      <c r="M650" s="1" t="s">
        <v>8349</v>
      </c>
      <c r="N650" s="1" t="s">
        <v>8350</v>
      </c>
      <c r="O650" s="2" t="s">
        <v>959</v>
      </c>
      <c r="P650" s="1" t="s">
        <v>1537</v>
      </c>
      <c r="Q650" s="2" t="s">
        <v>12</v>
      </c>
      <c r="R650" s="2" t="s">
        <v>1002</v>
      </c>
      <c r="S650" s="1" t="s">
        <v>8351</v>
      </c>
      <c r="T650" s="2" t="s">
        <v>14</v>
      </c>
      <c r="U650" s="3">
        <v>6</v>
      </c>
      <c r="V650" s="3">
        <v>6</v>
      </c>
      <c r="W650" s="4" t="s">
        <v>8352</v>
      </c>
      <c r="X650" s="4" t="s">
        <v>8352</v>
      </c>
      <c r="Y650" s="4" t="s">
        <v>4740</v>
      </c>
      <c r="Z650" s="4" t="s">
        <v>4740</v>
      </c>
      <c r="AA650" s="3">
        <v>227</v>
      </c>
      <c r="AB650" s="3">
        <v>174</v>
      </c>
      <c r="AC650" s="3">
        <v>176</v>
      </c>
      <c r="AD650" s="3">
        <v>1</v>
      </c>
      <c r="AE650" s="3">
        <v>1</v>
      </c>
      <c r="AF650" s="3">
        <v>6</v>
      </c>
      <c r="AG650" s="3">
        <v>6</v>
      </c>
      <c r="AH650" s="3">
        <v>1</v>
      </c>
      <c r="AI650" s="3">
        <v>1</v>
      </c>
      <c r="AJ650" s="3">
        <v>3</v>
      </c>
      <c r="AK650" s="3">
        <v>3</v>
      </c>
      <c r="AL650" s="3">
        <v>3</v>
      </c>
      <c r="AM650" s="3">
        <v>3</v>
      </c>
      <c r="AN650" s="3">
        <v>0</v>
      </c>
      <c r="AO650" s="3">
        <v>0</v>
      </c>
      <c r="AP650" s="3">
        <v>0</v>
      </c>
      <c r="AQ650" s="3">
        <v>0</v>
      </c>
      <c r="AR650" s="2" t="s">
        <v>8</v>
      </c>
      <c r="AS650" s="2" t="s">
        <v>6</v>
      </c>
      <c r="AT650" s="5" t="str">
        <f>HYPERLINK("http://catalog.hathitrust.org/Record/005032078","HathiTrust Record")</f>
        <v>HathiTrust Record</v>
      </c>
      <c r="AU650" s="5" t="str">
        <f>HYPERLINK("https://creighton-primo.hosted.exlibrisgroup.com/primo-explore/search?tab=default_tab&amp;search_scope=EVERYTHING&amp;vid=01CRU&amp;lang=en_US&amp;offset=0&amp;query=any,contains,991000377749702656","Catalog Record")</f>
        <v>Catalog Record</v>
      </c>
      <c r="AV650" s="5" t="str">
        <f>HYPERLINK("http://www.worldcat.org/oclc/55067784","WorldCat Record")</f>
        <v>WorldCat Record</v>
      </c>
      <c r="AW650" s="2" t="s">
        <v>8353</v>
      </c>
      <c r="AX650" s="2" t="s">
        <v>8354</v>
      </c>
      <c r="AY650" s="2" t="s">
        <v>8355</v>
      </c>
      <c r="AZ650" s="2" t="s">
        <v>8355</v>
      </c>
      <c r="BA650" s="2" t="s">
        <v>8356</v>
      </c>
      <c r="BB650" s="2" t="s">
        <v>21</v>
      </c>
      <c r="BD650" s="2" t="s">
        <v>8357</v>
      </c>
      <c r="BE650" s="2" t="s">
        <v>8358</v>
      </c>
      <c r="BF650" s="2" t="s">
        <v>8359</v>
      </c>
    </row>
    <row r="651" spans="1:58" ht="42.75" customHeight="1" x14ac:dyDescent="0.25">
      <c r="A651" s="8" t="s">
        <v>8</v>
      </c>
      <c r="B651" s="1" t="s">
        <v>0</v>
      </c>
      <c r="C651" s="1" t="s">
        <v>1</v>
      </c>
      <c r="D651" s="1" t="s">
        <v>8360</v>
      </c>
      <c r="E651" s="1" t="s">
        <v>8361</v>
      </c>
      <c r="F651" s="1" t="s">
        <v>8362</v>
      </c>
      <c r="H651" s="2" t="s">
        <v>8</v>
      </c>
      <c r="I651" s="2" t="s">
        <v>7</v>
      </c>
      <c r="J651" s="2" t="s">
        <v>8</v>
      </c>
      <c r="K651" s="2" t="s">
        <v>8</v>
      </c>
      <c r="L651" s="2" t="s">
        <v>9</v>
      </c>
      <c r="M651" s="1" t="s">
        <v>8363</v>
      </c>
      <c r="N651" s="1" t="s">
        <v>8364</v>
      </c>
      <c r="O651" s="2" t="s">
        <v>830</v>
      </c>
      <c r="P651" s="1" t="s">
        <v>732</v>
      </c>
      <c r="Q651" s="2" t="s">
        <v>12</v>
      </c>
      <c r="R651" s="2" t="s">
        <v>1340</v>
      </c>
      <c r="S651" s="1" t="s">
        <v>8365</v>
      </c>
      <c r="T651" s="2" t="s">
        <v>14</v>
      </c>
      <c r="U651" s="3">
        <v>2</v>
      </c>
      <c r="V651" s="3">
        <v>2</v>
      </c>
      <c r="W651" s="4" t="s">
        <v>6793</v>
      </c>
      <c r="X651" s="4" t="s">
        <v>6793</v>
      </c>
      <c r="Y651" s="4" t="s">
        <v>2420</v>
      </c>
      <c r="Z651" s="4" t="s">
        <v>2420</v>
      </c>
      <c r="AA651" s="3">
        <v>147</v>
      </c>
      <c r="AB651" s="3">
        <v>78</v>
      </c>
      <c r="AC651" s="3">
        <v>361</v>
      </c>
      <c r="AD651" s="3">
        <v>1</v>
      </c>
      <c r="AE651" s="3">
        <v>3</v>
      </c>
      <c r="AF651" s="3">
        <v>1</v>
      </c>
      <c r="AG651" s="3">
        <v>10</v>
      </c>
      <c r="AH651" s="3">
        <v>0</v>
      </c>
      <c r="AI651" s="3">
        <v>2</v>
      </c>
      <c r="AJ651" s="3">
        <v>1</v>
      </c>
      <c r="AK651" s="3">
        <v>4</v>
      </c>
      <c r="AL651" s="3">
        <v>1</v>
      </c>
      <c r="AM651" s="3">
        <v>6</v>
      </c>
      <c r="AN651" s="3">
        <v>0</v>
      </c>
      <c r="AO651" s="3">
        <v>2</v>
      </c>
      <c r="AP651" s="3">
        <v>0</v>
      </c>
      <c r="AQ651" s="3">
        <v>0</v>
      </c>
      <c r="AR651" s="2" t="s">
        <v>8</v>
      </c>
      <c r="AS651" s="2" t="s">
        <v>8</v>
      </c>
      <c r="AU651" s="5" t="str">
        <f>HYPERLINK("https://creighton-primo.hosted.exlibrisgroup.com/primo-explore/search?tab=default_tab&amp;search_scope=EVERYTHING&amp;vid=01CRU&amp;lang=en_US&amp;offset=0&amp;query=any,contains,991000355479702656","Catalog Record")</f>
        <v>Catalog Record</v>
      </c>
      <c r="AV651" s="5" t="str">
        <f>HYPERLINK("http://www.worldcat.org/oclc/49495068","WorldCat Record")</f>
        <v>WorldCat Record</v>
      </c>
      <c r="AW651" s="2" t="s">
        <v>8366</v>
      </c>
      <c r="AX651" s="2" t="s">
        <v>8367</v>
      </c>
      <c r="AY651" s="2" t="s">
        <v>8368</v>
      </c>
      <c r="AZ651" s="2" t="s">
        <v>8368</v>
      </c>
      <c r="BA651" s="2" t="s">
        <v>8369</v>
      </c>
      <c r="BB651" s="2" t="s">
        <v>21</v>
      </c>
      <c r="BD651" s="2" t="s">
        <v>8370</v>
      </c>
      <c r="BE651" s="2" t="s">
        <v>8371</v>
      </c>
      <c r="BF651" s="2" t="s">
        <v>8372</v>
      </c>
    </row>
    <row r="652" spans="1:58" ht="42.75" customHeight="1" x14ac:dyDescent="0.25">
      <c r="A652" s="8" t="s">
        <v>8</v>
      </c>
      <c r="B652" s="1" t="s">
        <v>0</v>
      </c>
      <c r="C652" s="1" t="s">
        <v>1</v>
      </c>
      <c r="D652" s="1" t="s">
        <v>8373</v>
      </c>
      <c r="E652" s="1" t="s">
        <v>8374</v>
      </c>
      <c r="F652" s="1" t="s">
        <v>8375</v>
      </c>
      <c r="H652" s="2" t="s">
        <v>8</v>
      </c>
      <c r="I652" s="2" t="s">
        <v>7</v>
      </c>
      <c r="J652" s="2" t="s">
        <v>8</v>
      </c>
      <c r="K652" s="2" t="s">
        <v>6</v>
      </c>
      <c r="L652" s="2" t="s">
        <v>9</v>
      </c>
      <c r="M652" s="1" t="s">
        <v>8376</v>
      </c>
      <c r="N652" s="1" t="s">
        <v>8377</v>
      </c>
      <c r="O652" s="2" t="s">
        <v>907</v>
      </c>
      <c r="Q652" s="2" t="s">
        <v>12</v>
      </c>
      <c r="R652" s="2" t="s">
        <v>815</v>
      </c>
      <c r="T652" s="2" t="s">
        <v>14</v>
      </c>
      <c r="U652" s="3">
        <v>4</v>
      </c>
      <c r="V652" s="3">
        <v>4</v>
      </c>
      <c r="W652" s="4" t="s">
        <v>8378</v>
      </c>
      <c r="X652" s="4" t="s">
        <v>8378</v>
      </c>
      <c r="Y652" s="4" t="s">
        <v>6817</v>
      </c>
      <c r="Z652" s="4" t="s">
        <v>6817</v>
      </c>
      <c r="AA652" s="3">
        <v>204</v>
      </c>
      <c r="AB652" s="3">
        <v>193</v>
      </c>
      <c r="AC652" s="3">
        <v>525</v>
      </c>
      <c r="AD652" s="3">
        <v>1</v>
      </c>
      <c r="AE652" s="3">
        <v>4</v>
      </c>
      <c r="AF652" s="3">
        <v>7</v>
      </c>
      <c r="AG652" s="3">
        <v>17</v>
      </c>
      <c r="AH652" s="3">
        <v>4</v>
      </c>
      <c r="AI652" s="3">
        <v>5</v>
      </c>
      <c r="AJ652" s="3">
        <v>1</v>
      </c>
      <c r="AK652" s="3">
        <v>3</v>
      </c>
      <c r="AL652" s="3">
        <v>3</v>
      </c>
      <c r="AM652" s="3">
        <v>8</v>
      </c>
      <c r="AN652" s="3">
        <v>0</v>
      </c>
      <c r="AO652" s="3">
        <v>3</v>
      </c>
      <c r="AP652" s="3">
        <v>0</v>
      </c>
      <c r="AQ652" s="3">
        <v>0</v>
      </c>
      <c r="AR652" s="2" t="s">
        <v>8</v>
      </c>
      <c r="AS652" s="2" t="s">
        <v>6</v>
      </c>
      <c r="AT652" s="5" t="str">
        <f>HYPERLINK("http://catalog.hathitrust.org/Record/004598291","HathiTrust Record")</f>
        <v>HathiTrust Record</v>
      </c>
      <c r="AU652" s="5" t="str">
        <f>HYPERLINK("https://creighton-primo.hosted.exlibrisgroup.com/primo-explore/search?tab=default_tab&amp;search_scope=EVERYTHING&amp;vid=01CRU&amp;lang=en_US&amp;offset=0&amp;query=any,contains,991000379739702656","Catalog Record")</f>
        <v>Catalog Record</v>
      </c>
      <c r="AV652" s="5" t="str">
        <f>HYPERLINK("http://www.worldcat.org/oclc/41924755","WorldCat Record")</f>
        <v>WorldCat Record</v>
      </c>
      <c r="AW652" s="2" t="s">
        <v>8379</v>
      </c>
      <c r="AX652" s="2" t="s">
        <v>8380</v>
      </c>
      <c r="AY652" s="2" t="s">
        <v>8381</v>
      </c>
      <c r="AZ652" s="2" t="s">
        <v>8381</v>
      </c>
      <c r="BA652" s="2" t="s">
        <v>8382</v>
      </c>
      <c r="BB652" s="2" t="s">
        <v>21</v>
      </c>
      <c r="BD652" s="2" t="s">
        <v>8383</v>
      </c>
      <c r="BE652" s="2" t="s">
        <v>8384</v>
      </c>
      <c r="BF652" s="2" t="s">
        <v>8385</v>
      </c>
    </row>
    <row r="653" spans="1:58" ht="42.75" customHeight="1" x14ac:dyDescent="0.25">
      <c r="A653" s="8" t="s">
        <v>8</v>
      </c>
      <c r="B653" s="1" t="s">
        <v>0</v>
      </c>
      <c r="C653" s="1" t="s">
        <v>1</v>
      </c>
      <c r="D653" s="1" t="s">
        <v>8386</v>
      </c>
      <c r="E653" s="1" t="s">
        <v>8387</v>
      </c>
      <c r="F653" s="1" t="s">
        <v>8388</v>
      </c>
      <c r="H653" s="2" t="s">
        <v>8</v>
      </c>
      <c r="I653" s="2" t="s">
        <v>7</v>
      </c>
      <c r="J653" s="2" t="s">
        <v>8</v>
      </c>
      <c r="K653" s="2" t="s">
        <v>8</v>
      </c>
      <c r="L653" s="2" t="s">
        <v>9</v>
      </c>
      <c r="N653" s="1" t="s">
        <v>8389</v>
      </c>
      <c r="O653" s="2" t="s">
        <v>907</v>
      </c>
      <c r="Q653" s="2" t="s">
        <v>12</v>
      </c>
      <c r="R653" s="2" t="s">
        <v>815</v>
      </c>
      <c r="T653" s="2" t="s">
        <v>14</v>
      </c>
      <c r="U653" s="3">
        <v>3</v>
      </c>
      <c r="V653" s="3">
        <v>3</v>
      </c>
      <c r="W653" s="4" t="s">
        <v>8390</v>
      </c>
      <c r="X653" s="4" t="s">
        <v>8390</v>
      </c>
      <c r="Y653" s="4" t="s">
        <v>6817</v>
      </c>
      <c r="Z653" s="4" t="s">
        <v>6817</v>
      </c>
      <c r="AA653" s="3">
        <v>146</v>
      </c>
      <c r="AB653" s="3">
        <v>125</v>
      </c>
      <c r="AC653" s="3">
        <v>125</v>
      </c>
      <c r="AD653" s="3">
        <v>1</v>
      </c>
      <c r="AE653" s="3">
        <v>1</v>
      </c>
      <c r="AF653" s="3">
        <v>4</v>
      </c>
      <c r="AG653" s="3">
        <v>4</v>
      </c>
      <c r="AH653" s="3">
        <v>0</v>
      </c>
      <c r="AI653" s="3">
        <v>0</v>
      </c>
      <c r="AJ653" s="3">
        <v>2</v>
      </c>
      <c r="AK653" s="3">
        <v>2</v>
      </c>
      <c r="AL653" s="3">
        <v>3</v>
      </c>
      <c r="AM653" s="3">
        <v>3</v>
      </c>
      <c r="AN653" s="3">
        <v>0</v>
      </c>
      <c r="AO653" s="3">
        <v>0</v>
      </c>
      <c r="AP653" s="3">
        <v>0</v>
      </c>
      <c r="AQ653" s="3">
        <v>0</v>
      </c>
      <c r="AR653" s="2" t="s">
        <v>8</v>
      </c>
      <c r="AS653" s="2" t="s">
        <v>8</v>
      </c>
      <c r="AU653" s="5" t="str">
        <f>HYPERLINK("https://creighton-primo.hosted.exlibrisgroup.com/primo-explore/search?tab=default_tab&amp;search_scope=EVERYTHING&amp;vid=01CRU&amp;lang=en_US&amp;offset=0&amp;query=any,contains,991000379249702656","Catalog Record")</f>
        <v>Catalog Record</v>
      </c>
      <c r="AV653" s="5" t="str">
        <f>HYPERLINK("http://www.worldcat.org/oclc/42969552","WorldCat Record")</f>
        <v>WorldCat Record</v>
      </c>
      <c r="AW653" s="2" t="s">
        <v>8391</v>
      </c>
      <c r="AX653" s="2" t="s">
        <v>8392</v>
      </c>
      <c r="AY653" s="2" t="s">
        <v>8393</v>
      </c>
      <c r="AZ653" s="2" t="s">
        <v>8393</v>
      </c>
      <c r="BA653" s="2" t="s">
        <v>8394</v>
      </c>
      <c r="BB653" s="2" t="s">
        <v>21</v>
      </c>
      <c r="BD653" s="2" t="s">
        <v>8395</v>
      </c>
      <c r="BE653" s="2" t="s">
        <v>8396</v>
      </c>
      <c r="BF653" s="2" t="s">
        <v>8397</v>
      </c>
    </row>
    <row r="654" spans="1:58" ht="42.75" customHeight="1" x14ac:dyDescent="0.25">
      <c r="A654" s="8" t="s">
        <v>8</v>
      </c>
      <c r="B654" s="1" t="s">
        <v>0</v>
      </c>
      <c r="C654" s="1" t="s">
        <v>1</v>
      </c>
      <c r="D654" s="1" t="s">
        <v>8398</v>
      </c>
      <c r="E654" s="1" t="s">
        <v>8399</v>
      </c>
      <c r="F654" s="1" t="s">
        <v>8400</v>
      </c>
      <c r="H654" s="2" t="s">
        <v>8</v>
      </c>
      <c r="I654" s="2" t="s">
        <v>7</v>
      </c>
      <c r="J654" s="2" t="s">
        <v>8</v>
      </c>
      <c r="K654" s="2" t="s">
        <v>8</v>
      </c>
      <c r="L654" s="2" t="s">
        <v>9</v>
      </c>
      <c r="M654" s="1" t="s">
        <v>8401</v>
      </c>
      <c r="N654" s="1" t="s">
        <v>8402</v>
      </c>
      <c r="O654" s="2" t="s">
        <v>67</v>
      </c>
      <c r="Q654" s="2" t="s">
        <v>12</v>
      </c>
      <c r="R654" s="2" t="s">
        <v>34</v>
      </c>
      <c r="T654" s="2" t="s">
        <v>14</v>
      </c>
      <c r="U654" s="3">
        <v>6</v>
      </c>
      <c r="V654" s="3">
        <v>6</v>
      </c>
      <c r="W654" s="4" t="s">
        <v>8338</v>
      </c>
      <c r="X654" s="4" t="s">
        <v>8338</v>
      </c>
      <c r="Y654" s="4" t="s">
        <v>7406</v>
      </c>
      <c r="Z654" s="4" t="s">
        <v>7406</v>
      </c>
      <c r="AA654" s="3">
        <v>417</v>
      </c>
      <c r="AB654" s="3">
        <v>382</v>
      </c>
      <c r="AC654" s="3">
        <v>390</v>
      </c>
      <c r="AD654" s="3">
        <v>3</v>
      </c>
      <c r="AE654" s="3">
        <v>3</v>
      </c>
      <c r="AF654" s="3">
        <v>16</v>
      </c>
      <c r="AG654" s="3">
        <v>16</v>
      </c>
      <c r="AH654" s="3">
        <v>4</v>
      </c>
      <c r="AI654" s="3">
        <v>4</v>
      </c>
      <c r="AJ654" s="3">
        <v>5</v>
      </c>
      <c r="AK654" s="3">
        <v>5</v>
      </c>
      <c r="AL654" s="3">
        <v>8</v>
      </c>
      <c r="AM654" s="3">
        <v>8</v>
      </c>
      <c r="AN654" s="3">
        <v>2</v>
      </c>
      <c r="AO654" s="3">
        <v>2</v>
      </c>
      <c r="AP654" s="3">
        <v>2</v>
      </c>
      <c r="AQ654" s="3">
        <v>2</v>
      </c>
      <c r="AR654" s="2" t="s">
        <v>8</v>
      </c>
      <c r="AS654" s="2" t="s">
        <v>6</v>
      </c>
      <c r="AT654" s="5" t="str">
        <f>HYPERLINK("http://catalog.hathitrust.org/Record/000414759","HathiTrust Record")</f>
        <v>HathiTrust Record</v>
      </c>
      <c r="AU654" s="5" t="str">
        <f>HYPERLINK("https://creighton-primo.hosted.exlibrisgroup.com/primo-explore/search?tab=default_tab&amp;search_scope=EVERYTHING&amp;vid=01CRU&amp;lang=en_US&amp;offset=0&amp;query=any,contains,991001543419702656","Catalog Record")</f>
        <v>Catalog Record</v>
      </c>
      <c r="AV654" s="5" t="str">
        <f>HYPERLINK("http://www.worldcat.org/oclc/10799195","WorldCat Record")</f>
        <v>WorldCat Record</v>
      </c>
      <c r="AW654" s="2" t="s">
        <v>8403</v>
      </c>
      <c r="AX654" s="2" t="s">
        <v>8404</v>
      </c>
      <c r="AY654" s="2" t="s">
        <v>8405</v>
      </c>
      <c r="AZ654" s="2" t="s">
        <v>8405</v>
      </c>
      <c r="BA654" s="2" t="s">
        <v>8406</v>
      </c>
      <c r="BB654" s="2" t="s">
        <v>21</v>
      </c>
      <c r="BD654" s="2" t="s">
        <v>8407</v>
      </c>
      <c r="BE654" s="2" t="s">
        <v>8408</v>
      </c>
      <c r="BF654" s="2" t="s">
        <v>8409</v>
      </c>
    </row>
    <row r="655" spans="1:58" ht="42.75" customHeight="1" x14ac:dyDescent="0.25">
      <c r="A655" s="8" t="s">
        <v>8</v>
      </c>
      <c r="B655" s="1" t="s">
        <v>0</v>
      </c>
      <c r="C655" s="1" t="s">
        <v>1</v>
      </c>
      <c r="D655" s="1" t="s">
        <v>8410</v>
      </c>
      <c r="E655" s="1" t="s">
        <v>8411</v>
      </c>
      <c r="F655" s="1" t="s">
        <v>8412</v>
      </c>
      <c r="H655" s="2" t="s">
        <v>8</v>
      </c>
      <c r="I655" s="2" t="s">
        <v>7</v>
      </c>
      <c r="J655" s="2" t="s">
        <v>8</v>
      </c>
      <c r="K655" s="2" t="s">
        <v>8</v>
      </c>
      <c r="L655" s="2" t="s">
        <v>9</v>
      </c>
      <c r="M655" s="1" t="s">
        <v>8413</v>
      </c>
      <c r="N655" s="1" t="s">
        <v>8414</v>
      </c>
      <c r="O655" s="2" t="s">
        <v>1327</v>
      </c>
      <c r="Q655" s="2" t="s">
        <v>12</v>
      </c>
      <c r="R655" s="2" t="s">
        <v>34</v>
      </c>
      <c r="T655" s="2" t="s">
        <v>14</v>
      </c>
      <c r="U655" s="3">
        <v>9</v>
      </c>
      <c r="V655" s="3">
        <v>9</v>
      </c>
      <c r="W655" s="4" t="s">
        <v>8415</v>
      </c>
      <c r="X655" s="4" t="s">
        <v>8415</v>
      </c>
      <c r="Y655" s="4" t="s">
        <v>7689</v>
      </c>
      <c r="Z655" s="4" t="s">
        <v>7689</v>
      </c>
      <c r="AA655" s="3">
        <v>1147</v>
      </c>
      <c r="AB655" s="3">
        <v>1079</v>
      </c>
      <c r="AC655" s="3">
        <v>1107</v>
      </c>
      <c r="AD655" s="3">
        <v>8</v>
      </c>
      <c r="AE655" s="3">
        <v>8</v>
      </c>
      <c r="AF655" s="3">
        <v>34</v>
      </c>
      <c r="AG655" s="3">
        <v>35</v>
      </c>
      <c r="AH655" s="3">
        <v>11</v>
      </c>
      <c r="AI655" s="3">
        <v>11</v>
      </c>
      <c r="AJ655" s="3">
        <v>6</v>
      </c>
      <c r="AK655" s="3">
        <v>6</v>
      </c>
      <c r="AL655" s="3">
        <v>17</v>
      </c>
      <c r="AM655" s="3">
        <v>17</v>
      </c>
      <c r="AN655" s="3">
        <v>6</v>
      </c>
      <c r="AO655" s="3">
        <v>6</v>
      </c>
      <c r="AP655" s="3">
        <v>1</v>
      </c>
      <c r="AQ655" s="3">
        <v>2</v>
      </c>
      <c r="AR655" s="2" t="s">
        <v>8</v>
      </c>
      <c r="AS655" s="2" t="s">
        <v>6</v>
      </c>
      <c r="AT655" s="5" t="str">
        <f>HYPERLINK("http://catalog.hathitrust.org/Record/000360241","HathiTrust Record")</f>
        <v>HathiTrust Record</v>
      </c>
      <c r="AU655" s="5" t="str">
        <f>HYPERLINK("https://creighton-primo.hosted.exlibrisgroup.com/primo-explore/search?tab=default_tab&amp;search_scope=EVERYTHING&amp;vid=01CRU&amp;lang=en_US&amp;offset=0&amp;query=any,contains,991001543509702656","Catalog Record")</f>
        <v>Catalog Record</v>
      </c>
      <c r="AV655" s="5" t="str">
        <f>HYPERLINK("http://www.worldcat.org/oclc/12312450","WorldCat Record")</f>
        <v>WorldCat Record</v>
      </c>
      <c r="AW655" s="2" t="s">
        <v>8416</v>
      </c>
      <c r="AX655" s="2" t="s">
        <v>8417</v>
      </c>
      <c r="AY655" s="2" t="s">
        <v>8418</v>
      </c>
      <c r="AZ655" s="2" t="s">
        <v>8418</v>
      </c>
      <c r="BA655" s="2" t="s">
        <v>8419</v>
      </c>
      <c r="BB655" s="2" t="s">
        <v>21</v>
      </c>
      <c r="BD655" s="2" t="s">
        <v>8420</v>
      </c>
      <c r="BE655" s="2" t="s">
        <v>8421</v>
      </c>
      <c r="BF655" s="2" t="s">
        <v>8422</v>
      </c>
    </row>
    <row r="656" spans="1:58" ht="42.75" customHeight="1" x14ac:dyDescent="0.25">
      <c r="A656" s="8" t="s">
        <v>8</v>
      </c>
      <c r="B656" s="1" t="s">
        <v>0</v>
      </c>
      <c r="C656" s="1" t="s">
        <v>1</v>
      </c>
      <c r="D656" s="1" t="s">
        <v>8423</v>
      </c>
      <c r="E656" s="1" t="s">
        <v>8424</v>
      </c>
      <c r="F656" s="1" t="s">
        <v>8425</v>
      </c>
      <c r="H656" s="2" t="s">
        <v>8</v>
      </c>
      <c r="I656" s="2" t="s">
        <v>7</v>
      </c>
      <c r="J656" s="2" t="s">
        <v>8</v>
      </c>
      <c r="K656" s="2" t="s">
        <v>8</v>
      </c>
      <c r="L656" s="2" t="s">
        <v>9</v>
      </c>
      <c r="N656" s="1" t="s">
        <v>8426</v>
      </c>
      <c r="O656" s="2" t="s">
        <v>602</v>
      </c>
      <c r="Q656" s="2" t="s">
        <v>12</v>
      </c>
      <c r="R656" s="2" t="s">
        <v>34</v>
      </c>
      <c r="S656" s="1" t="s">
        <v>8427</v>
      </c>
      <c r="T656" s="2" t="s">
        <v>14</v>
      </c>
      <c r="U656" s="3">
        <v>9</v>
      </c>
      <c r="V656" s="3">
        <v>9</v>
      </c>
      <c r="W656" s="4" t="s">
        <v>8338</v>
      </c>
      <c r="X656" s="4" t="s">
        <v>8338</v>
      </c>
      <c r="Y656" s="4" t="s">
        <v>8428</v>
      </c>
      <c r="Z656" s="4" t="s">
        <v>8428</v>
      </c>
      <c r="AA656" s="3">
        <v>257</v>
      </c>
      <c r="AB656" s="3">
        <v>231</v>
      </c>
      <c r="AC656" s="3">
        <v>1106</v>
      </c>
      <c r="AD656" s="3">
        <v>2</v>
      </c>
      <c r="AE656" s="3">
        <v>15</v>
      </c>
      <c r="AF656" s="3">
        <v>11</v>
      </c>
      <c r="AG656" s="3">
        <v>41</v>
      </c>
      <c r="AH656" s="3">
        <v>2</v>
      </c>
      <c r="AI656" s="3">
        <v>11</v>
      </c>
      <c r="AJ656" s="3">
        <v>3</v>
      </c>
      <c r="AK656" s="3">
        <v>10</v>
      </c>
      <c r="AL656" s="3">
        <v>4</v>
      </c>
      <c r="AM656" s="3">
        <v>10</v>
      </c>
      <c r="AN656" s="3">
        <v>1</v>
      </c>
      <c r="AO656" s="3">
        <v>13</v>
      </c>
      <c r="AP656" s="3">
        <v>2</v>
      </c>
      <c r="AQ656" s="3">
        <v>3</v>
      </c>
      <c r="AR656" s="2" t="s">
        <v>8</v>
      </c>
      <c r="AS656" s="2" t="s">
        <v>6</v>
      </c>
      <c r="AT656" s="5" t="str">
        <f>HYPERLINK("http://catalog.hathitrust.org/Record/002490896","HathiTrust Record")</f>
        <v>HathiTrust Record</v>
      </c>
      <c r="AU656" s="5" t="str">
        <f>HYPERLINK("https://creighton-primo.hosted.exlibrisgroup.com/primo-explore/search?tab=default_tab&amp;search_scope=EVERYTHING&amp;vid=01CRU&amp;lang=en_US&amp;offset=0&amp;query=any,contains,991001299319702656","Catalog Record")</f>
        <v>Catalog Record</v>
      </c>
      <c r="AV656" s="5" t="str">
        <f>HYPERLINK("http://www.worldcat.org/oclc/23654207","WorldCat Record")</f>
        <v>WorldCat Record</v>
      </c>
      <c r="AW656" s="2" t="s">
        <v>8429</v>
      </c>
      <c r="AX656" s="2" t="s">
        <v>8430</v>
      </c>
      <c r="AY656" s="2" t="s">
        <v>8431</v>
      </c>
      <c r="AZ656" s="2" t="s">
        <v>8431</v>
      </c>
      <c r="BA656" s="2" t="s">
        <v>8432</v>
      </c>
      <c r="BB656" s="2" t="s">
        <v>21</v>
      </c>
      <c r="BD656" s="2" t="s">
        <v>8433</v>
      </c>
      <c r="BE656" s="2" t="s">
        <v>8434</v>
      </c>
      <c r="BF656" s="2" t="s">
        <v>8435</v>
      </c>
    </row>
    <row r="657" spans="1:58" ht="42.75" customHeight="1" x14ac:dyDescent="0.25">
      <c r="A657" s="8" t="s">
        <v>8</v>
      </c>
      <c r="B657" s="1" t="s">
        <v>0</v>
      </c>
      <c r="C657" s="1" t="s">
        <v>1</v>
      </c>
      <c r="D657" s="1" t="s">
        <v>8436</v>
      </c>
      <c r="E657" s="1" t="s">
        <v>8437</v>
      </c>
      <c r="F657" s="1" t="s">
        <v>8438</v>
      </c>
      <c r="H657" s="2" t="s">
        <v>8</v>
      </c>
      <c r="I657" s="2" t="s">
        <v>7</v>
      </c>
      <c r="J657" s="2" t="s">
        <v>8</v>
      </c>
      <c r="K657" s="2" t="s">
        <v>8</v>
      </c>
      <c r="L657" s="2" t="s">
        <v>9</v>
      </c>
      <c r="N657" s="1" t="s">
        <v>8439</v>
      </c>
      <c r="O657" s="2" t="s">
        <v>51</v>
      </c>
      <c r="Q657" s="2" t="s">
        <v>12</v>
      </c>
      <c r="R657" s="2" t="s">
        <v>628</v>
      </c>
      <c r="T657" s="2" t="s">
        <v>14</v>
      </c>
      <c r="U657" s="3">
        <v>2</v>
      </c>
      <c r="V657" s="3">
        <v>2</v>
      </c>
      <c r="W657" s="4" t="s">
        <v>8440</v>
      </c>
      <c r="X657" s="4" t="s">
        <v>8440</v>
      </c>
      <c r="Y657" s="4" t="s">
        <v>8441</v>
      </c>
      <c r="Z657" s="4" t="s">
        <v>8441</v>
      </c>
      <c r="AA657" s="3">
        <v>156</v>
      </c>
      <c r="AB657" s="3">
        <v>127</v>
      </c>
      <c r="AC657" s="3">
        <v>127</v>
      </c>
      <c r="AD657" s="3">
        <v>1</v>
      </c>
      <c r="AE657" s="3">
        <v>1</v>
      </c>
      <c r="AF657" s="3">
        <v>5</v>
      </c>
      <c r="AG657" s="3">
        <v>5</v>
      </c>
      <c r="AH657" s="3">
        <v>2</v>
      </c>
      <c r="AI657" s="3">
        <v>2</v>
      </c>
      <c r="AJ657" s="3">
        <v>0</v>
      </c>
      <c r="AK657" s="3">
        <v>0</v>
      </c>
      <c r="AL657" s="3">
        <v>2</v>
      </c>
      <c r="AM657" s="3">
        <v>2</v>
      </c>
      <c r="AN657" s="3">
        <v>0</v>
      </c>
      <c r="AO657" s="3">
        <v>0</v>
      </c>
      <c r="AP657" s="3">
        <v>2</v>
      </c>
      <c r="AQ657" s="3">
        <v>2</v>
      </c>
      <c r="AR657" s="2" t="s">
        <v>8</v>
      </c>
      <c r="AS657" s="2" t="s">
        <v>8</v>
      </c>
      <c r="AU657" s="5" t="str">
        <f>HYPERLINK("https://creighton-primo.hosted.exlibrisgroup.com/primo-explore/search?tab=default_tab&amp;search_scope=EVERYTHING&amp;vid=01CRU&amp;lang=en_US&amp;offset=0&amp;query=any,contains,991001250749702656","Catalog Record")</f>
        <v>Catalog Record</v>
      </c>
      <c r="AV657" s="5" t="str">
        <f>HYPERLINK("http://www.worldcat.org/oclc/18222914","WorldCat Record")</f>
        <v>WorldCat Record</v>
      </c>
      <c r="AW657" s="2" t="s">
        <v>8442</v>
      </c>
      <c r="AX657" s="2" t="s">
        <v>8443</v>
      </c>
      <c r="AY657" s="2" t="s">
        <v>8444</v>
      </c>
      <c r="AZ657" s="2" t="s">
        <v>8444</v>
      </c>
      <c r="BA657" s="2" t="s">
        <v>8445</v>
      </c>
      <c r="BB657" s="2" t="s">
        <v>21</v>
      </c>
      <c r="BD657" s="2" t="s">
        <v>8446</v>
      </c>
      <c r="BE657" s="2" t="s">
        <v>8447</v>
      </c>
      <c r="BF657" s="2" t="s">
        <v>8448</v>
      </c>
    </row>
    <row r="658" spans="1:58" ht="42.75" customHeight="1" x14ac:dyDescent="0.25">
      <c r="A658" s="8" t="s">
        <v>8</v>
      </c>
      <c r="B658" s="1" t="s">
        <v>0</v>
      </c>
      <c r="C658" s="1" t="s">
        <v>1</v>
      </c>
      <c r="D658" s="1" t="s">
        <v>8449</v>
      </c>
      <c r="E658" s="1" t="s">
        <v>8450</v>
      </c>
      <c r="F658" s="1" t="s">
        <v>8451</v>
      </c>
      <c r="H658" s="2" t="s">
        <v>8</v>
      </c>
      <c r="I658" s="2" t="s">
        <v>7</v>
      </c>
      <c r="J658" s="2" t="s">
        <v>8</v>
      </c>
      <c r="K658" s="2" t="s">
        <v>8</v>
      </c>
      <c r="L658" s="2" t="s">
        <v>9</v>
      </c>
      <c r="M658" s="1" t="s">
        <v>8452</v>
      </c>
      <c r="N658" s="1" t="s">
        <v>8453</v>
      </c>
      <c r="O658" s="2" t="s">
        <v>1446</v>
      </c>
      <c r="Q658" s="2" t="s">
        <v>12</v>
      </c>
      <c r="R658" s="2" t="s">
        <v>13</v>
      </c>
      <c r="T658" s="2" t="s">
        <v>14</v>
      </c>
      <c r="U658" s="3">
        <v>4</v>
      </c>
      <c r="V658" s="3">
        <v>4</v>
      </c>
      <c r="W658" s="4" t="s">
        <v>8454</v>
      </c>
      <c r="X658" s="4" t="s">
        <v>8454</v>
      </c>
      <c r="Y658" s="4" t="s">
        <v>7262</v>
      </c>
      <c r="Z658" s="4" t="s">
        <v>7262</v>
      </c>
      <c r="AA658" s="3">
        <v>300</v>
      </c>
      <c r="AB658" s="3">
        <v>250</v>
      </c>
      <c r="AC658" s="3">
        <v>279</v>
      </c>
      <c r="AD658" s="3">
        <v>3</v>
      </c>
      <c r="AE658" s="3">
        <v>3</v>
      </c>
      <c r="AF658" s="3">
        <v>11</v>
      </c>
      <c r="AG658" s="3">
        <v>12</v>
      </c>
      <c r="AH658" s="3">
        <v>3</v>
      </c>
      <c r="AI658" s="3">
        <v>4</v>
      </c>
      <c r="AJ658" s="3">
        <v>5</v>
      </c>
      <c r="AK658" s="3">
        <v>5</v>
      </c>
      <c r="AL658" s="3">
        <v>6</v>
      </c>
      <c r="AM658" s="3">
        <v>7</v>
      </c>
      <c r="AN658" s="3">
        <v>2</v>
      </c>
      <c r="AO658" s="3">
        <v>2</v>
      </c>
      <c r="AP658" s="3">
        <v>0</v>
      </c>
      <c r="AQ658" s="3">
        <v>0</v>
      </c>
      <c r="AR658" s="2" t="s">
        <v>8</v>
      </c>
      <c r="AS658" s="2" t="s">
        <v>6</v>
      </c>
      <c r="AT658" s="5" t="str">
        <f>HYPERLINK("http://catalog.hathitrust.org/Record/001558562","HathiTrust Record")</f>
        <v>HathiTrust Record</v>
      </c>
      <c r="AU658" s="5" t="str">
        <f>HYPERLINK("https://creighton-primo.hosted.exlibrisgroup.com/primo-explore/search?tab=default_tab&amp;search_scope=EVERYTHING&amp;vid=01CRU&amp;lang=en_US&amp;offset=0&amp;query=any,contains,991001543439702656","Catalog Record")</f>
        <v>Catalog Record</v>
      </c>
      <c r="AV658" s="5" t="str">
        <f>HYPERLINK("http://www.worldcat.org/oclc/762463","WorldCat Record")</f>
        <v>WorldCat Record</v>
      </c>
      <c r="AW658" s="2" t="s">
        <v>8455</v>
      </c>
      <c r="AX658" s="2" t="s">
        <v>8456</v>
      </c>
      <c r="AY658" s="2" t="s">
        <v>8457</v>
      </c>
      <c r="AZ658" s="2" t="s">
        <v>8457</v>
      </c>
      <c r="BA658" s="2" t="s">
        <v>8458</v>
      </c>
      <c r="BB658" s="2" t="s">
        <v>21</v>
      </c>
      <c r="BD658" s="2" t="s">
        <v>8459</v>
      </c>
      <c r="BE658" s="2" t="s">
        <v>8460</v>
      </c>
      <c r="BF658" s="2" t="s">
        <v>8461</v>
      </c>
    </row>
    <row r="659" spans="1:58" ht="42.75" customHeight="1" x14ac:dyDescent="0.25">
      <c r="A659" s="8" t="s">
        <v>8</v>
      </c>
      <c r="B659" s="1" t="s">
        <v>0</v>
      </c>
      <c r="C659" s="1" t="s">
        <v>1</v>
      </c>
      <c r="D659" s="1" t="s">
        <v>8462</v>
      </c>
      <c r="E659" s="1" t="s">
        <v>8463</v>
      </c>
      <c r="F659" s="1" t="s">
        <v>8464</v>
      </c>
      <c r="H659" s="2" t="s">
        <v>8</v>
      </c>
      <c r="I659" s="2" t="s">
        <v>7</v>
      </c>
      <c r="J659" s="2" t="s">
        <v>8</v>
      </c>
      <c r="K659" s="2" t="s">
        <v>8</v>
      </c>
      <c r="L659" s="2" t="s">
        <v>9</v>
      </c>
      <c r="M659" s="1" t="s">
        <v>8465</v>
      </c>
      <c r="N659" s="1" t="s">
        <v>8466</v>
      </c>
      <c r="O659" s="2" t="s">
        <v>8467</v>
      </c>
      <c r="Q659" s="2" t="s">
        <v>12</v>
      </c>
      <c r="R659" s="2" t="s">
        <v>13</v>
      </c>
      <c r="T659" s="2" t="s">
        <v>14</v>
      </c>
      <c r="U659" s="3">
        <v>3</v>
      </c>
      <c r="V659" s="3">
        <v>3</v>
      </c>
      <c r="W659" s="4" t="s">
        <v>8468</v>
      </c>
      <c r="X659" s="4" t="s">
        <v>8468</v>
      </c>
      <c r="Y659" s="4" t="s">
        <v>7262</v>
      </c>
      <c r="Z659" s="4" t="s">
        <v>7262</v>
      </c>
      <c r="AA659" s="3">
        <v>271</v>
      </c>
      <c r="AB659" s="3">
        <v>250</v>
      </c>
      <c r="AC659" s="3">
        <v>263</v>
      </c>
      <c r="AD659" s="3">
        <v>3</v>
      </c>
      <c r="AE659" s="3">
        <v>3</v>
      </c>
      <c r="AF659" s="3">
        <v>7</v>
      </c>
      <c r="AG659" s="3">
        <v>7</v>
      </c>
      <c r="AH659" s="3">
        <v>1</v>
      </c>
      <c r="AI659" s="3">
        <v>1</v>
      </c>
      <c r="AJ659" s="3">
        <v>1</v>
      </c>
      <c r="AK659" s="3">
        <v>1</v>
      </c>
      <c r="AL659" s="3">
        <v>4</v>
      </c>
      <c r="AM659" s="3">
        <v>4</v>
      </c>
      <c r="AN659" s="3">
        <v>2</v>
      </c>
      <c r="AO659" s="3">
        <v>2</v>
      </c>
      <c r="AP659" s="3">
        <v>0</v>
      </c>
      <c r="AQ659" s="3">
        <v>0</v>
      </c>
      <c r="AR659" s="2" t="s">
        <v>8</v>
      </c>
      <c r="AS659" s="2" t="s">
        <v>6</v>
      </c>
      <c r="AT659" s="5" t="str">
        <f>HYPERLINK("http://catalog.hathitrust.org/Record/001558694","HathiTrust Record")</f>
        <v>HathiTrust Record</v>
      </c>
      <c r="AU659" s="5" t="str">
        <f>HYPERLINK("https://creighton-primo.hosted.exlibrisgroup.com/primo-explore/search?tab=default_tab&amp;search_scope=EVERYTHING&amp;vid=01CRU&amp;lang=en_US&amp;offset=0&amp;query=any,contains,991001543469702656","Catalog Record")</f>
        <v>Catalog Record</v>
      </c>
      <c r="AV659" s="5" t="str">
        <f>HYPERLINK("http://www.worldcat.org/oclc/812987","WorldCat Record")</f>
        <v>WorldCat Record</v>
      </c>
      <c r="AW659" s="2" t="s">
        <v>8469</v>
      </c>
      <c r="AX659" s="2" t="s">
        <v>8470</v>
      </c>
      <c r="AY659" s="2" t="s">
        <v>8471</v>
      </c>
      <c r="AZ659" s="2" t="s">
        <v>8471</v>
      </c>
      <c r="BA659" s="2" t="s">
        <v>8472</v>
      </c>
      <c r="BB659" s="2" t="s">
        <v>21</v>
      </c>
      <c r="BE659" s="2" t="s">
        <v>8473</v>
      </c>
      <c r="BF659" s="2" t="s">
        <v>8474</v>
      </c>
    </row>
    <row r="660" spans="1:58" ht="42.75" customHeight="1" x14ac:dyDescent="0.25">
      <c r="A660" s="8" t="s">
        <v>8</v>
      </c>
      <c r="B660" s="1" t="s">
        <v>0</v>
      </c>
      <c r="C660" s="1" t="s">
        <v>1</v>
      </c>
      <c r="D660" s="1" t="s">
        <v>8475</v>
      </c>
      <c r="E660" s="1" t="s">
        <v>8476</v>
      </c>
      <c r="F660" s="1" t="s">
        <v>8477</v>
      </c>
      <c r="H660" s="2" t="s">
        <v>8</v>
      </c>
      <c r="I660" s="2" t="s">
        <v>7</v>
      </c>
      <c r="J660" s="2" t="s">
        <v>8</v>
      </c>
      <c r="K660" s="2" t="s">
        <v>6</v>
      </c>
      <c r="L660" s="2" t="s">
        <v>9</v>
      </c>
      <c r="M660" s="1" t="s">
        <v>8478</v>
      </c>
      <c r="N660" s="1" t="s">
        <v>8479</v>
      </c>
      <c r="O660" s="2" t="s">
        <v>298</v>
      </c>
      <c r="Q660" s="2" t="s">
        <v>12</v>
      </c>
      <c r="R660" s="2" t="s">
        <v>643</v>
      </c>
      <c r="S660" s="1" t="s">
        <v>2837</v>
      </c>
      <c r="T660" s="2" t="s">
        <v>14</v>
      </c>
      <c r="U660" s="3">
        <v>4</v>
      </c>
      <c r="V660" s="3">
        <v>4</v>
      </c>
      <c r="W660" s="4" t="s">
        <v>8480</v>
      </c>
      <c r="X660" s="4" t="s">
        <v>8480</v>
      </c>
      <c r="Y660" s="4" t="s">
        <v>8481</v>
      </c>
      <c r="Z660" s="4" t="s">
        <v>8481</v>
      </c>
      <c r="AA660" s="3">
        <v>298</v>
      </c>
      <c r="AB660" s="3">
        <v>166</v>
      </c>
      <c r="AC660" s="3">
        <v>701</v>
      </c>
      <c r="AD660" s="3">
        <v>3</v>
      </c>
      <c r="AE660" s="3">
        <v>8</v>
      </c>
      <c r="AF660" s="3">
        <v>7</v>
      </c>
      <c r="AG660" s="3">
        <v>34</v>
      </c>
      <c r="AH660" s="3">
        <v>2</v>
      </c>
      <c r="AI660" s="3">
        <v>12</v>
      </c>
      <c r="AJ660" s="3">
        <v>1</v>
      </c>
      <c r="AK660" s="3">
        <v>9</v>
      </c>
      <c r="AL660" s="3">
        <v>3</v>
      </c>
      <c r="AM660" s="3">
        <v>12</v>
      </c>
      <c r="AN660" s="3">
        <v>2</v>
      </c>
      <c r="AO660" s="3">
        <v>6</v>
      </c>
      <c r="AP660" s="3">
        <v>0</v>
      </c>
      <c r="AQ660" s="3">
        <v>2</v>
      </c>
      <c r="AR660" s="2" t="s">
        <v>8</v>
      </c>
      <c r="AS660" s="2" t="s">
        <v>8</v>
      </c>
      <c r="AU660" s="5" t="str">
        <f>HYPERLINK("https://creighton-primo.hosted.exlibrisgroup.com/primo-explore/search?tab=default_tab&amp;search_scope=EVERYTHING&amp;vid=01CRU&amp;lang=en_US&amp;offset=0&amp;query=any,contains,991001405059702656","Catalog Record")</f>
        <v>Catalog Record</v>
      </c>
      <c r="AV660" s="5" t="str">
        <f>HYPERLINK("http://www.worldcat.org/oclc/14214255","WorldCat Record")</f>
        <v>WorldCat Record</v>
      </c>
      <c r="AW660" s="2" t="s">
        <v>8482</v>
      </c>
      <c r="AX660" s="2" t="s">
        <v>8483</v>
      </c>
      <c r="AY660" s="2" t="s">
        <v>8484</v>
      </c>
      <c r="AZ660" s="2" t="s">
        <v>8484</v>
      </c>
      <c r="BA660" s="2" t="s">
        <v>8485</v>
      </c>
      <c r="BB660" s="2" t="s">
        <v>21</v>
      </c>
      <c r="BD660" s="2" t="s">
        <v>8486</v>
      </c>
      <c r="BE660" s="2" t="s">
        <v>8487</v>
      </c>
      <c r="BF660" s="2" t="s">
        <v>8488</v>
      </c>
    </row>
    <row r="661" spans="1:58" ht="42.75" customHeight="1" x14ac:dyDescent="0.25">
      <c r="A661" s="8" t="s">
        <v>8</v>
      </c>
      <c r="B661" s="1" t="s">
        <v>0</v>
      </c>
      <c r="C661" s="1" t="s">
        <v>1</v>
      </c>
      <c r="D661" s="1" t="s">
        <v>8489</v>
      </c>
      <c r="E661" s="1" t="s">
        <v>8490</v>
      </c>
      <c r="F661" s="1" t="s">
        <v>8491</v>
      </c>
      <c r="H661" s="2" t="s">
        <v>8</v>
      </c>
      <c r="I661" s="2" t="s">
        <v>7</v>
      </c>
      <c r="J661" s="2" t="s">
        <v>8</v>
      </c>
      <c r="K661" s="2" t="s">
        <v>8</v>
      </c>
      <c r="L661" s="2" t="s">
        <v>9</v>
      </c>
      <c r="M661" s="1" t="s">
        <v>8492</v>
      </c>
      <c r="N661" s="1" t="s">
        <v>8493</v>
      </c>
      <c r="O661" s="2" t="s">
        <v>731</v>
      </c>
      <c r="Q661" s="2" t="s">
        <v>12</v>
      </c>
      <c r="R661" s="2" t="s">
        <v>815</v>
      </c>
      <c r="T661" s="2" t="s">
        <v>14</v>
      </c>
      <c r="U661" s="3">
        <v>3</v>
      </c>
      <c r="V661" s="3">
        <v>3</v>
      </c>
      <c r="W661" s="4" t="s">
        <v>8494</v>
      </c>
      <c r="X661" s="4" t="s">
        <v>8494</v>
      </c>
      <c r="Y661" s="4" t="s">
        <v>1643</v>
      </c>
      <c r="Z661" s="4" t="s">
        <v>1643</v>
      </c>
      <c r="AA661" s="3">
        <v>203</v>
      </c>
      <c r="AB661" s="3">
        <v>187</v>
      </c>
      <c r="AC661" s="3">
        <v>187</v>
      </c>
      <c r="AD661" s="3">
        <v>2</v>
      </c>
      <c r="AE661" s="3">
        <v>2</v>
      </c>
      <c r="AF661" s="3">
        <v>8</v>
      </c>
      <c r="AG661" s="3">
        <v>8</v>
      </c>
      <c r="AH661" s="3">
        <v>0</v>
      </c>
      <c r="AI661" s="3">
        <v>0</v>
      </c>
      <c r="AJ661" s="3">
        <v>3</v>
      </c>
      <c r="AK661" s="3">
        <v>3</v>
      </c>
      <c r="AL661" s="3">
        <v>6</v>
      </c>
      <c r="AM661" s="3">
        <v>6</v>
      </c>
      <c r="AN661" s="3">
        <v>1</v>
      </c>
      <c r="AO661" s="3">
        <v>1</v>
      </c>
      <c r="AP661" s="3">
        <v>0</v>
      </c>
      <c r="AQ661" s="3">
        <v>0</v>
      </c>
      <c r="AR661" s="2" t="s">
        <v>8</v>
      </c>
      <c r="AS661" s="2" t="s">
        <v>8</v>
      </c>
      <c r="AU661" s="5" t="str">
        <f>HYPERLINK("https://creighton-primo.hosted.exlibrisgroup.com/primo-explore/search?tab=default_tab&amp;search_scope=EVERYTHING&amp;vid=01CRU&amp;lang=en_US&amp;offset=0&amp;query=any,contains,991000396979702656","Catalog Record")</f>
        <v>Catalog Record</v>
      </c>
      <c r="AV661" s="5" t="str">
        <f>HYPERLINK("http://www.worldcat.org/oclc/39123596","WorldCat Record")</f>
        <v>WorldCat Record</v>
      </c>
      <c r="AW661" s="2" t="s">
        <v>8495</v>
      </c>
      <c r="AX661" s="2" t="s">
        <v>8496</v>
      </c>
      <c r="AY661" s="2" t="s">
        <v>8497</v>
      </c>
      <c r="AZ661" s="2" t="s">
        <v>8497</v>
      </c>
      <c r="BA661" s="2" t="s">
        <v>8498</v>
      </c>
      <c r="BB661" s="2" t="s">
        <v>21</v>
      </c>
      <c r="BD661" s="2" t="s">
        <v>8499</v>
      </c>
      <c r="BE661" s="2" t="s">
        <v>8500</v>
      </c>
      <c r="BF661" s="2" t="s">
        <v>8501</v>
      </c>
    </row>
    <row r="662" spans="1:58" ht="42.75" customHeight="1" x14ac:dyDescent="0.25">
      <c r="A662" s="8" t="s">
        <v>8</v>
      </c>
      <c r="B662" s="1" t="s">
        <v>0</v>
      </c>
      <c r="C662" s="1" t="s">
        <v>1</v>
      </c>
      <c r="D662" s="1" t="s">
        <v>8502</v>
      </c>
      <c r="E662" s="1" t="s">
        <v>8503</v>
      </c>
      <c r="F662" s="1" t="s">
        <v>8504</v>
      </c>
      <c r="H662" s="2" t="s">
        <v>8</v>
      </c>
      <c r="I662" s="2" t="s">
        <v>7</v>
      </c>
      <c r="J662" s="2" t="s">
        <v>8</v>
      </c>
      <c r="K662" s="2" t="s">
        <v>8</v>
      </c>
      <c r="L662" s="2" t="s">
        <v>9</v>
      </c>
      <c r="M662" s="1" t="s">
        <v>8505</v>
      </c>
      <c r="N662" s="1" t="s">
        <v>8506</v>
      </c>
      <c r="O662" s="2" t="s">
        <v>657</v>
      </c>
      <c r="Q662" s="2" t="s">
        <v>12</v>
      </c>
      <c r="R662" s="2" t="s">
        <v>643</v>
      </c>
      <c r="T662" s="2" t="s">
        <v>14</v>
      </c>
      <c r="U662" s="3">
        <v>4</v>
      </c>
      <c r="V662" s="3">
        <v>4</v>
      </c>
      <c r="W662" s="4" t="s">
        <v>8494</v>
      </c>
      <c r="X662" s="4" t="s">
        <v>8494</v>
      </c>
      <c r="Y662" s="4" t="s">
        <v>8507</v>
      </c>
      <c r="Z662" s="4" t="s">
        <v>8507</v>
      </c>
      <c r="AA662" s="3">
        <v>225</v>
      </c>
      <c r="AB662" s="3">
        <v>110</v>
      </c>
      <c r="AC662" s="3">
        <v>115</v>
      </c>
      <c r="AD662" s="3">
        <v>2</v>
      </c>
      <c r="AE662" s="3">
        <v>2</v>
      </c>
      <c r="AF662" s="3">
        <v>2</v>
      </c>
      <c r="AG662" s="3">
        <v>2</v>
      </c>
      <c r="AH662" s="3">
        <v>0</v>
      </c>
      <c r="AI662" s="3">
        <v>0</v>
      </c>
      <c r="AJ662" s="3">
        <v>1</v>
      </c>
      <c r="AK662" s="3">
        <v>1</v>
      </c>
      <c r="AL662" s="3">
        <v>0</v>
      </c>
      <c r="AM662" s="3">
        <v>0</v>
      </c>
      <c r="AN662" s="3">
        <v>1</v>
      </c>
      <c r="AO662" s="3">
        <v>1</v>
      </c>
      <c r="AP662" s="3">
        <v>0</v>
      </c>
      <c r="AQ662" s="3">
        <v>0</v>
      </c>
      <c r="AR662" s="2" t="s">
        <v>8</v>
      </c>
      <c r="AS662" s="2" t="s">
        <v>8</v>
      </c>
      <c r="AU662" s="5" t="str">
        <f>HYPERLINK("https://creighton-primo.hosted.exlibrisgroup.com/primo-explore/search?tab=default_tab&amp;search_scope=EVERYTHING&amp;vid=01CRU&amp;lang=en_US&amp;offset=0&amp;query=any,contains,991000358749702656","Catalog Record")</f>
        <v>Catalog Record</v>
      </c>
      <c r="AV662" s="5" t="str">
        <f>HYPERLINK("http://www.worldcat.org/oclc/47013207","WorldCat Record")</f>
        <v>WorldCat Record</v>
      </c>
      <c r="AW662" s="2" t="s">
        <v>8508</v>
      </c>
      <c r="AX662" s="2" t="s">
        <v>8509</v>
      </c>
      <c r="AY662" s="2" t="s">
        <v>8510</v>
      </c>
      <c r="AZ662" s="2" t="s">
        <v>8510</v>
      </c>
      <c r="BA662" s="2" t="s">
        <v>8511</v>
      </c>
      <c r="BB662" s="2" t="s">
        <v>21</v>
      </c>
      <c r="BD662" s="2" t="s">
        <v>8512</v>
      </c>
      <c r="BE662" s="2" t="s">
        <v>8513</v>
      </c>
      <c r="BF662" s="2" t="s">
        <v>8514</v>
      </c>
    </row>
    <row r="663" spans="1:58" ht="42.75" customHeight="1" x14ac:dyDescent="0.25">
      <c r="A663" s="8" t="s">
        <v>8</v>
      </c>
      <c r="B663" s="1" t="s">
        <v>0</v>
      </c>
      <c r="C663" s="1" t="s">
        <v>1</v>
      </c>
      <c r="D663" s="1" t="s">
        <v>8515</v>
      </c>
      <c r="E663" s="1" t="s">
        <v>8516</v>
      </c>
      <c r="F663" s="1" t="s">
        <v>8517</v>
      </c>
      <c r="H663" s="2" t="s">
        <v>8</v>
      </c>
      <c r="I663" s="2" t="s">
        <v>7</v>
      </c>
      <c r="J663" s="2" t="s">
        <v>8</v>
      </c>
      <c r="K663" s="2" t="s">
        <v>8</v>
      </c>
      <c r="L663" s="2" t="s">
        <v>9</v>
      </c>
      <c r="N663" s="1" t="s">
        <v>8518</v>
      </c>
      <c r="O663" s="2" t="s">
        <v>252</v>
      </c>
      <c r="Q663" s="2" t="s">
        <v>12</v>
      </c>
      <c r="R663" s="2" t="s">
        <v>1340</v>
      </c>
      <c r="S663" s="1" t="s">
        <v>8519</v>
      </c>
      <c r="T663" s="2" t="s">
        <v>14</v>
      </c>
      <c r="U663" s="3">
        <v>5</v>
      </c>
      <c r="V663" s="3">
        <v>5</v>
      </c>
      <c r="W663" s="4" t="s">
        <v>8415</v>
      </c>
      <c r="X663" s="4" t="s">
        <v>8415</v>
      </c>
      <c r="Y663" s="4" t="s">
        <v>7262</v>
      </c>
      <c r="Z663" s="4" t="s">
        <v>7262</v>
      </c>
      <c r="AA663" s="3">
        <v>224</v>
      </c>
      <c r="AB663" s="3">
        <v>181</v>
      </c>
      <c r="AC663" s="3">
        <v>188</v>
      </c>
      <c r="AD663" s="3">
        <v>1</v>
      </c>
      <c r="AE663" s="3">
        <v>1</v>
      </c>
      <c r="AF663" s="3">
        <v>6</v>
      </c>
      <c r="AG663" s="3">
        <v>6</v>
      </c>
      <c r="AH663" s="3">
        <v>3</v>
      </c>
      <c r="AI663" s="3">
        <v>3</v>
      </c>
      <c r="AJ663" s="3">
        <v>3</v>
      </c>
      <c r="AK663" s="3">
        <v>3</v>
      </c>
      <c r="AL663" s="3">
        <v>0</v>
      </c>
      <c r="AM663" s="3">
        <v>0</v>
      </c>
      <c r="AN663" s="3">
        <v>0</v>
      </c>
      <c r="AO663" s="3">
        <v>0</v>
      </c>
      <c r="AP663" s="3">
        <v>1</v>
      </c>
      <c r="AQ663" s="3">
        <v>1</v>
      </c>
      <c r="AR663" s="2" t="s">
        <v>8</v>
      </c>
      <c r="AS663" s="2" t="s">
        <v>6</v>
      </c>
      <c r="AT663" s="5" t="str">
        <f>HYPERLINK("http://catalog.hathitrust.org/Record/000104827","HathiTrust Record")</f>
        <v>HathiTrust Record</v>
      </c>
      <c r="AU663" s="5" t="str">
        <f>HYPERLINK("https://creighton-primo.hosted.exlibrisgroup.com/primo-explore/search?tab=default_tab&amp;search_scope=EVERYTHING&amp;vid=01CRU&amp;lang=en_US&amp;offset=0&amp;query=any,contains,991001543549702656","Catalog Record")</f>
        <v>Catalog Record</v>
      </c>
      <c r="AV663" s="5" t="str">
        <f>HYPERLINK("http://www.worldcat.org/oclc/7732654","WorldCat Record")</f>
        <v>WorldCat Record</v>
      </c>
      <c r="AW663" s="2" t="s">
        <v>8520</v>
      </c>
      <c r="AX663" s="2" t="s">
        <v>8521</v>
      </c>
      <c r="AY663" s="2" t="s">
        <v>8522</v>
      </c>
      <c r="AZ663" s="2" t="s">
        <v>8522</v>
      </c>
      <c r="BA663" s="2" t="s">
        <v>8523</v>
      </c>
      <c r="BB663" s="2" t="s">
        <v>21</v>
      </c>
      <c r="BD663" s="2" t="s">
        <v>8524</v>
      </c>
      <c r="BE663" s="2" t="s">
        <v>8525</v>
      </c>
      <c r="BF663" s="2" t="s">
        <v>8526</v>
      </c>
    </row>
    <row r="664" spans="1:58" ht="42.75" customHeight="1" x14ac:dyDescent="0.25">
      <c r="A664" s="8" t="s">
        <v>8</v>
      </c>
      <c r="B664" s="1" t="s">
        <v>0</v>
      </c>
      <c r="C664" s="1" t="s">
        <v>1</v>
      </c>
      <c r="D664" s="1" t="s">
        <v>8527</v>
      </c>
      <c r="E664" s="1" t="s">
        <v>8528</v>
      </c>
      <c r="F664" s="1" t="s">
        <v>8348</v>
      </c>
      <c r="H664" s="2" t="s">
        <v>8</v>
      </c>
      <c r="I664" s="2" t="s">
        <v>7</v>
      </c>
      <c r="J664" s="2" t="s">
        <v>8</v>
      </c>
      <c r="K664" s="2" t="s">
        <v>6</v>
      </c>
      <c r="L664" s="2" t="s">
        <v>9</v>
      </c>
      <c r="M664" s="1" t="s">
        <v>8349</v>
      </c>
      <c r="N664" s="1" t="s">
        <v>8529</v>
      </c>
      <c r="O664" s="2" t="s">
        <v>51</v>
      </c>
      <c r="P664" s="1" t="s">
        <v>732</v>
      </c>
      <c r="Q664" s="2" t="s">
        <v>12</v>
      </c>
      <c r="R664" s="2" t="s">
        <v>13</v>
      </c>
      <c r="T664" s="2" t="s">
        <v>14</v>
      </c>
      <c r="U664" s="3">
        <v>11</v>
      </c>
      <c r="V664" s="3">
        <v>11</v>
      </c>
      <c r="W664" s="4" t="s">
        <v>8530</v>
      </c>
      <c r="X664" s="4" t="s">
        <v>8530</v>
      </c>
      <c r="Y664" s="4" t="s">
        <v>8531</v>
      </c>
      <c r="Z664" s="4" t="s">
        <v>8531</v>
      </c>
      <c r="AA664" s="3">
        <v>35</v>
      </c>
      <c r="AB664" s="3">
        <v>24</v>
      </c>
      <c r="AC664" s="3">
        <v>781</v>
      </c>
      <c r="AD664" s="3">
        <v>1</v>
      </c>
      <c r="AE664" s="3">
        <v>7</v>
      </c>
      <c r="AF664" s="3">
        <v>1</v>
      </c>
      <c r="AG664" s="3">
        <v>38</v>
      </c>
      <c r="AH664" s="3">
        <v>1</v>
      </c>
      <c r="AI664" s="3">
        <v>12</v>
      </c>
      <c r="AJ664" s="3">
        <v>0</v>
      </c>
      <c r="AK664" s="3">
        <v>8</v>
      </c>
      <c r="AL664" s="3">
        <v>0</v>
      </c>
      <c r="AM664" s="3">
        <v>18</v>
      </c>
      <c r="AN664" s="3">
        <v>0</v>
      </c>
      <c r="AO664" s="3">
        <v>5</v>
      </c>
      <c r="AP664" s="3">
        <v>0</v>
      </c>
      <c r="AQ664" s="3">
        <v>3</v>
      </c>
      <c r="AR664" s="2" t="s">
        <v>8</v>
      </c>
      <c r="AS664" s="2" t="s">
        <v>6</v>
      </c>
      <c r="AT664" s="5" t="str">
        <f>HYPERLINK("http://catalog.hathitrust.org/Record/007065714","HathiTrust Record")</f>
        <v>HathiTrust Record</v>
      </c>
      <c r="AU664" s="5" t="str">
        <f>HYPERLINK("https://creighton-primo.hosted.exlibrisgroup.com/primo-explore/search?tab=default_tab&amp;search_scope=EVERYTHING&amp;vid=01CRU&amp;lang=en_US&amp;offset=0&amp;query=any,contains,991001307149702656","Catalog Record")</f>
        <v>Catalog Record</v>
      </c>
      <c r="AV664" s="5" t="str">
        <f>HYPERLINK("http://www.worldcat.org/oclc/22253400","WorldCat Record")</f>
        <v>WorldCat Record</v>
      </c>
      <c r="AW664" s="2" t="s">
        <v>8532</v>
      </c>
      <c r="AX664" s="2" t="s">
        <v>8533</v>
      </c>
      <c r="AY664" s="2" t="s">
        <v>8534</v>
      </c>
      <c r="AZ664" s="2" t="s">
        <v>8534</v>
      </c>
      <c r="BA664" s="2" t="s">
        <v>8535</v>
      </c>
      <c r="BB664" s="2" t="s">
        <v>21</v>
      </c>
      <c r="BD664" s="2" t="s">
        <v>8536</v>
      </c>
      <c r="BE664" s="2" t="s">
        <v>8537</v>
      </c>
      <c r="BF664" s="2" t="s">
        <v>8538</v>
      </c>
    </row>
    <row r="665" spans="1:58" ht="42.75" customHeight="1" x14ac:dyDescent="0.25">
      <c r="A665" s="8" t="s">
        <v>8</v>
      </c>
      <c r="B665" s="1" t="s">
        <v>0</v>
      </c>
      <c r="C665" s="1" t="s">
        <v>1</v>
      </c>
      <c r="D665" s="1" t="s">
        <v>8539</v>
      </c>
      <c r="E665" s="1" t="s">
        <v>8540</v>
      </c>
      <c r="F665" s="1" t="s">
        <v>8541</v>
      </c>
      <c r="H665" s="2" t="s">
        <v>8</v>
      </c>
      <c r="I665" s="2" t="s">
        <v>7</v>
      </c>
      <c r="J665" s="2" t="s">
        <v>8</v>
      </c>
      <c r="K665" s="2" t="s">
        <v>6</v>
      </c>
      <c r="L665" s="2" t="s">
        <v>885</v>
      </c>
      <c r="M665" s="1" t="s">
        <v>8349</v>
      </c>
      <c r="N665" s="1" t="s">
        <v>8542</v>
      </c>
      <c r="O665" s="2" t="s">
        <v>51</v>
      </c>
      <c r="Q665" s="2" t="s">
        <v>12</v>
      </c>
      <c r="R665" s="2" t="s">
        <v>1252</v>
      </c>
      <c r="T665" s="2" t="s">
        <v>14</v>
      </c>
      <c r="U665" s="3">
        <v>9</v>
      </c>
      <c r="V665" s="3">
        <v>9</v>
      </c>
      <c r="W665" s="4" t="s">
        <v>8543</v>
      </c>
      <c r="X665" s="4" t="s">
        <v>8543</v>
      </c>
      <c r="Y665" s="4" t="s">
        <v>8544</v>
      </c>
      <c r="Z665" s="4" t="s">
        <v>8544</v>
      </c>
      <c r="AA665" s="3">
        <v>383</v>
      </c>
      <c r="AB665" s="3">
        <v>343</v>
      </c>
      <c r="AC665" s="3">
        <v>1618</v>
      </c>
      <c r="AD665" s="3">
        <v>1</v>
      </c>
      <c r="AE665" s="3">
        <v>31</v>
      </c>
      <c r="AF665" s="3">
        <v>25</v>
      </c>
      <c r="AG665" s="3">
        <v>66</v>
      </c>
      <c r="AH665" s="3">
        <v>5</v>
      </c>
      <c r="AI665" s="3">
        <v>18</v>
      </c>
      <c r="AJ665" s="3">
        <v>4</v>
      </c>
      <c r="AK665" s="3">
        <v>10</v>
      </c>
      <c r="AL665" s="3">
        <v>10</v>
      </c>
      <c r="AM665" s="3">
        <v>18</v>
      </c>
      <c r="AN665" s="3">
        <v>0</v>
      </c>
      <c r="AO665" s="3">
        <v>16</v>
      </c>
      <c r="AP665" s="3">
        <v>11</v>
      </c>
      <c r="AQ665" s="3">
        <v>13</v>
      </c>
      <c r="AR665" s="2" t="s">
        <v>8</v>
      </c>
      <c r="AS665" s="2" t="s">
        <v>6</v>
      </c>
      <c r="AT665" s="5" t="str">
        <f>HYPERLINK("http://catalog.hathitrust.org/Record/000907263","HathiTrust Record")</f>
        <v>HathiTrust Record</v>
      </c>
      <c r="AU665" s="5" t="str">
        <f>HYPERLINK("https://creighton-primo.hosted.exlibrisgroup.com/primo-explore/search?tab=default_tab&amp;search_scope=EVERYTHING&amp;vid=01CRU&amp;lang=en_US&amp;offset=0&amp;query=any,contains,991001244469702656","Catalog Record")</f>
        <v>Catalog Record</v>
      </c>
      <c r="AV665" s="5" t="str">
        <f>HYPERLINK("http://www.worldcat.org/oclc/17477056","WorldCat Record")</f>
        <v>WorldCat Record</v>
      </c>
      <c r="AW665" s="2" t="s">
        <v>8545</v>
      </c>
      <c r="AX665" s="2" t="s">
        <v>8546</v>
      </c>
      <c r="AY665" s="2" t="s">
        <v>8547</v>
      </c>
      <c r="AZ665" s="2" t="s">
        <v>8547</v>
      </c>
      <c r="BA665" s="2" t="s">
        <v>8548</v>
      </c>
      <c r="BB665" s="2" t="s">
        <v>21</v>
      </c>
      <c r="BD665" s="2" t="s">
        <v>8549</v>
      </c>
      <c r="BE665" s="2" t="s">
        <v>8550</v>
      </c>
      <c r="BF665" s="2" t="s">
        <v>8551</v>
      </c>
    </row>
    <row r="666" spans="1:58" ht="42.75" customHeight="1" x14ac:dyDescent="0.25">
      <c r="A666" s="8" t="s">
        <v>8</v>
      </c>
      <c r="B666" s="1" t="s">
        <v>0</v>
      </c>
      <c r="C666" s="1" t="s">
        <v>1</v>
      </c>
      <c r="D666" s="1" t="s">
        <v>8552</v>
      </c>
      <c r="E666" s="1" t="s">
        <v>8553</v>
      </c>
      <c r="F666" s="1" t="s">
        <v>8554</v>
      </c>
      <c r="H666" s="2" t="s">
        <v>8</v>
      </c>
      <c r="I666" s="2" t="s">
        <v>7</v>
      </c>
      <c r="J666" s="2" t="s">
        <v>8</v>
      </c>
      <c r="K666" s="2" t="s">
        <v>6</v>
      </c>
      <c r="L666" s="2" t="s">
        <v>9</v>
      </c>
      <c r="M666" s="1" t="s">
        <v>8555</v>
      </c>
      <c r="N666" s="1" t="s">
        <v>8556</v>
      </c>
      <c r="O666" s="2" t="s">
        <v>1446</v>
      </c>
      <c r="Q666" s="2" t="s">
        <v>12</v>
      </c>
      <c r="R666" s="2" t="s">
        <v>267</v>
      </c>
      <c r="T666" s="2" t="s">
        <v>14</v>
      </c>
      <c r="U666" s="3">
        <v>4</v>
      </c>
      <c r="V666" s="3">
        <v>4</v>
      </c>
      <c r="W666" s="4" t="s">
        <v>8557</v>
      </c>
      <c r="X666" s="4" t="s">
        <v>8557</v>
      </c>
      <c r="Y666" s="4" t="s">
        <v>1553</v>
      </c>
      <c r="Z666" s="4" t="s">
        <v>1553</v>
      </c>
      <c r="AA666" s="3">
        <v>202</v>
      </c>
      <c r="AB666" s="3">
        <v>145</v>
      </c>
      <c r="AC666" s="3">
        <v>1508</v>
      </c>
      <c r="AD666" s="3">
        <v>1</v>
      </c>
      <c r="AE666" s="3">
        <v>13</v>
      </c>
      <c r="AF666" s="3">
        <v>2</v>
      </c>
      <c r="AG666" s="3">
        <v>54</v>
      </c>
      <c r="AH666" s="3">
        <v>0</v>
      </c>
      <c r="AI666" s="3">
        <v>17</v>
      </c>
      <c r="AJ666" s="3">
        <v>0</v>
      </c>
      <c r="AK666" s="3">
        <v>10</v>
      </c>
      <c r="AL666" s="3">
        <v>2</v>
      </c>
      <c r="AM666" s="3">
        <v>22</v>
      </c>
      <c r="AN666" s="3">
        <v>0</v>
      </c>
      <c r="AO666" s="3">
        <v>10</v>
      </c>
      <c r="AP666" s="3">
        <v>0</v>
      </c>
      <c r="AQ666" s="3">
        <v>6</v>
      </c>
      <c r="AR666" s="2" t="s">
        <v>8</v>
      </c>
      <c r="AS666" s="2" t="s">
        <v>8</v>
      </c>
      <c r="AU666" s="5" t="str">
        <f>HYPERLINK("https://creighton-primo.hosted.exlibrisgroup.com/primo-explore/search?tab=default_tab&amp;search_scope=EVERYTHING&amp;vid=01CRU&amp;lang=en_US&amp;offset=0&amp;query=any,contains,991001543639702656","Catalog Record")</f>
        <v>Catalog Record</v>
      </c>
      <c r="AV666" s="5" t="str">
        <f>HYPERLINK("http://www.worldcat.org/oclc/1301570","WorldCat Record")</f>
        <v>WorldCat Record</v>
      </c>
      <c r="AW666" s="2" t="s">
        <v>8558</v>
      </c>
      <c r="AX666" s="2" t="s">
        <v>8559</v>
      </c>
      <c r="AY666" s="2" t="s">
        <v>8560</v>
      </c>
      <c r="AZ666" s="2" t="s">
        <v>8560</v>
      </c>
      <c r="BA666" s="2" t="s">
        <v>8561</v>
      </c>
      <c r="BB666" s="2" t="s">
        <v>21</v>
      </c>
      <c r="BE666" s="2" t="s">
        <v>8562</v>
      </c>
      <c r="BF666" s="2" t="s">
        <v>8563</v>
      </c>
    </row>
    <row r="667" spans="1:58" ht="42.75" customHeight="1" x14ac:dyDescent="0.25">
      <c r="A667" s="8" t="s">
        <v>8</v>
      </c>
      <c r="B667" s="1" t="s">
        <v>0</v>
      </c>
      <c r="C667" s="1" t="s">
        <v>1</v>
      </c>
      <c r="D667" s="1" t="s">
        <v>8564</v>
      </c>
      <c r="E667" s="1" t="s">
        <v>8565</v>
      </c>
      <c r="F667" s="1" t="s">
        <v>8566</v>
      </c>
      <c r="H667" s="2" t="s">
        <v>8</v>
      </c>
      <c r="I667" s="2" t="s">
        <v>7</v>
      </c>
      <c r="J667" s="2" t="s">
        <v>8</v>
      </c>
      <c r="K667" s="2" t="s">
        <v>8</v>
      </c>
      <c r="L667" s="2" t="s">
        <v>9</v>
      </c>
      <c r="N667" s="1" t="s">
        <v>8567</v>
      </c>
      <c r="O667" s="2" t="s">
        <v>731</v>
      </c>
      <c r="Q667" s="2" t="s">
        <v>12</v>
      </c>
      <c r="R667" s="2" t="s">
        <v>520</v>
      </c>
      <c r="T667" s="2" t="s">
        <v>14</v>
      </c>
      <c r="U667" s="3">
        <v>17</v>
      </c>
      <c r="V667" s="3">
        <v>17</v>
      </c>
      <c r="W667" s="4" t="s">
        <v>8568</v>
      </c>
      <c r="X667" s="4" t="s">
        <v>8568</v>
      </c>
      <c r="Y667" s="4" t="s">
        <v>5739</v>
      </c>
      <c r="Z667" s="4" t="s">
        <v>5739</v>
      </c>
      <c r="AA667" s="3">
        <v>337</v>
      </c>
      <c r="AB667" s="3">
        <v>325</v>
      </c>
      <c r="AC667" s="3">
        <v>331</v>
      </c>
      <c r="AD667" s="3">
        <v>2</v>
      </c>
      <c r="AE667" s="3">
        <v>2</v>
      </c>
      <c r="AF667" s="3">
        <v>19</v>
      </c>
      <c r="AG667" s="3">
        <v>19</v>
      </c>
      <c r="AH667" s="3">
        <v>8</v>
      </c>
      <c r="AI667" s="3">
        <v>8</v>
      </c>
      <c r="AJ667" s="3">
        <v>4</v>
      </c>
      <c r="AK667" s="3">
        <v>4</v>
      </c>
      <c r="AL667" s="3">
        <v>12</v>
      </c>
      <c r="AM667" s="3">
        <v>12</v>
      </c>
      <c r="AN667" s="3">
        <v>1</v>
      </c>
      <c r="AO667" s="3">
        <v>1</v>
      </c>
      <c r="AP667" s="3">
        <v>1</v>
      </c>
      <c r="AQ667" s="3">
        <v>1</v>
      </c>
      <c r="AR667" s="2" t="s">
        <v>8</v>
      </c>
      <c r="AS667" s="2" t="s">
        <v>6</v>
      </c>
      <c r="AT667" s="5" t="str">
        <f>HYPERLINK("http://catalog.hathitrust.org/Record/004030845","HathiTrust Record")</f>
        <v>HathiTrust Record</v>
      </c>
      <c r="AU667" s="5" t="str">
        <f>HYPERLINK("https://creighton-primo.hosted.exlibrisgroup.com/primo-explore/search?tab=default_tab&amp;search_scope=EVERYTHING&amp;vid=01CRU&amp;lang=en_US&amp;offset=0&amp;query=any,contains,991001430529702656","Catalog Record")</f>
        <v>Catalog Record</v>
      </c>
      <c r="AV667" s="5" t="str">
        <f>HYPERLINK("http://www.worldcat.org/oclc/37132468","WorldCat Record")</f>
        <v>WorldCat Record</v>
      </c>
      <c r="AW667" s="2" t="s">
        <v>8569</v>
      </c>
      <c r="AX667" s="2" t="s">
        <v>8570</v>
      </c>
      <c r="AY667" s="2" t="s">
        <v>8571</v>
      </c>
      <c r="AZ667" s="2" t="s">
        <v>8571</v>
      </c>
      <c r="BA667" s="2" t="s">
        <v>8572</v>
      </c>
      <c r="BB667" s="2" t="s">
        <v>21</v>
      </c>
      <c r="BD667" s="2" t="s">
        <v>8573</v>
      </c>
      <c r="BE667" s="2" t="s">
        <v>8574</v>
      </c>
      <c r="BF667" s="2" t="s">
        <v>8575</v>
      </c>
    </row>
    <row r="668" spans="1:58" ht="42.75" customHeight="1" x14ac:dyDescent="0.25">
      <c r="A668" s="8" t="s">
        <v>8</v>
      </c>
      <c r="B668" s="1" t="s">
        <v>0</v>
      </c>
      <c r="C668" s="1" t="s">
        <v>1</v>
      </c>
      <c r="D668" s="1" t="s">
        <v>8576</v>
      </c>
      <c r="E668" s="1" t="s">
        <v>8577</v>
      </c>
      <c r="F668" s="1" t="s">
        <v>8578</v>
      </c>
      <c r="H668" s="2" t="s">
        <v>8</v>
      </c>
      <c r="I668" s="2" t="s">
        <v>7</v>
      </c>
      <c r="J668" s="2" t="s">
        <v>8</v>
      </c>
      <c r="K668" s="2" t="s">
        <v>8</v>
      </c>
      <c r="L668" s="2" t="s">
        <v>9</v>
      </c>
      <c r="M668" s="1" t="s">
        <v>8579</v>
      </c>
      <c r="N668" s="1" t="s">
        <v>8580</v>
      </c>
      <c r="O668" s="2" t="s">
        <v>2044</v>
      </c>
      <c r="Q668" s="2" t="s">
        <v>12</v>
      </c>
      <c r="R668" s="2" t="s">
        <v>643</v>
      </c>
      <c r="S668" s="1" t="s">
        <v>8581</v>
      </c>
      <c r="T668" s="2" t="s">
        <v>14</v>
      </c>
      <c r="U668" s="3">
        <v>1</v>
      </c>
      <c r="V668" s="3">
        <v>1</v>
      </c>
      <c r="W668" s="4" t="s">
        <v>5895</v>
      </c>
      <c r="X668" s="4" t="s">
        <v>5895</v>
      </c>
      <c r="Y668" s="4" t="s">
        <v>6817</v>
      </c>
      <c r="Z668" s="4" t="s">
        <v>6817</v>
      </c>
      <c r="AA668" s="3">
        <v>148</v>
      </c>
      <c r="AB668" s="3">
        <v>73</v>
      </c>
      <c r="AC668" s="3">
        <v>78</v>
      </c>
      <c r="AD668" s="3">
        <v>1</v>
      </c>
      <c r="AE668" s="3">
        <v>1</v>
      </c>
      <c r="AF668" s="3">
        <v>1</v>
      </c>
      <c r="AG668" s="3">
        <v>1</v>
      </c>
      <c r="AH668" s="3">
        <v>0</v>
      </c>
      <c r="AI668" s="3">
        <v>0</v>
      </c>
      <c r="AJ668" s="3">
        <v>0</v>
      </c>
      <c r="AK668" s="3">
        <v>0</v>
      </c>
      <c r="AL668" s="3">
        <v>1</v>
      </c>
      <c r="AM668" s="3">
        <v>1</v>
      </c>
      <c r="AN668" s="3">
        <v>0</v>
      </c>
      <c r="AO668" s="3">
        <v>0</v>
      </c>
      <c r="AP668" s="3">
        <v>0</v>
      </c>
      <c r="AQ668" s="3">
        <v>0</v>
      </c>
      <c r="AR668" s="2" t="s">
        <v>8</v>
      </c>
      <c r="AS668" s="2" t="s">
        <v>8</v>
      </c>
      <c r="AU668" s="5" t="str">
        <f>HYPERLINK("https://creighton-primo.hosted.exlibrisgroup.com/primo-explore/search?tab=default_tab&amp;search_scope=EVERYTHING&amp;vid=01CRU&amp;lang=en_US&amp;offset=0&amp;query=any,contains,991000380359702656","Catalog Record")</f>
        <v>Catalog Record</v>
      </c>
      <c r="AV668" s="5" t="str">
        <f>HYPERLINK("http://www.worldcat.org/oclc/48655641","WorldCat Record")</f>
        <v>WorldCat Record</v>
      </c>
      <c r="AW668" s="2" t="s">
        <v>8582</v>
      </c>
      <c r="AX668" s="2" t="s">
        <v>8583</v>
      </c>
      <c r="AY668" s="2" t="s">
        <v>8584</v>
      </c>
      <c r="AZ668" s="2" t="s">
        <v>8584</v>
      </c>
      <c r="BA668" s="2" t="s">
        <v>8585</v>
      </c>
      <c r="BB668" s="2" t="s">
        <v>21</v>
      </c>
      <c r="BD668" s="2" t="s">
        <v>8586</v>
      </c>
      <c r="BE668" s="2" t="s">
        <v>8587</v>
      </c>
      <c r="BF668" s="2" t="s">
        <v>8588</v>
      </c>
    </row>
    <row r="669" spans="1:58" ht="42.75" customHeight="1" x14ac:dyDescent="0.25">
      <c r="A669" s="8" t="s">
        <v>8</v>
      </c>
      <c r="B669" s="1" t="s">
        <v>0</v>
      </c>
      <c r="C669" s="1" t="s">
        <v>1</v>
      </c>
      <c r="D669" s="1" t="s">
        <v>8589</v>
      </c>
      <c r="E669" s="1" t="s">
        <v>8590</v>
      </c>
      <c r="F669" s="1" t="s">
        <v>8591</v>
      </c>
      <c r="H669" s="2" t="s">
        <v>8</v>
      </c>
      <c r="I669" s="2" t="s">
        <v>7</v>
      </c>
      <c r="J669" s="2" t="s">
        <v>8</v>
      </c>
      <c r="K669" s="2" t="s">
        <v>8</v>
      </c>
      <c r="L669" s="2" t="s">
        <v>9</v>
      </c>
      <c r="N669" s="1" t="s">
        <v>8592</v>
      </c>
      <c r="O669" s="2" t="s">
        <v>874</v>
      </c>
      <c r="Q669" s="2" t="s">
        <v>12</v>
      </c>
      <c r="R669" s="2" t="s">
        <v>815</v>
      </c>
      <c r="S669" s="1" t="s">
        <v>8593</v>
      </c>
      <c r="T669" s="2" t="s">
        <v>14</v>
      </c>
      <c r="U669" s="3">
        <v>3</v>
      </c>
      <c r="V669" s="3">
        <v>3</v>
      </c>
      <c r="W669" s="4" t="s">
        <v>8594</v>
      </c>
      <c r="X669" s="4" t="s">
        <v>8594</v>
      </c>
      <c r="Y669" s="4" t="s">
        <v>8595</v>
      </c>
      <c r="Z669" s="4" t="s">
        <v>8595</v>
      </c>
      <c r="AA669" s="3">
        <v>112</v>
      </c>
      <c r="AB669" s="3">
        <v>98</v>
      </c>
      <c r="AC669" s="3">
        <v>100</v>
      </c>
      <c r="AD669" s="3">
        <v>1</v>
      </c>
      <c r="AE669" s="3">
        <v>1</v>
      </c>
      <c r="AF669" s="3">
        <v>2</v>
      </c>
      <c r="AG669" s="3">
        <v>2</v>
      </c>
      <c r="AH669" s="3">
        <v>0</v>
      </c>
      <c r="AI669" s="3">
        <v>0</v>
      </c>
      <c r="AJ669" s="3">
        <v>1</v>
      </c>
      <c r="AK669" s="3">
        <v>1</v>
      </c>
      <c r="AL669" s="3">
        <v>2</v>
      </c>
      <c r="AM669" s="3">
        <v>2</v>
      </c>
      <c r="AN669" s="3">
        <v>0</v>
      </c>
      <c r="AO669" s="3">
        <v>0</v>
      </c>
      <c r="AP669" s="3">
        <v>0</v>
      </c>
      <c r="AQ669" s="3">
        <v>0</v>
      </c>
      <c r="AR669" s="2" t="s">
        <v>8</v>
      </c>
      <c r="AS669" s="2" t="s">
        <v>6</v>
      </c>
      <c r="AT669" s="5" t="str">
        <f>HYPERLINK("http://catalog.hathitrust.org/Record/003131668","HathiTrust Record")</f>
        <v>HathiTrust Record</v>
      </c>
      <c r="AU669" s="5" t="str">
        <f>HYPERLINK("https://creighton-primo.hosted.exlibrisgroup.com/primo-explore/search?tab=default_tab&amp;search_scope=EVERYTHING&amp;vid=01CRU&amp;lang=en_US&amp;offset=0&amp;query=any,contains,991000783769702656","Catalog Record")</f>
        <v>Catalog Record</v>
      </c>
      <c r="AV669" s="5" t="str">
        <f>HYPERLINK("http://www.worldcat.org/oclc/34775926","WorldCat Record")</f>
        <v>WorldCat Record</v>
      </c>
      <c r="AW669" s="2" t="s">
        <v>8596</v>
      </c>
      <c r="AX669" s="2" t="s">
        <v>8597</v>
      </c>
      <c r="AY669" s="2" t="s">
        <v>8598</v>
      </c>
      <c r="AZ669" s="2" t="s">
        <v>8598</v>
      </c>
      <c r="BA669" s="2" t="s">
        <v>8599</v>
      </c>
      <c r="BB669" s="2" t="s">
        <v>21</v>
      </c>
      <c r="BD669" s="2" t="s">
        <v>8600</v>
      </c>
      <c r="BE669" s="2" t="s">
        <v>8601</v>
      </c>
      <c r="BF669" s="2" t="s">
        <v>8602</v>
      </c>
    </row>
    <row r="670" spans="1:58" ht="42.75" customHeight="1" x14ac:dyDescent="0.25">
      <c r="A670" s="8" t="s">
        <v>8</v>
      </c>
      <c r="B670" s="1" t="s">
        <v>0</v>
      </c>
      <c r="C670" s="1" t="s">
        <v>1</v>
      </c>
      <c r="D670" s="1" t="s">
        <v>8603</v>
      </c>
      <c r="E670" s="1" t="s">
        <v>8604</v>
      </c>
      <c r="F670" s="1" t="s">
        <v>8605</v>
      </c>
      <c r="H670" s="2" t="s">
        <v>8</v>
      </c>
      <c r="I670" s="2" t="s">
        <v>7</v>
      </c>
      <c r="J670" s="2" t="s">
        <v>8</v>
      </c>
      <c r="K670" s="2" t="s">
        <v>8</v>
      </c>
      <c r="L670" s="2" t="s">
        <v>9</v>
      </c>
      <c r="N670" s="1" t="s">
        <v>8606</v>
      </c>
      <c r="O670" s="2" t="s">
        <v>589</v>
      </c>
      <c r="Q670" s="2" t="s">
        <v>12</v>
      </c>
      <c r="R670" s="2" t="s">
        <v>34</v>
      </c>
      <c r="S670" s="1" t="s">
        <v>8607</v>
      </c>
      <c r="T670" s="2" t="s">
        <v>14</v>
      </c>
      <c r="U670" s="3">
        <v>16</v>
      </c>
      <c r="V670" s="3">
        <v>16</v>
      </c>
      <c r="W670" s="4" t="s">
        <v>8594</v>
      </c>
      <c r="X670" s="4" t="s">
        <v>8594</v>
      </c>
      <c r="Y670" s="4" t="s">
        <v>8608</v>
      </c>
      <c r="Z670" s="4" t="s">
        <v>8608</v>
      </c>
      <c r="AA670" s="3">
        <v>409</v>
      </c>
      <c r="AB670" s="3">
        <v>360</v>
      </c>
      <c r="AC670" s="3">
        <v>367</v>
      </c>
      <c r="AD670" s="3">
        <v>1</v>
      </c>
      <c r="AE670" s="3">
        <v>1</v>
      </c>
      <c r="AF670" s="3">
        <v>18</v>
      </c>
      <c r="AG670" s="3">
        <v>18</v>
      </c>
      <c r="AH670" s="3">
        <v>5</v>
      </c>
      <c r="AI670" s="3">
        <v>5</v>
      </c>
      <c r="AJ670" s="3">
        <v>7</v>
      </c>
      <c r="AK670" s="3">
        <v>7</v>
      </c>
      <c r="AL670" s="3">
        <v>6</v>
      </c>
      <c r="AM670" s="3">
        <v>6</v>
      </c>
      <c r="AN670" s="3">
        <v>0</v>
      </c>
      <c r="AO670" s="3">
        <v>0</v>
      </c>
      <c r="AP670" s="3">
        <v>4</v>
      </c>
      <c r="AQ670" s="3">
        <v>4</v>
      </c>
      <c r="AR670" s="2" t="s">
        <v>8</v>
      </c>
      <c r="AS670" s="2" t="s">
        <v>6</v>
      </c>
      <c r="AT670" s="5" t="str">
        <f>HYPERLINK("http://catalog.hathitrust.org/Record/002454774","HathiTrust Record")</f>
        <v>HathiTrust Record</v>
      </c>
      <c r="AU670" s="5" t="str">
        <f>HYPERLINK("https://creighton-primo.hosted.exlibrisgroup.com/primo-explore/search?tab=default_tab&amp;search_scope=EVERYTHING&amp;vid=01CRU&amp;lang=en_US&amp;offset=0&amp;query=any,contains,991000939759702656","Catalog Record")</f>
        <v>Catalog Record</v>
      </c>
      <c r="AV670" s="5" t="str">
        <f>HYPERLINK("http://www.worldcat.org/oclc/20320181","WorldCat Record")</f>
        <v>WorldCat Record</v>
      </c>
      <c r="AW670" s="2" t="s">
        <v>8609</v>
      </c>
      <c r="AX670" s="2" t="s">
        <v>8610</v>
      </c>
      <c r="AY670" s="2" t="s">
        <v>8611</v>
      </c>
      <c r="AZ670" s="2" t="s">
        <v>8611</v>
      </c>
      <c r="BA670" s="2" t="s">
        <v>8612</v>
      </c>
      <c r="BB670" s="2" t="s">
        <v>21</v>
      </c>
      <c r="BD670" s="2" t="s">
        <v>8613</v>
      </c>
      <c r="BE670" s="2" t="s">
        <v>8614</v>
      </c>
      <c r="BF670" s="2" t="s">
        <v>8615</v>
      </c>
    </row>
    <row r="671" spans="1:58" ht="42.75" customHeight="1" x14ac:dyDescent="0.25">
      <c r="A671" s="8" t="s">
        <v>8</v>
      </c>
      <c r="B671" s="1" t="s">
        <v>0</v>
      </c>
      <c r="C671" s="1" t="s">
        <v>1</v>
      </c>
      <c r="D671" s="1" t="s">
        <v>8616</v>
      </c>
      <c r="E671" s="1" t="s">
        <v>8617</v>
      </c>
      <c r="F671" s="1" t="s">
        <v>8618</v>
      </c>
      <c r="H671" s="2" t="s">
        <v>8</v>
      </c>
      <c r="I671" s="2" t="s">
        <v>7</v>
      </c>
      <c r="J671" s="2" t="s">
        <v>8</v>
      </c>
      <c r="K671" s="2" t="s">
        <v>8</v>
      </c>
      <c r="L671" s="2" t="s">
        <v>9</v>
      </c>
      <c r="N671" s="1" t="s">
        <v>8619</v>
      </c>
      <c r="O671" s="2" t="s">
        <v>51</v>
      </c>
      <c r="Q671" s="2" t="s">
        <v>12</v>
      </c>
      <c r="R671" s="2" t="s">
        <v>1170</v>
      </c>
      <c r="T671" s="2" t="s">
        <v>14</v>
      </c>
      <c r="U671" s="3">
        <v>8</v>
      </c>
      <c r="V671" s="3">
        <v>8</v>
      </c>
      <c r="W671" s="4" t="s">
        <v>8620</v>
      </c>
      <c r="X671" s="4" t="s">
        <v>8620</v>
      </c>
      <c r="Y671" s="4" t="s">
        <v>8621</v>
      </c>
      <c r="Z671" s="4" t="s">
        <v>8621</v>
      </c>
      <c r="AA671" s="3">
        <v>470</v>
      </c>
      <c r="AB671" s="3">
        <v>427</v>
      </c>
      <c r="AC671" s="3">
        <v>432</v>
      </c>
      <c r="AD671" s="3">
        <v>4</v>
      </c>
      <c r="AE671" s="3">
        <v>4</v>
      </c>
      <c r="AF671" s="3">
        <v>21</v>
      </c>
      <c r="AG671" s="3">
        <v>21</v>
      </c>
      <c r="AH671" s="3">
        <v>3</v>
      </c>
      <c r="AI671" s="3">
        <v>3</v>
      </c>
      <c r="AJ671" s="3">
        <v>6</v>
      </c>
      <c r="AK671" s="3">
        <v>6</v>
      </c>
      <c r="AL671" s="3">
        <v>9</v>
      </c>
      <c r="AM671" s="3">
        <v>9</v>
      </c>
      <c r="AN671" s="3">
        <v>2</v>
      </c>
      <c r="AO671" s="3">
        <v>2</v>
      </c>
      <c r="AP671" s="3">
        <v>6</v>
      </c>
      <c r="AQ671" s="3">
        <v>6</v>
      </c>
      <c r="AR671" s="2" t="s">
        <v>8</v>
      </c>
      <c r="AS671" s="2" t="s">
        <v>8</v>
      </c>
      <c r="AU671" s="5" t="str">
        <f>HYPERLINK("https://creighton-primo.hosted.exlibrisgroup.com/primo-explore/search?tab=default_tab&amp;search_scope=EVERYTHING&amp;vid=01CRU&amp;lang=en_US&amp;offset=0&amp;query=any,contains,991001036089702656","Catalog Record")</f>
        <v>Catalog Record</v>
      </c>
      <c r="AV671" s="5" t="str">
        <f>HYPERLINK("http://www.worldcat.org/oclc/17442850","WorldCat Record")</f>
        <v>WorldCat Record</v>
      </c>
      <c r="AW671" s="2" t="s">
        <v>8622</v>
      </c>
      <c r="AX671" s="2" t="s">
        <v>8623</v>
      </c>
      <c r="AY671" s="2" t="s">
        <v>8624</v>
      </c>
      <c r="AZ671" s="2" t="s">
        <v>8624</v>
      </c>
      <c r="BA671" s="2" t="s">
        <v>8625</v>
      </c>
      <c r="BB671" s="2" t="s">
        <v>21</v>
      </c>
      <c r="BD671" s="2" t="s">
        <v>8626</v>
      </c>
      <c r="BE671" s="2" t="s">
        <v>8627</v>
      </c>
      <c r="BF671" s="2" t="s">
        <v>8628</v>
      </c>
    </row>
    <row r="672" spans="1:58" ht="42.75" customHeight="1" x14ac:dyDescent="0.25">
      <c r="A672" s="8" t="s">
        <v>8</v>
      </c>
      <c r="B672" s="1" t="s">
        <v>0</v>
      </c>
      <c r="C672" s="1" t="s">
        <v>1</v>
      </c>
      <c r="D672" s="1" t="s">
        <v>8629</v>
      </c>
      <c r="E672" s="1" t="s">
        <v>8630</v>
      </c>
      <c r="F672" s="1" t="s">
        <v>8631</v>
      </c>
      <c r="H672" s="2" t="s">
        <v>8</v>
      </c>
      <c r="I672" s="2" t="s">
        <v>7</v>
      </c>
      <c r="J672" s="2" t="s">
        <v>8</v>
      </c>
      <c r="K672" s="2" t="s">
        <v>8</v>
      </c>
      <c r="L672" s="2" t="s">
        <v>9</v>
      </c>
      <c r="N672" s="1" t="s">
        <v>8632</v>
      </c>
      <c r="O672" s="2" t="s">
        <v>266</v>
      </c>
      <c r="Q672" s="2" t="s">
        <v>12</v>
      </c>
      <c r="R672" s="2" t="s">
        <v>933</v>
      </c>
      <c r="T672" s="2" t="s">
        <v>14</v>
      </c>
      <c r="U672" s="3">
        <v>2</v>
      </c>
      <c r="V672" s="3">
        <v>2</v>
      </c>
      <c r="W672" s="4" t="s">
        <v>5834</v>
      </c>
      <c r="X672" s="4" t="s">
        <v>5834</v>
      </c>
      <c r="Y672" s="4" t="s">
        <v>7262</v>
      </c>
      <c r="Z672" s="4" t="s">
        <v>7262</v>
      </c>
      <c r="AA672" s="3">
        <v>3</v>
      </c>
      <c r="AB672" s="3">
        <v>3</v>
      </c>
      <c r="AC672" s="3">
        <v>13</v>
      </c>
      <c r="AD672" s="3">
        <v>1</v>
      </c>
      <c r="AE672" s="3">
        <v>1</v>
      </c>
      <c r="AF672" s="3">
        <v>0</v>
      </c>
      <c r="AG672" s="3">
        <v>0</v>
      </c>
      <c r="AH672" s="3">
        <v>0</v>
      </c>
      <c r="AI672" s="3">
        <v>0</v>
      </c>
      <c r="AJ672" s="3">
        <v>0</v>
      </c>
      <c r="AK672" s="3">
        <v>0</v>
      </c>
      <c r="AL672" s="3">
        <v>0</v>
      </c>
      <c r="AM672" s="3">
        <v>0</v>
      </c>
      <c r="AN672" s="3">
        <v>0</v>
      </c>
      <c r="AO672" s="3">
        <v>0</v>
      </c>
      <c r="AP672" s="3">
        <v>0</v>
      </c>
      <c r="AQ672" s="3">
        <v>0</v>
      </c>
      <c r="AR672" s="2" t="s">
        <v>6</v>
      </c>
      <c r="AS672" s="2" t="s">
        <v>8</v>
      </c>
      <c r="AT672" s="5" t="str">
        <f>HYPERLINK("http://catalog.hathitrust.org/Record/003334045","HathiTrust Record")</f>
        <v>HathiTrust Record</v>
      </c>
      <c r="AU672" s="5" t="str">
        <f>HYPERLINK("https://creighton-primo.hosted.exlibrisgroup.com/primo-explore/search?tab=default_tab&amp;search_scope=EVERYTHING&amp;vid=01CRU&amp;lang=en_US&amp;offset=0&amp;query=any,contains,991001543679702656","Catalog Record")</f>
        <v>Catalog Record</v>
      </c>
      <c r="AV672" s="5" t="str">
        <f>HYPERLINK("http://www.worldcat.org/oclc/12904104","WorldCat Record")</f>
        <v>WorldCat Record</v>
      </c>
      <c r="AW672" s="2" t="s">
        <v>8633</v>
      </c>
      <c r="AX672" s="2" t="s">
        <v>8634</v>
      </c>
      <c r="AY672" s="2" t="s">
        <v>8635</v>
      </c>
      <c r="AZ672" s="2" t="s">
        <v>8635</v>
      </c>
      <c r="BA672" s="2" t="s">
        <v>8636</v>
      </c>
      <c r="BB672" s="2" t="s">
        <v>21</v>
      </c>
      <c r="BE672" s="2" t="s">
        <v>8637</v>
      </c>
      <c r="BF672" s="2" t="s">
        <v>8638</v>
      </c>
    </row>
    <row r="673" spans="1:58" ht="42.75" customHeight="1" x14ac:dyDescent="0.25">
      <c r="A673" s="8" t="s">
        <v>8</v>
      </c>
      <c r="B673" s="1" t="s">
        <v>0</v>
      </c>
      <c r="C673" s="1" t="s">
        <v>1</v>
      </c>
      <c r="D673" s="1" t="s">
        <v>8639</v>
      </c>
      <c r="E673" s="1" t="s">
        <v>8640</v>
      </c>
      <c r="F673" s="1" t="s">
        <v>8641</v>
      </c>
      <c r="H673" s="2" t="s">
        <v>8</v>
      </c>
      <c r="I673" s="2" t="s">
        <v>7</v>
      </c>
      <c r="J673" s="2" t="s">
        <v>8</v>
      </c>
      <c r="K673" s="2" t="s">
        <v>6</v>
      </c>
      <c r="L673" s="2" t="s">
        <v>9</v>
      </c>
      <c r="M673" s="1" t="s">
        <v>8642</v>
      </c>
      <c r="N673" s="1" t="s">
        <v>8592</v>
      </c>
      <c r="O673" s="2" t="s">
        <v>874</v>
      </c>
      <c r="P673" s="1" t="s">
        <v>761</v>
      </c>
      <c r="Q673" s="2" t="s">
        <v>12</v>
      </c>
      <c r="R673" s="2" t="s">
        <v>815</v>
      </c>
      <c r="T673" s="2" t="s">
        <v>14</v>
      </c>
      <c r="U673" s="3">
        <v>3</v>
      </c>
      <c r="V673" s="3">
        <v>3</v>
      </c>
      <c r="W673" s="4" t="s">
        <v>8415</v>
      </c>
      <c r="X673" s="4" t="s">
        <v>8415</v>
      </c>
      <c r="Y673" s="4" t="s">
        <v>8643</v>
      </c>
      <c r="Z673" s="4" t="s">
        <v>8643</v>
      </c>
      <c r="AA673" s="3">
        <v>224</v>
      </c>
      <c r="AB673" s="3">
        <v>189</v>
      </c>
      <c r="AC673" s="3">
        <v>514</v>
      </c>
      <c r="AD673" s="3">
        <v>1</v>
      </c>
      <c r="AE673" s="3">
        <v>3</v>
      </c>
      <c r="AF673" s="3">
        <v>11</v>
      </c>
      <c r="AG673" s="3">
        <v>27</v>
      </c>
      <c r="AH673" s="3">
        <v>3</v>
      </c>
      <c r="AI673" s="3">
        <v>9</v>
      </c>
      <c r="AJ673" s="3">
        <v>5</v>
      </c>
      <c r="AK673" s="3">
        <v>7</v>
      </c>
      <c r="AL673" s="3">
        <v>6</v>
      </c>
      <c r="AM673" s="3">
        <v>13</v>
      </c>
      <c r="AN673" s="3">
        <v>0</v>
      </c>
      <c r="AO673" s="3">
        <v>2</v>
      </c>
      <c r="AP673" s="3">
        <v>1</v>
      </c>
      <c r="AQ673" s="3">
        <v>3</v>
      </c>
      <c r="AR673" s="2" t="s">
        <v>8</v>
      </c>
      <c r="AS673" s="2" t="s">
        <v>6</v>
      </c>
      <c r="AT673" s="5" t="str">
        <f>HYPERLINK("http://catalog.hathitrust.org/Record/004560319","HathiTrust Record")</f>
        <v>HathiTrust Record</v>
      </c>
      <c r="AU673" s="5" t="str">
        <f>HYPERLINK("https://creighton-primo.hosted.exlibrisgroup.com/primo-explore/search?tab=default_tab&amp;search_scope=EVERYTHING&amp;vid=01CRU&amp;lang=en_US&amp;offset=0&amp;query=any,contains,991000798269702656","Catalog Record")</f>
        <v>Catalog Record</v>
      </c>
      <c r="AV673" s="5" t="str">
        <f>HYPERLINK("http://www.worldcat.org/oclc/34951477","WorldCat Record")</f>
        <v>WorldCat Record</v>
      </c>
      <c r="AW673" s="2" t="s">
        <v>8644</v>
      </c>
      <c r="AX673" s="2" t="s">
        <v>8645</v>
      </c>
      <c r="AY673" s="2" t="s">
        <v>8646</v>
      </c>
      <c r="AZ673" s="2" t="s">
        <v>8646</v>
      </c>
      <c r="BA673" s="2" t="s">
        <v>8647</v>
      </c>
      <c r="BB673" s="2" t="s">
        <v>21</v>
      </c>
      <c r="BD673" s="2" t="s">
        <v>8648</v>
      </c>
      <c r="BE673" s="2" t="s">
        <v>8649</v>
      </c>
      <c r="BF673" s="2" t="s">
        <v>8650</v>
      </c>
    </row>
    <row r="674" spans="1:58" ht="42.75" customHeight="1" x14ac:dyDescent="0.25">
      <c r="A674" s="8" t="s">
        <v>8</v>
      </c>
      <c r="B674" s="1" t="s">
        <v>0</v>
      </c>
      <c r="C674" s="1" t="s">
        <v>1</v>
      </c>
      <c r="D674" s="1" t="s">
        <v>8651</v>
      </c>
      <c r="E674" s="1" t="s">
        <v>8652</v>
      </c>
      <c r="F674" s="1" t="s">
        <v>8653</v>
      </c>
      <c r="H674" s="2" t="s">
        <v>8</v>
      </c>
      <c r="I674" s="2" t="s">
        <v>7</v>
      </c>
      <c r="J674" s="2" t="s">
        <v>8</v>
      </c>
      <c r="K674" s="2" t="s">
        <v>6</v>
      </c>
      <c r="L674" s="2" t="s">
        <v>9</v>
      </c>
      <c r="M674" s="1" t="s">
        <v>8642</v>
      </c>
      <c r="N674" s="1" t="s">
        <v>8654</v>
      </c>
      <c r="O674" s="2" t="s">
        <v>2044</v>
      </c>
      <c r="P674" s="1" t="s">
        <v>2031</v>
      </c>
      <c r="Q674" s="2" t="s">
        <v>12</v>
      </c>
      <c r="R674" s="2" t="s">
        <v>815</v>
      </c>
      <c r="T674" s="2" t="s">
        <v>14</v>
      </c>
      <c r="U674" s="3">
        <v>2</v>
      </c>
      <c r="V674" s="3">
        <v>2</v>
      </c>
      <c r="W674" s="4" t="s">
        <v>8655</v>
      </c>
      <c r="X674" s="4" t="s">
        <v>8655</v>
      </c>
      <c r="Y674" s="4" t="s">
        <v>8656</v>
      </c>
      <c r="Z674" s="4" t="s">
        <v>8656</v>
      </c>
      <c r="AA674" s="3">
        <v>174</v>
      </c>
      <c r="AB674" s="3">
        <v>143</v>
      </c>
      <c r="AC674" s="3">
        <v>514</v>
      </c>
      <c r="AD674" s="3">
        <v>1</v>
      </c>
      <c r="AE674" s="3">
        <v>3</v>
      </c>
      <c r="AF674" s="3">
        <v>4</v>
      </c>
      <c r="AG674" s="3">
        <v>27</v>
      </c>
      <c r="AH674" s="3">
        <v>1</v>
      </c>
      <c r="AI674" s="3">
        <v>9</v>
      </c>
      <c r="AJ674" s="3">
        <v>1</v>
      </c>
      <c r="AK674" s="3">
        <v>7</v>
      </c>
      <c r="AL674" s="3">
        <v>3</v>
      </c>
      <c r="AM674" s="3">
        <v>13</v>
      </c>
      <c r="AN674" s="3">
        <v>0</v>
      </c>
      <c r="AO674" s="3">
        <v>2</v>
      </c>
      <c r="AP674" s="3">
        <v>0</v>
      </c>
      <c r="AQ674" s="3">
        <v>3</v>
      </c>
      <c r="AR674" s="2" t="s">
        <v>8</v>
      </c>
      <c r="AS674" s="2" t="s">
        <v>8</v>
      </c>
      <c r="AU674" s="5" t="str">
        <f>HYPERLINK("https://creighton-primo.hosted.exlibrisgroup.com/primo-explore/search?tab=default_tab&amp;search_scope=EVERYTHING&amp;vid=01CRU&amp;lang=en_US&amp;offset=0&amp;query=any,contains,991000373889702656","Catalog Record")</f>
        <v>Catalog Record</v>
      </c>
      <c r="AV674" s="5" t="str">
        <f>HYPERLINK("http://www.worldcat.org/oclc/49055489","WorldCat Record")</f>
        <v>WorldCat Record</v>
      </c>
      <c r="AW674" s="2" t="s">
        <v>8644</v>
      </c>
      <c r="AX674" s="2" t="s">
        <v>8657</v>
      </c>
      <c r="AY674" s="2" t="s">
        <v>8658</v>
      </c>
      <c r="AZ674" s="2" t="s">
        <v>8658</v>
      </c>
      <c r="BA674" s="2" t="s">
        <v>8659</v>
      </c>
      <c r="BB674" s="2" t="s">
        <v>21</v>
      </c>
      <c r="BD674" s="2" t="s">
        <v>8660</v>
      </c>
      <c r="BE674" s="2" t="s">
        <v>8661</v>
      </c>
      <c r="BF674" s="2" t="s">
        <v>8662</v>
      </c>
    </row>
    <row r="675" spans="1:58" ht="42.75" customHeight="1" x14ac:dyDescent="0.25">
      <c r="A675" s="8" t="s">
        <v>8</v>
      </c>
      <c r="B675" s="1" t="s">
        <v>0</v>
      </c>
      <c r="C675" s="1" t="s">
        <v>1</v>
      </c>
      <c r="D675" s="1" t="s">
        <v>8663</v>
      </c>
      <c r="E675" s="1" t="s">
        <v>8664</v>
      </c>
      <c r="F675" s="1" t="s">
        <v>8665</v>
      </c>
      <c r="H675" s="2" t="s">
        <v>8</v>
      </c>
      <c r="I675" s="2" t="s">
        <v>7</v>
      </c>
      <c r="J675" s="2" t="s">
        <v>8</v>
      </c>
      <c r="K675" s="2" t="s">
        <v>8</v>
      </c>
      <c r="L675" s="2" t="s">
        <v>9</v>
      </c>
      <c r="M675" s="1" t="s">
        <v>8666</v>
      </c>
      <c r="N675" s="1" t="s">
        <v>8667</v>
      </c>
      <c r="O675" s="2" t="s">
        <v>874</v>
      </c>
      <c r="Q675" s="2" t="s">
        <v>12</v>
      </c>
      <c r="R675" s="2" t="s">
        <v>520</v>
      </c>
      <c r="T675" s="2" t="s">
        <v>14</v>
      </c>
      <c r="U675" s="3">
        <v>6</v>
      </c>
      <c r="V675" s="3">
        <v>6</v>
      </c>
      <c r="W675" s="4" t="s">
        <v>8668</v>
      </c>
      <c r="X675" s="4" t="s">
        <v>8668</v>
      </c>
      <c r="Y675" s="4" t="s">
        <v>8669</v>
      </c>
      <c r="Z675" s="4" t="s">
        <v>8669</v>
      </c>
      <c r="AA675" s="3">
        <v>38</v>
      </c>
      <c r="AB675" s="3">
        <v>38</v>
      </c>
      <c r="AC675" s="3">
        <v>92</v>
      </c>
      <c r="AD675" s="3">
        <v>1</v>
      </c>
      <c r="AE675" s="3">
        <v>1</v>
      </c>
      <c r="AF675" s="3">
        <v>1</v>
      </c>
      <c r="AG675" s="3">
        <v>4</v>
      </c>
      <c r="AH675" s="3">
        <v>0</v>
      </c>
      <c r="AI675" s="3">
        <v>2</v>
      </c>
      <c r="AJ675" s="3">
        <v>1</v>
      </c>
      <c r="AK675" s="3">
        <v>1</v>
      </c>
      <c r="AL675" s="3">
        <v>0</v>
      </c>
      <c r="AM675" s="3">
        <v>0</v>
      </c>
      <c r="AN675" s="3">
        <v>0</v>
      </c>
      <c r="AO675" s="3">
        <v>0</v>
      </c>
      <c r="AP675" s="3">
        <v>0</v>
      </c>
      <c r="AQ675" s="3">
        <v>1</v>
      </c>
      <c r="AR675" s="2" t="s">
        <v>8</v>
      </c>
      <c r="AS675" s="2" t="s">
        <v>8</v>
      </c>
      <c r="AU675" s="5" t="str">
        <f>HYPERLINK("https://creighton-primo.hosted.exlibrisgroup.com/primo-explore/search?tab=default_tab&amp;search_scope=EVERYTHING&amp;vid=01CRU&amp;lang=en_US&amp;offset=0&amp;query=any,contains,991000268769702656","Catalog Record")</f>
        <v>Catalog Record</v>
      </c>
      <c r="AV675" s="5" t="str">
        <f>HYPERLINK("http://www.worldcat.org/oclc/38422766","WorldCat Record")</f>
        <v>WorldCat Record</v>
      </c>
      <c r="AW675" s="2" t="s">
        <v>8670</v>
      </c>
      <c r="AX675" s="2" t="s">
        <v>8671</v>
      </c>
      <c r="AY675" s="2" t="s">
        <v>8672</v>
      </c>
      <c r="AZ675" s="2" t="s">
        <v>8672</v>
      </c>
      <c r="BA675" s="2" t="s">
        <v>8673</v>
      </c>
      <c r="BB675" s="2" t="s">
        <v>21</v>
      </c>
      <c r="BD675" s="2" t="s">
        <v>8674</v>
      </c>
      <c r="BE675" s="2" t="s">
        <v>8675</v>
      </c>
      <c r="BF675" s="2" t="s">
        <v>8676</v>
      </c>
    </row>
    <row r="676" spans="1:58" ht="42.75" customHeight="1" x14ac:dyDescent="0.25">
      <c r="A676" s="8" t="s">
        <v>8</v>
      </c>
      <c r="B676" s="1" t="s">
        <v>0</v>
      </c>
      <c r="C676" s="1" t="s">
        <v>1</v>
      </c>
      <c r="D676" s="1" t="s">
        <v>8677</v>
      </c>
      <c r="E676" s="1" t="s">
        <v>8678</v>
      </c>
      <c r="F676" s="1" t="s">
        <v>8679</v>
      </c>
      <c r="H676" s="2" t="s">
        <v>8</v>
      </c>
      <c r="I676" s="2" t="s">
        <v>7</v>
      </c>
      <c r="J676" s="2" t="s">
        <v>8</v>
      </c>
      <c r="K676" s="2" t="s">
        <v>8</v>
      </c>
      <c r="L676" s="2" t="s">
        <v>9</v>
      </c>
      <c r="M676" s="1" t="s">
        <v>8680</v>
      </c>
      <c r="N676" s="1" t="s">
        <v>8681</v>
      </c>
      <c r="O676" s="2" t="s">
        <v>51</v>
      </c>
      <c r="Q676" s="2" t="s">
        <v>12</v>
      </c>
      <c r="R676" s="2" t="s">
        <v>1211</v>
      </c>
      <c r="T676" s="2" t="s">
        <v>14</v>
      </c>
      <c r="U676" s="3">
        <v>3</v>
      </c>
      <c r="V676" s="3">
        <v>3</v>
      </c>
      <c r="W676" s="4" t="s">
        <v>8682</v>
      </c>
      <c r="X676" s="4" t="s">
        <v>8682</v>
      </c>
      <c r="Y676" s="4" t="s">
        <v>2487</v>
      </c>
      <c r="Z676" s="4" t="s">
        <v>2487</v>
      </c>
      <c r="AA676" s="3">
        <v>2</v>
      </c>
      <c r="AB676" s="3">
        <v>2</v>
      </c>
      <c r="AC676" s="3">
        <v>2</v>
      </c>
      <c r="AD676" s="3">
        <v>1</v>
      </c>
      <c r="AE676" s="3">
        <v>1</v>
      </c>
      <c r="AF676" s="3">
        <v>0</v>
      </c>
      <c r="AG676" s="3">
        <v>0</v>
      </c>
      <c r="AH676" s="3">
        <v>0</v>
      </c>
      <c r="AI676" s="3">
        <v>0</v>
      </c>
      <c r="AJ676" s="3">
        <v>0</v>
      </c>
      <c r="AK676" s="3">
        <v>0</v>
      </c>
      <c r="AL676" s="3">
        <v>0</v>
      </c>
      <c r="AM676" s="3">
        <v>0</v>
      </c>
      <c r="AN676" s="3">
        <v>0</v>
      </c>
      <c r="AO676" s="3">
        <v>0</v>
      </c>
      <c r="AP676" s="3">
        <v>0</v>
      </c>
      <c r="AQ676" s="3">
        <v>0</v>
      </c>
      <c r="AR676" s="2" t="s">
        <v>8</v>
      </c>
      <c r="AS676" s="2" t="s">
        <v>8</v>
      </c>
      <c r="AU676" s="5" t="str">
        <f>HYPERLINK("https://creighton-primo.hosted.exlibrisgroup.com/primo-explore/search?tab=default_tab&amp;search_scope=EVERYTHING&amp;vid=01CRU&amp;lang=en_US&amp;offset=0&amp;query=any,contains,991000533689702656","Catalog Record")</f>
        <v>Catalog Record</v>
      </c>
      <c r="AV676" s="5" t="str">
        <f>HYPERLINK("http://www.worldcat.org/oclc/23717545","WorldCat Record")</f>
        <v>WorldCat Record</v>
      </c>
      <c r="AW676" s="2" t="s">
        <v>8683</v>
      </c>
      <c r="AX676" s="2" t="s">
        <v>8684</v>
      </c>
      <c r="AY676" s="2" t="s">
        <v>8685</v>
      </c>
      <c r="AZ676" s="2" t="s">
        <v>8685</v>
      </c>
      <c r="BA676" s="2" t="s">
        <v>8686</v>
      </c>
      <c r="BB676" s="2" t="s">
        <v>21</v>
      </c>
      <c r="BE676" s="2" t="s">
        <v>8687</v>
      </c>
      <c r="BF676" s="2" t="s">
        <v>8688</v>
      </c>
    </row>
    <row r="677" spans="1:58" ht="42.75" customHeight="1" x14ac:dyDescent="0.25">
      <c r="A677" s="8" t="s">
        <v>8</v>
      </c>
      <c r="B677" s="1" t="s">
        <v>0</v>
      </c>
      <c r="C677" s="1" t="s">
        <v>1</v>
      </c>
      <c r="D677" s="1" t="s">
        <v>8689</v>
      </c>
      <c r="E677" s="1" t="s">
        <v>8690</v>
      </c>
      <c r="F677" s="1" t="s">
        <v>8691</v>
      </c>
      <c r="H677" s="2" t="s">
        <v>8</v>
      </c>
      <c r="I677" s="2" t="s">
        <v>7</v>
      </c>
      <c r="J677" s="2" t="s">
        <v>8</v>
      </c>
      <c r="K677" s="2" t="s">
        <v>8</v>
      </c>
      <c r="L677" s="2" t="s">
        <v>9</v>
      </c>
      <c r="N677" s="1" t="s">
        <v>893</v>
      </c>
      <c r="O677" s="2" t="s">
        <v>602</v>
      </c>
      <c r="Q677" s="2" t="s">
        <v>12</v>
      </c>
      <c r="R677" s="2" t="s">
        <v>13</v>
      </c>
      <c r="T677" s="2" t="s">
        <v>14</v>
      </c>
      <c r="U677" s="3">
        <v>19</v>
      </c>
      <c r="V677" s="3">
        <v>19</v>
      </c>
      <c r="W677" s="4" t="s">
        <v>6552</v>
      </c>
      <c r="X677" s="4" t="s">
        <v>6552</v>
      </c>
      <c r="Y677" s="4" t="s">
        <v>8692</v>
      </c>
      <c r="Z677" s="4" t="s">
        <v>8692</v>
      </c>
      <c r="AA677" s="3">
        <v>109</v>
      </c>
      <c r="AB677" s="3">
        <v>96</v>
      </c>
      <c r="AC677" s="3">
        <v>274</v>
      </c>
      <c r="AD677" s="3">
        <v>1</v>
      </c>
      <c r="AE677" s="3">
        <v>2</v>
      </c>
      <c r="AF677" s="3">
        <v>4</v>
      </c>
      <c r="AG677" s="3">
        <v>13</v>
      </c>
      <c r="AH677" s="3">
        <v>1</v>
      </c>
      <c r="AI677" s="3">
        <v>4</v>
      </c>
      <c r="AJ677" s="3">
        <v>3</v>
      </c>
      <c r="AK677" s="3">
        <v>4</v>
      </c>
      <c r="AL677" s="3">
        <v>2</v>
      </c>
      <c r="AM677" s="3">
        <v>8</v>
      </c>
      <c r="AN677" s="3">
        <v>0</v>
      </c>
      <c r="AO677" s="3">
        <v>1</v>
      </c>
      <c r="AP677" s="3">
        <v>0</v>
      </c>
      <c r="AQ677" s="3">
        <v>0</v>
      </c>
      <c r="AR677" s="2" t="s">
        <v>8</v>
      </c>
      <c r="AS677" s="2" t="s">
        <v>8</v>
      </c>
      <c r="AU677" s="5" t="str">
        <f>HYPERLINK("https://creighton-primo.hosted.exlibrisgroup.com/primo-explore/search?tab=default_tab&amp;search_scope=EVERYTHING&amp;vid=01CRU&amp;lang=en_US&amp;offset=0&amp;query=any,contains,991000774269702656","Catalog Record")</f>
        <v>Catalog Record</v>
      </c>
      <c r="AV677" s="5" t="str">
        <f>HYPERLINK("http://www.worldcat.org/oclc/21162971","WorldCat Record")</f>
        <v>WorldCat Record</v>
      </c>
      <c r="AW677" s="2" t="s">
        <v>8693</v>
      </c>
      <c r="AX677" s="2" t="s">
        <v>8694</v>
      </c>
      <c r="AY677" s="2" t="s">
        <v>8695</v>
      </c>
      <c r="AZ677" s="2" t="s">
        <v>8695</v>
      </c>
      <c r="BA677" s="2" t="s">
        <v>8696</v>
      </c>
      <c r="BB677" s="2" t="s">
        <v>21</v>
      </c>
      <c r="BD677" s="2" t="s">
        <v>8697</v>
      </c>
      <c r="BE677" s="2" t="s">
        <v>8698</v>
      </c>
      <c r="BF677" s="2" t="s">
        <v>8699</v>
      </c>
    </row>
    <row r="678" spans="1:58" ht="42.75" customHeight="1" x14ac:dyDescent="0.25">
      <c r="A678" s="8" t="s">
        <v>8</v>
      </c>
      <c r="B678" s="1" t="s">
        <v>0</v>
      </c>
      <c r="C678" s="1" t="s">
        <v>1</v>
      </c>
      <c r="D678" s="1" t="s">
        <v>8700</v>
      </c>
      <c r="E678" s="1" t="s">
        <v>8701</v>
      </c>
      <c r="F678" s="1" t="s">
        <v>8702</v>
      </c>
      <c r="H678" s="2" t="s">
        <v>8</v>
      </c>
      <c r="I678" s="2" t="s">
        <v>7</v>
      </c>
      <c r="J678" s="2" t="s">
        <v>8</v>
      </c>
      <c r="K678" s="2" t="s">
        <v>8</v>
      </c>
      <c r="L678" s="2" t="s">
        <v>9</v>
      </c>
      <c r="N678" s="1" t="s">
        <v>5544</v>
      </c>
      <c r="O678" s="2" t="s">
        <v>627</v>
      </c>
      <c r="Q678" s="2" t="s">
        <v>12</v>
      </c>
      <c r="R678" s="2" t="s">
        <v>34</v>
      </c>
      <c r="T678" s="2" t="s">
        <v>14</v>
      </c>
      <c r="U678" s="3">
        <v>15</v>
      </c>
      <c r="V678" s="3">
        <v>15</v>
      </c>
      <c r="W678" s="4" t="s">
        <v>8594</v>
      </c>
      <c r="X678" s="4" t="s">
        <v>8594</v>
      </c>
      <c r="Y678" s="4" t="s">
        <v>8544</v>
      </c>
      <c r="Z678" s="4" t="s">
        <v>8544</v>
      </c>
      <c r="AA678" s="3">
        <v>379</v>
      </c>
      <c r="AB678" s="3">
        <v>350</v>
      </c>
      <c r="AC678" s="3">
        <v>351</v>
      </c>
      <c r="AD678" s="3">
        <v>1</v>
      </c>
      <c r="AE678" s="3">
        <v>1</v>
      </c>
      <c r="AF678" s="3">
        <v>24</v>
      </c>
      <c r="AG678" s="3">
        <v>24</v>
      </c>
      <c r="AH678" s="3">
        <v>6</v>
      </c>
      <c r="AI678" s="3">
        <v>6</v>
      </c>
      <c r="AJ678" s="3">
        <v>5</v>
      </c>
      <c r="AK678" s="3">
        <v>5</v>
      </c>
      <c r="AL678" s="3">
        <v>15</v>
      </c>
      <c r="AM678" s="3">
        <v>15</v>
      </c>
      <c r="AN678" s="3">
        <v>0</v>
      </c>
      <c r="AO678" s="3">
        <v>0</v>
      </c>
      <c r="AP678" s="3">
        <v>4</v>
      </c>
      <c r="AQ678" s="3">
        <v>4</v>
      </c>
      <c r="AR678" s="2" t="s">
        <v>8</v>
      </c>
      <c r="AS678" s="2" t="s">
        <v>6</v>
      </c>
      <c r="AT678" s="5" t="str">
        <f>HYPERLINK("http://catalog.hathitrust.org/Record/001542209","HathiTrust Record")</f>
        <v>HathiTrust Record</v>
      </c>
      <c r="AU678" s="5" t="str">
        <f>HYPERLINK("https://creighton-primo.hosted.exlibrisgroup.com/primo-explore/search?tab=default_tab&amp;search_scope=EVERYTHING&amp;vid=01CRU&amp;lang=en_US&amp;offset=0&amp;query=any,contains,991001244669702656","Catalog Record")</f>
        <v>Catalog Record</v>
      </c>
      <c r="AV678" s="5" t="str">
        <f>HYPERLINK("http://www.worldcat.org/oclc/18982652","WorldCat Record")</f>
        <v>WorldCat Record</v>
      </c>
      <c r="AW678" s="2" t="s">
        <v>8703</v>
      </c>
      <c r="AX678" s="2" t="s">
        <v>8704</v>
      </c>
      <c r="AY678" s="2" t="s">
        <v>8705</v>
      </c>
      <c r="AZ678" s="2" t="s">
        <v>8705</v>
      </c>
      <c r="BA678" s="2" t="s">
        <v>8706</v>
      </c>
      <c r="BB678" s="2" t="s">
        <v>21</v>
      </c>
      <c r="BD678" s="2" t="s">
        <v>8707</v>
      </c>
      <c r="BE678" s="2" t="s">
        <v>8708</v>
      </c>
      <c r="BF678" s="2" t="s">
        <v>8709</v>
      </c>
    </row>
    <row r="679" spans="1:58" ht="42.75" customHeight="1" x14ac:dyDescent="0.25">
      <c r="A679" s="8" t="s">
        <v>8</v>
      </c>
      <c r="B679" s="1" t="s">
        <v>0</v>
      </c>
      <c r="C679" s="1" t="s">
        <v>1</v>
      </c>
      <c r="D679" s="1" t="s">
        <v>8710</v>
      </c>
      <c r="E679" s="1" t="s">
        <v>8711</v>
      </c>
      <c r="F679" s="1" t="s">
        <v>8712</v>
      </c>
      <c r="H679" s="2" t="s">
        <v>8</v>
      </c>
      <c r="I679" s="2" t="s">
        <v>7</v>
      </c>
      <c r="J679" s="2" t="s">
        <v>8</v>
      </c>
      <c r="K679" s="2" t="s">
        <v>8</v>
      </c>
      <c r="L679" s="2" t="s">
        <v>9</v>
      </c>
      <c r="N679" s="1" t="s">
        <v>8713</v>
      </c>
      <c r="Q679" s="2" t="s">
        <v>12</v>
      </c>
      <c r="R679" s="2" t="s">
        <v>535</v>
      </c>
      <c r="T679" s="2" t="s">
        <v>14</v>
      </c>
      <c r="U679" s="3">
        <v>7</v>
      </c>
      <c r="V679" s="3">
        <v>7</v>
      </c>
      <c r="W679" s="4" t="s">
        <v>8714</v>
      </c>
      <c r="X679" s="4" t="s">
        <v>8714</v>
      </c>
      <c r="Y679" s="4" t="s">
        <v>8715</v>
      </c>
      <c r="Z679" s="4" t="s">
        <v>8715</v>
      </c>
      <c r="AA679" s="3">
        <v>63</v>
      </c>
      <c r="AB679" s="3">
        <v>59</v>
      </c>
      <c r="AC679" s="3">
        <v>62</v>
      </c>
      <c r="AD679" s="3">
        <v>1</v>
      </c>
      <c r="AE679" s="3">
        <v>1</v>
      </c>
      <c r="AF679" s="3">
        <v>0</v>
      </c>
      <c r="AG679" s="3">
        <v>0</v>
      </c>
      <c r="AH679" s="3">
        <v>0</v>
      </c>
      <c r="AI679" s="3">
        <v>0</v>
      </c>
      <c r="AJ679" s="3">
        <v>0</v>
      </c>
      <c r="AK679" s="3">
        <v>0</v>
      </c>
      <c r="AL679" s="3">
        <v>0</v>
      </c>
      <c r="AM679" s="3">
        <v>0</v>
      </c>
      <c r="AN679" s="3">
        <v>0</v>
      </c>
      <c r="AO679" s="3">
        <v>0</v>
      </c>
      <c r="AP679" s="3">
        <v>0</v>
      </c>
      <c r="AQ679" s="3">
        <v>0</v>
      </c>
      <c r="AR679" s="2" t="s">
        <v>8</v>
      </c>
      <c r="AS679" s="2" t="s">
        <v>6</v>
      </c>
      <c r="AT679" s="5" t="str">
        <f>HYPERLINK("http://catalog.hathitrust.org/Record/000505988","HathiTrust Record")</f>
        <v>HathiTrust Record</v>
      </c>
      <c r="AU679" s="5" t="str">
        <f>HYPERLINK("https://creighton-primo.hosted.exlibrisgroup.com/primo-explore/search?tab=default_tab&amp;search_scope=EVERYTHING&amp;vid=01CRU&amp;lang=en_US&amp;offset=0&amp;query=any,contains,991001286669702656","Catalog Record")</f>
        <v>Catalog Record</v>
      </c>
      <c r="AV679" s="5" t="str">
        <f>HYPERLINK("http://www.worldcat.org/oclc/2254291","WorldCat Record")</f>
        <v>WorldCat Record</v>
      </c>
      <c r="AW679" s="2" t="s">
        <v>8716</v>
      </c>
      <c r="AX679" s="2" t="s">
        <v>8717</v>
      </c>
      <c r="AY679" s="2" t="s">
        <v>8718</v>
      </c>
      <c r="AZ679" s="2" t="s">
        <v>8718</v>
      </c>
      <c r="BA679" s="2" t="s">
        <v>8719</v>
      </c>
      <c r="BB679" s="2" t="s">
        <v>21</v>
      </c>
      <c r="BE679" s="2" t="s">
        <v>8720</v>
      </c>
      <c r="BF679" s="2" t="s">
        <v>8721</v>
      </c>
    </row>
    <row r="680" spans="1:58" ht="42.75" customHeight="1" x14ac:dyDescent="0.25">
      <c r="A680" s="8" t="s">
        <v>8</v>
      </c>
      <c r="B680" s="1" t="s">
        <v>0</v>
      </c>
      <c r="C680" s="1" t="s">
        <v>1</v>
      </c>
      <c r="D680" s="1" t="s">
        <v>8722</v>
      </c>
      <c r="E680" s="1" t="s">
        <v>8723</v>
      </c>
      <c r="F680" s="1" t="s">
        <v>8724</v>
      </c>
      <c r="H680" s="2" t="s">
        <v>8</v>
      </c>
      <c r="I680" s="2" t="s">
        <v>7</v>
      </c>
      <c r="J680" s="2" t="s">
        <v>8</v>
      </c>
      <c r="K680" s="2" t="s">
        <v>8</v>
      </c>
      <c r="L680" s="2" t="s">
        <v>9</v>
      </c>
      <c r="N680" s="1" t="s">
        <v>8725</v>
      </c>
      <c r="O680" s="2" t="s">
        <v>657</v>
      </c>
      <c r="Q680" s="2" t="s">
        <v>12</v>
      </c>
      <c r="R680" s="2" t="s">
        <v>933</v>
      </c>
      <c r="T680" s="2" t="s">
        <v>14</v>
      </c>
      <c r="U680" s="3">
        <v>2</v>
      </c>
      <c r="V680" s="3">
        <v>2</v>
      </c>
      <c r="W680" s="4" t="s">
        <v>8726</v>
      </c>
      <c r="X680" s="4" t="s">
        <v>8726</v>
      </c>
      <c r="Y680" s="4" t="s">
        <v>8727</v>
      </c>
      <c r="Z680" s="4" t="s">
        <v>8727</v>
      </c>
      <c r="AA680" s="3">
        <v>4</v>
      </c>
      <c r="AB680" s="3">
        <v>4</v>
      </c>
      <c r="AC680" s="3">
        <v>50</v>
      </c>
      <c r="AD680" s="3">
        <v>1</v>
      </c>
      <c r="AE680" s="3">
        <v>1</v>
      </c>
      <c r="AF680" s="3">
        <v>0</v>
      </c>
      <c r="AG680" s="3">
        <v>1</v>
      </c>
      <c r="AH680" s="3">
        <v>0</v>
      </c>
      <c r="AI680" s="3">
        <v>0</v>
      </c>
      <c r="AJ680" s="3">
        <v>0</v>
      </c>
      <c r="AK680" s="3">
        <v>0</v>
      </c>
      <c r="AL680" s="3">
        <v>0</v>
      </c>
      <c r="AM680" s="3">
        <v>1</v>
      </c>
      <c r="AN680" s="3">
        <v>0</v>
      </c>
      <c r="AO680" s="3">
        <v>0</v>
      </c>
      <c r="AP680" s="3">
        <v>0</v>
      </c>
      <c r="AQ680" s="3">
        <v>0</v>
      </c>
      <c r="AR680" s="2" t="s">
        <v>8</v>
      </c>
      <c r="AS680" s="2" t="s">
        <v>8</v>
      </c>
      <c r="AU680" s="5" t="str">
        <f>HYPERLINK("https://creighton-primo.hosted.exlibrisgroup.com/primo-explore/search?tab=default_tab&amp;search_scope=EVERYTHING&amp;vid=01CRU&amp;lang=en_US&amp;offset=0&amp;query=any,contains,991000308059702656","Catalog Record")</f>
        <v>Catalog Record</v>
      </c>
      <c r="AV680" s="5" t="str">
        <f>HYPERLINK("http://www.worldcat.org/oclc/43874528","WorldCat Record")</f>
        <v>WorldCat Record</v>
      </c>
      <c r="AW680" s="2" t="s">
        <v>8728</v>
      </c>
      <c r="AX680" s="2" t="s">
        <v>8729</v>
      </c>
      <c r="AY680" s="2" t="s">
        <v>8730</v>
      </c>
      <c r="AZ680" s="2" t="s">
        <v>8730</v>
      </c>
      <c r="BA680" s="2" t="s">
        <v>8731</v>
      </c>
      <c r="BB680" s="2" t="s">
        <v>21</v>
      </c>
      <c r="BD680" s="2" t="s">
        <v>8732</v>
      </c>
      <c r="BE680" s="2" t="s">
        <v>8733</v>
      </c>
      <c r="BF680" s="2" t="s">
        <v>8734</v>
      </c>
    </row>
    <row r="681" spans="1:58" ht="42.75" customHeight="1" x14ac:dyDescent="0.25">
      <c r="A681" s="8" t="s">
        <v>8</v>
      </c>
      <c r="B681" s="1" t="s">
        <v>0</v>
      </c>
      <c r="C681" s="1" t="s">
        <v>1</v>
      </c>
      <c r="D681" s="1" t="s">
        <v>8735</v>
      </c>
      <c r="E681" s="1" t="s">
        <v>8736</v>
      </c>
      <c r="F681" s="1" t="s">
        <v>8737</v>
      </c>
      <c r="H681" s="2" t="s">
        <v>8</v>
      </c>
      <c r="I681" s="2" t="s">
        <v>7</v>
      </c>
      <c r="J681" s="2" t="s">
        <v>8</v>
      </c>
      <c r="K681" s="2" t="s">
        <v>6</v>
      </c>
      <c r="L681" s="2" t="s">
        <v>858</v>
      </c>
      <c r="M681" s="1" t="s">
        <v>8738</v>
      </c>
      <c r="N681" s="1" t="s">
        <v>8739</v>
      </c>
      <c r="O681" s="2" t="s">
        <v>830</v>
      </c>
      <c r="P681" s="1" t="s">
        <v>83</v>
      </c>
      <c r="Q681" s="2" t="s">
        <v>12</v>
      </c>
      <c r="R681" s="2" t="s">
        <v>520</v>
      </c>
      <c r="T681" s="2" t="s">
        <v>14</v>
      </c>
      <c r="U681" s="3">
        <v>0</v>
      </c>
      <c r="V681" s="3">
        <v>0</v>
      </c>
      <c r="W681" s="4" t="s">
        <v>8740</v>
      </c>
      <c r="X681" s="4" t="s">
        <v>8740</v>
      </c>
      <c r="Y681" s="4" t="s">
        <v>8741</v>
      </c>
      <c r="Z681" s="4" t="s">
        <v>8741</v>
      </c>
      <c r="AA681" s="3">
        <v>179</v>
      </c>
      <c r="AB681" s="3">
        <v>138</v>
      </c>
      <c r="AC681" s="3">
        <v>1877</v>
      </c>
      <c r="AD681" s="3">
        <v>2</v>
      </c>
      <c r="AE681" s="3">
        <v>46</v>
      </c>
      <c r="AF681" s="3">
        <v>10</v>
      </c>
      <c r="AG681" s="3">
        <v>56</v>
      </c>
      <c r="AH681" s="3">
        <v>1</v>
      </c>
      <c r="AI681" s="3">
        <v>17</v>
      </c>
      <c r="AJ681" s="3">
        <v>3</v>
      </c>
      <c r="AK681" s="3">
        <v>11</v>
      </c>
      <c r="AL681" s="3">
        <v>6</v>
      </c>
      <c r="AM681" s="3">
        <v>17</v>
      </c>
      <c r="AN681" s="3">
        <v>1</v>
      </c>
      <c r="AO681" s="3">
        <v>17</v>
      </c>
      <c r="AP681" s="3">
        <v>1</v>
      </c>
      <c r="AQ681" s="3">
        <v>4</v>
      </c>
      <c r="AR681" s="2" t="s">
        <v>8</v>
      </c>
      <c r="AS681" s="2" t="s">
        <v>8</v>
      </c>
      <c r="AU681" s="5" t="str">
        <f>HYPERLINK("https://creighton-primo.hosted.exlibrisgroup.com/primo-explore/search?tab=default_tab&amp;search_scope=EVERYTHING&amp;vid=01CRU&amp;lang=en_US&amp;offset=0&amp;query=any,contains,991000384519702656","Catalog Record")</f>
        <v>Catalog Record</v>
      </c>
      <c r="AV681" s="5" t="str">
        <f>HYPERLINK("http://www.worldcat.org/oclc/50192138","WorldCat Record")</f>
        <v>WorldCat Record</v>
      </c>
      <c r="AW681" s="2" t="s">
        <v>8742</v>
      </c>
      <c r="AX681" s="2" t="s">
        <v>8743</v>
      </c>
      <c r="AY681" s="2" t="s">
        <v>8744</v>
      </c>
      <c r="AZ681" s="2" t="s">
        <v>8744</v>
      </c>
      <c r="BA681" s="2" t="s">
        <v>8745</v>
      </c>
      <c r="BB681" s="2" t="s">
        <v>21</v>
      </c>
      <c r="BD681" s="2" t="s">
        <v>8746</v>
      </c>
      <c r="BE681" s="2" t="s">
        <v>8747</v>
      </c>
      <c r="BF681" s="2" t="s">
        <v>8748</v>
      </c>
    </row>
    <row r="682" spans="1:58" ht="42.75" customHeight="1" x14ac:dyDescent="0.25">
      <c r="A682" s="8" t="s">
        <v>8</v>
      </c>
      <c r="B682" s="1" t="s">
        <v>0</v>
      </c>
      <c r="C682" s="1" t="s">
        <v>1</v>
      </c>
      <c r="D682" s="1" t="s">
        <v>8749</v>
      </c>
      <c r="E682" s="1" t="s">
        <v>8750</v>
      </c>
      <c r="F682" s="1" t="s">
        <v>8751</v>
      </c>
      <c r="H682" s="2" t="s">
        <v>8</v>
      </c>
      <c r="I682" s="2" t="s">
        <v>7</v>
      </c>
      <c r="J682" s="2" t="s">
        <v>8</v>
      </c>
      <c r="K682" s="2" t="s">
        <v>8</v>
      </c>
      <c r="L682" s="2" t="s">
        <v>9</v>
      </c>
      <c r="M682" s="1" t="s">
        <v>8752</v>
      </c>
      <c r="N682" s="1" t="s">
        <v>8753</v>
      </c>
      <c r="O682" s="2" t="s">
        <v>1629</v>
      </c>
      <c r="P682" s="1" t="s">
        <v>8754</v>
      </c>
      <c r="Q682" s="2" t="s">
        <v>12</v>
      </c>
      <c r="R682" s="2" t="s">
        <v>34</v>
      </c>
      <c r="T682" s="2" t="s">
        <v>14</v>
      </c>
      <c r="U682" s="3">
        <v>2</v>
      </c>
      <c r="V682" s="3">
        <v>2</v>
      </c>
      <c r="W682" s="4" t="s">
        <v>8755</v>
      </c>
      <c r="X682" s="4" t="s">
        <v>8755</v>
      </c>
      <c r="Y682" s="4" t="s">
        <v>7262</v>
      </c>
      <c r="Z682" s="4" t="s">
        <v>7262</v>
      </c>
      <c r="AA682" s="3">
        <v>217</v>
      </c>
      <c r="AB682" s="3">
        <v>173</v>
      </c>
      <c r="AC682" s="3">
        <v>403</v>
      </c>
      <c r="AD682" s="3">
        <v>1</v>
      </c>
      <c r="AE682" s="3">
        <v>3</v>
      </c>
      <c r="AF682" s="3">
        <v>5</v>
      </c>
      <c r="AG682" s="3">
        <v>17</v>
      </c>
      <c r="AH682" s="3">
        <v>1</v>
      </c>
      <c r="AI682" s="3">
        <v>4</v>
      </c>
      <c r="AJ682" s="3">
        <v>1</v>
      </c>
      <c r="AK682" s="3">
        <v>3</v>
      </c>
      <c r="AL682" s="3">
        <v>4</v>
      </c>
      <c r="AM682" s="3">
        <v>11</v>
      </c>
      <c r="AN682" s="3">
        <v>0</v>
      </c>
      <c r="AO682" s="3">
        <v>2</v>
      </c>
      <c r="AP682" s="3">
        <v>1</v>
      </c>
      <c r="AQ682" s="3">
        <v>2</v>
      </c>
      <c r="AR682" s="2" t="s">
        <v>8</v>
      </c>
      <c r="AS682" s="2" t="s">
        <v>8</v>
      </c>
      <c r="AU682" s="5" t="str">
        <f>HYPERLINK("https://creighton-primo.hosted.exlibrisgroup.com/primo-explore/search?tab=default_tab&amp;search_scope=EVERYTHING&amp;vid=01CRU&amp;lang=en_US&amp;offset=0&amp;query=any,contains,991001543929702656","Catalog Record")</f>
        <v>Catalog Record</v>
      </c>
      <c r="AV682" s="5" t="str">
        <f>HYPERLINK("http://www.worldcat.org/oclc/9757335","WorldCat Record")</f>
        <v>WorldCat Record</v>
      </c>
      <c r="AW682" s="2" t="s">
        <v>8756</v>
      </c>
      <c r="AX682" s="2" t="s">
        <v>8757</v>
      </c>
      <c r="AY682" s="2" t="s">
        <v>8758</v>
      </c>
      <c r="AZ682" s="2" t="s">
        <v>8758</v>
      </c>
      <c r="BA682" s="2" t="s">
        <v>8759</v>
      </c>
      <c r="BB682" s="2" t="s">
        <v>21</v>
      </c>
      <c r="BD682" s="2" t="s">
        <v>8760</v>
      </c>
      <c r="BE682" s="2" t="s">
        <v>8761</v>
      </c>
      <c r="BF682" s="2" t="s">
        <v>8762</v>
      </c>
    </row>
    <row r="683" spans="1:58" ht="42.75" customHeight="1" x14ac:dyDescent="0.25">
      <c r="A683" s="8" t="s">
        <v>8</v>
      </c>
      <c r="B683" s="1" t="s">
        <v>0</v>
      </c>
      <c r="C683" s="1" t="s">
        <v>1</v>
      </c>
      <c r="D683" s="1" t="s">
        <v>8763</v>
      </c>
      <c r="E683" s="1" t="s">
        <v>8764</v>
      </c>
      <c r="F683" s="1" t="s">
        <v>8765</v>
      </c>
      <c r="H683" s="2" t="s">
        <v>8</v>
      </c>
      <c r="I683" s="2" t="s">
        <v>7</v>
      </c>
      <c r="J683" s="2" t="s">
        <v>8</v>
      </c>
      <c r="K683" s="2" t="s">
        <v>8</v>
      </c>
      <c r="L683" s="2" t="s">
        <v>9</v>
      </c>
      <c r="M683" s="1" t="s">
        <v>8766</v>
      </c>
      <c r="N683" s="1" t="s">
        <v>8767</v>
      </c>
      <c r="O683" s="2" t="s">
        <v>410</v>
      </c>
      <c r="P683" s="1" t="s">
        <v>8768</v>
      </c>
      <c r="Q683" s="2" t="s">
        <v>12</v>
      </c>
      <c r="R683" s="2" t="s">
        <v>815</v>
      </c>
      <c r="T683" s="2" t="s">
        <v>14</v>
      </c>
      <c r="U683" s="3">
        <v>14</v>
      </c>
      <c r="V683" s="3">
        <v>14</v>
      </c>
      <c r="W683" s="4" t="s">
        <v>8668</v>
      </c>
      <c r="X683" s="4" t="s">
        <v>8668</v>
      </c>
      <c r="Y683" s="4" t="s">
        <v>8769</v>
      </c>
      <c r="Z683" s="4" t="s">
        <v>8769</v>
      </c>
      <c r="AA683" s="3">
        <v>211</v>
      </c>
      <c r="AB683" s="3">
        <v>198</v>
      </c>
      <c r="AC683" s="3">
        <v>199</v>
      </c>
      <c r="AD683" s="3">
        <v>2</v>
      </c>
      <c r="AE683" s="3">
        <v>2</v>
      </c>
      <c r="AF683" s="3">
        <v>7</v>
      </c>
      <c r="AG683" s="3">
        <v>7</v>
      </c>
      <c r="AH683" s="3">
        <v>1</v>
      </c>
      <c r="AI683" s="3">
        <v>1</v>
      </c>
      <c r="AJ683" s="3">
        <v>3</v>
      </c>
      <c r="AK683" s="3">
        <v>3</v>
      </c>
      <c r="AL683" s="3">
        <v>5</v>
      </c>
      <c r="AM683" s="3">
        <v>5</v>
      </c>
      <c r="AN683" s="3">
        <v>1</v>
      </c>
      <c r="AO683" s="3">
        <v>1</v>
      </c>
      <c r="AP683" s="3">
        <v>0</v>
      </c>
      <c r="AQ683" s="3">
        <v>0</v>
      </c>
      <c r="AR683" s="2" t="s">
        <v>8</v>
      </c>
      <c r="AS683" s="2" t="s">
        <v>6</v>
      </c>
      <c r="AT683" s="5" t="str">
        <f>HYPERLINK("http://catalog.hathitrust.org/Record/002648059","HathiTrust Record")</f>
        <v>HathiTrust Record</v>
      </c>
      <c r="AU683" s="5" t="str">
        <f>HYPERLINK("https://creighton-primo.hosted.exlibrisgroup.com/primo-explore/search?tab=default_tab&amp;search_scope=EVERYTHING&amp;vid=01CRU&amp;lang=en_US&amp;offset=0&amp;query=any,contains,991000546209702656","Catalog Record")</f>
        <v>Catalog Record</v>
      </c>
      <c r="AV683" s="5" t="str">
        <f>HYPERLINK("http://www.worldcat.org/oclc/27218099","WorldCat Record")</f>
        <v>WorldCat Record</v>
      </c>
      <c r="AW683" s="2" t="s">
        <v>8770</v>
      </c>
      <c r="AX683" s="2" t="s">
        <v>8771</v>
      </c>
      <c r="AY683" s="2" t="s">
        <v>8772</v>
      </c>
      <c r="AZ683" s="2" t="s">
        <v>8772</v>
      </c>
      <c r="BA683" s="2" t="s">
        <v>8773</v>
      </c>
      <c r="BB683" s="2" t="s">
        <v>21</v>
      </c>
      <c r="BD683" s="2" t="s">
        <v>8774</v>
      </c>
      <c r="BE683" s="2" t="s">
        <v>8775</v>
      </c>
      <c r="BF683" s="2" t="s">
        <v>8776</v>
      </c>
    </row>
    <row r="684" spans="1:58" ht="42.75" customHeight="1" x14ac:dyDescent="0.25">
      <c r="A684" s="8" t="s">
        <v>8</v>
      </c>
      <c r="B684" s="1" t="s">
        <v>0</v>
      </c>
      <c r="C684" s="1" t="s">
        <v>1</v>
      </c>
      <c r="D684" s="1" t="s">
        <v>8777</v>
      </c>
      <c r="E684" s="1" t="s">
        <v>8778</v>
      </c>
      <c r="F684" s="1" t="s">
        <v>8779</v>
      </c>
      <c r="H684" s="2" t="s">
        <v>8</v>
      </c>
      <c r="I684" s="2" t="s">
        <v>7</v>
      </c>
      <c r="J684" s="2" t="s">
        <v>8</v>
      </c>
      <c r="K684" s="2" t="s">
        <v>8</v>
      </c>
      <c r="L684" s="2" t="s">
        <v>9</v>
      </c>
      <c r="N684" s="1" t="s">
        <v>8780</v>
      </c>
      <c r="O684" s="2" t="s">
        <v>33</v>
      </c>
      <c r="Q684" s="2" t="s">
        <v>12</v>
      </c>
      <c r="R684" s="2" t="s">
        <v>34</v>
      </c>
      <c r="T684" s="2" t="s">
        <v>14</v>
      </c>
      <c r="U684" s="3">
        <v>5</v>
      </c>
      <c r="V684" s="3">
        <v>5</v>
      </c>
      <c r="W684" s="4" t="s">
        <v>8594</v>
      </c>
      <c r="X684" s="4" t="s">
        <v>8594</v>
      </c>
      <c r="Y684" s="4" t="s">
        <v>7262</v>
      </c>
      <c r="Z684" s="4" t="s">
        <v>7262</v>
      </c>
      <c r="AA684" s="3">
        <v>165</v>
      </c>
      <c r="AB684" s="3">
        <v>135</v>
      </c>
      <c r="AC684" s="3">
        <v>140</v>
      </c>
      <c r="AD684" s="3">
        <v>3</v>
      </c>
      <c r="AE684" s="3">
        <v>3</v>
      </c>
      <c r="AF684" s="3">
        <v>5</v>
      </c>
      <c r="AG684" s="3">
        <v>5</v>
      </c>
      <c r="AH684" s="3">
        <v>1</v>
      </c>
      <c r="AI684" s="3">
        <v>1</v>
      </c>
      <c r="AJ684" s="3">
        <v>0</v>
      </c>
      <c r="AK684" s="3">
        <v>0</v>
      </c>
      <c r="AL684" s="3">
        <v>1</v>
      </c>
      <c r="AM684" s="3">
        <v>1</v>
      </c>
      <c r="AN684" s="3">
        <v>2</v>
      </c>
      <c r="AO684" s="3">
        <v>2</v>
      </c>
      <c r="AP684" s="3">
        <v>1</v>
      </c>
      <c r="AQ684" s="3">
        <v>1</v>
      </c>
      <c r="AR684" s="2" t="s">
        <v>8</v>
      </c>
      <c r="AS684" s="2" t="s">
        <v>8</v>
      </c>
      <c r="AU684" s="5" t="str">
        <f>HYPERLINK("https://creighton-primo.hosted.exlibrisgroup.com/primo-explore/search?tab=default_tab&amp;search_scope=EVERYTHING&amp;vid=01CRU&amp;lang=en_US&amp;offset=0&amp;query=any,contains,991001543969702656","Catalog Record")</f>
        <v>Catalog Record</v>
      </c>
      <c r="AV684" s="5" t="str">
        <f>HYPERLINK("http://www.worldcat.org/oclc/7732797","WorldCat Record")</f>
        <v>WorldCat Record</v>
      </c>
      <c r="AW684" s="2" t="s">
        <v>8781</v>
      </c>
      <c r="AX684" s="2" t="s">
        <v>8782</v>
      </c>
      <c r="AY684" s="2" t="s">
        <v>8783</v>
      </c>
      <c r="AZ684" s="2" t="s">
        <v>8783</v>
      </c>
      <c r="BA684" s="2" t="s">
        <v>8784</v>
      </c>
      <c r="BB684" s="2" t="s">
        <v>21</v>
      </c>
      <c r="BD684" s="2" t="s">
        <v>8785</v>
      </c>
      <c r="BE684" s="2" t="s">
        <v>8786</v>
      </c>
      <c r="BF684" s="2" t="s">
        <v>8787</v>
      </c>
    </row>
    <row r="685" spans="1:58" ht="42.75" customHeight="1" x14ac:dyDescent="0.25">
      <c r="A685" s="8" t="s">
        <v>8</v>
      </c>
      <c r="B685" s="1" t="s">
        <v>0</v>
      </c>
      <c r="C685" s="1" t="s">
        <v>1</v>
      </c>
      <c r="D685" s="1" t="s">
        <v>8788</v>
      </c>
      <c r="E685" s="1" t="s">
        <v>8789</v>
      </c>
      <c r="F685" s="1" t="s">
        <v>8790</v>
      </c>
      <c r="H685" s="2" t="s">
        <v>8</v>
      </c>
      <c r="I685" s="2" t="s">
        <v>7</v>
      </c>
      <c r="J685" s="2" t="s">
        <v>8</v>
      </c>
      <c r="K685" s="2" t="s">
        <v>8</v>
      </c>
      <c r="L685" s="2" t="s">
        <v>9</v>
      </c>
      <c r="N685" s="1" t="s">
        <v>8791</v>
      </c>
      <c r="O685" s="2" t="s">
        <v>33</v>
      </c>
      <c r="Q685" s="2" t="s">
        <v>12</v>
      </c>
      <c r="R685" s="2" t="s">
        <v>520</v>
      </c>
      <c r="T685" s="2" t="s">
        <v>14</v>
      </c>
      <c r="U685" s="3">
        <v>1</v>
      </c>
      <c r="V685" s="3">
        <v>1</v>
      </c>
      <c r="W685" s="4" t="s">
        <v>1900</v>
      </c>
      <c r="X685" s="4" t="s">
        <v>1900</v>
      </c>
      <c r="Y685" s="4" t="s">
        <v>8792</v>
      </c>
      <c r="Z685" s="4" t="s">
        <v>8792</v>
      </c>
      <c r="AA685" s="3">
        <v>8</v>
      </c>
      <c r="AB685" s="3">
        <v>8</v>
      </c>
      <c r="AC685" s="3">
        <v>10</v>
      </c>
      <c r="AD685" s="3">
        <v>1</v>
      </c>
      <c r="AE685" s="3">
        <v>1</v>
      </c>
      <c r="AF685" s="3">
        <v>0</v>
      </c>
      <c r="AG685" s="3">
        <v>0</v>
      </c>
      <c r="AH685" s="3">
        <v>0</v>
      </c>
      <c r="AI685" s="3">
        <v>0</v>
      </c>
      <c r="AJ685" s="3">
        <v>0</v>
      </c>
      <c r="AK685" s="3">
        <v>0</v>
      </c>
      <c r="AL685" s="3">
        <v>0</v>
      </c>
      <c r="AM685" s="3">
        <v>0</v>
      </c>
      <c r="AN685" s="3">
        <v>0</v>
      </c>
      <c r="AO685" s="3">
        <v>0</v>
      </c>
      <c r="AP685" s="3">
        <v>0</v>
      </c>
      <c r="AQ685" s="3">
        <v>0</v>
      </c>
      <c r="AR685" s="2" t="s">
        <v>8</v>
      </c>
      <c r="AS685" s="2" t="s">
        <v>6</v>
      </c>
      <c r="AT685" s="5" t="str">
        <f>HYPERLINK("http://catalog.hathitrust.org/Record/010597968","HathiTrust Record")</f>
        <v>HathiTrust Record</v>
      </c>
      <c r="AU685" s="5" t="str">
        <f>HYPERLINK("https://creighton-primo.hosted.exlibrisgroup.com/primo-explore/search?tab=default_tab&amp;search_scope=EVERYTHING&amp;vid=01CRU&amp;lang=en_US&amp;offset=0&amp;query=any,contains,991000942439702656","Catalog Record")</f>
        <v>Catalog Record</v>
      </c>
      <c r="AV685" s="5" t="str">
        <f>HYPERLINK("http://www.worldcat.org/oclc/8957949","WorldCat Record")</f>
        <v>WorldCat Record</v>
      </c>
      <c r="AW685" s="2" t="s">
        <v>8793</v>
      </c>
      <c r="AX685" s="2" t="s">
        <v>8794</v>
      </c>
      <c r="AY685" s="2" t="s">
        <v>8795</v>
      </c>
      <c r="AZ685" s="2" t="s">
        <v>8795</v>
      </c>
      <c r="BA685" s="2" t="s">
        <v>8796</v>
      </c>
      <c r="BB685" s="2" t="s">
        <v>21</v>
      </c>
      <c r="BE685" s="2" t="s">
        <v>8797</v>
      </c>
      <c r="BF685" s="2" t="s">
        <v>8798</v>
      </c>
    </row>
    <row r="686" spans="1:58" ht="42.75" customHeight="1" x14ac:dyDescent="0.25">
      <c r="A686" s="8" t="s">
        <v>8</v>
      </c>
      <c r="B686" s="1" t="s">
        <v>0</v>
      </c>
      <c r="C686" s="1" t="s">
        <v>1</v>
      </c>
      <c r="D686" s="1" t="s">
        <v>8799</v>
      </c>
      <c r="E686" s="1" t="s">
        <v>8800</v>
      </c>
      <c r="F686" s="1" t="s">
        <v>8801</v>
      </c>
      <c r="H686" s="2" t="s">
        <v>8</v>
      </c>
      <c r="I686" s="2" t="s">
        <v>7</v>
      </c>
      <c r="J686" s="2" t="s">
        <v>8</v>
      </c>
      <c r="K686" s="2" t="s">
        <v>8</v>
      </c>
      <c r="L686" s="2" t="s">
        <v>9</v>
      </c>
      <c r="M686" s="1" t="s">
        <v>2324</v>
      </c>
      <c r="O686" s="2" t="s">
        <v>33</v>
      </c>
      <c r="Q686" s="2" t="s">
        <v>12</v>
      </c>
      <c r="R686" s="2" t="s">
        <v>456</v>
      </c>
      <c r="T686" s="2" t="s">
        <v>14</v>
      </c>
      <c r="U686" s="3">
        <v>0</v>
      </c>
      <c r="V686" s="3">
        <v>0</v>
      </c>
      <c r="W686" s="4" t="s">
        <v>1900</v>
      </c>
      <c r="X686" s="4" t="s">
        <v>1900</v>
      </c>
      <c r="Y686" s="4" t="s">
        <v>8802</v>
      </c>
      <c r="Z686" s="4" t="s">
        <v>8802</v>
      </c>
      <c r="AA686" s="3">
        <v>1</v>
      </c>
      <c r="AB686" s="3">
        <v>1</v>
      </c>
      <c r="AC686" s="3">
        <v>1</v>
      </c>
      <c r="AD686" s="3">
        <v>1</v>
      </c>
      <c r="AE686" s="3">
        <v>1</v>
      </c>
      <c r="AF686" s="3">
        <v>0</v>
      </c>
      <c r="AG686" s="3">
        <v>0</v>
      </c>
      <c r="AH686" s="3">
        <v>0</v>
      </c>
      <c r="AI686" s="3">
        <v>0</v>
      </c>
      <c r="AJ686" s="3">
        <v>0</v>
      </c>
      <c r="AK686" s="3">
        <v>0</v>
      </c>
      <c r="AL686" s="3">
        <v>0</v>
      </c>
      <c r="AM686" s="3">
        <v>0</v>
      </c>
      <c r="AN686" s="3">
        <v>0</v>
      </c>
      <c r="AO686" s="3">
        <v>0</v>
      </c>
      <c r="AP686" s="3">
        <v>0</v>
      </c>
      <c r="AQ686" s="3">
        <v>0</v>
      </c>
      <c r="AR686" s="2" t="s">
        <v>8</v>
      </c>
      <c r="AS686" s="2" t="s">
        <v>8</v>
      </c>
      <c r="AU686" s="5" t="str">
        <f>HYPERLINK("https://creighton-primo.hosted.exlibrisgroup.com/primo-explore/search?tab=default_tab&amp;search_scope=EVERYTHING&amp;vid=01CRU&amp;lang=en_US&amp;offset=0&amp;query=any,contains,991001472189702656","Catalog Record")</f>
        <v>Catalog Record</v>
      </c>
      <c r="AV686" s="5" t="str">
        <f>HYPERLINK("http://www.worldcat.org/oclc/9182425","WorldCat Record")</f>
        <v>WorldCat Record</v>
      </c>
      <c r="AW686" s="2" t="s">
        <v>8803</v>
      </c>
      <c r="AX686" s="2" t="s">
        <v>8804</v>
      </c>
      <c r="AY686" s="2" t="s">
        <v>8805</v>
      </c>
      <c r="AZ686" s="2" t="s">
        <v>8805</v>
      </c>
      <c r="BA686" s="2" t="s">
        <v>8806</v>
      </c>
      <c r="BB686" s="2" t="s">
        <v>21</v>
      </c>
      <c r="BE686" s="2" t="s">
        <v>8807</v>
      </c>
      <c r="BF686" s="2" t="s">
        <v>8808</v>
      </c>
    </row>
    <row r="687" spans="1:58" ht="42.75" customHeight="1" x14ac:dyDescent="0.25">
      <c r="A687" s="8" t="s">
        <v>8</v>
      </c>
      <c r="B687" s="1" t="s">
        <v>0</v>
      </c>
      <c r="C687" s="1" t="s">
        <v>1</v>
      </c>
      <c r="D687" s="1" t="s">
        <v>8809</v>
      </c>
      <c r="E687" s="1" t="s">
        <v>8810</v>
      </c>
      <c r="F687" s="1" t="s">
        <v>8811</v>
      </c>
      <c r="H687" s="2" t="s">
        <v>8</v>
      </c>
      <c r="I687" s="2" t="s">
        <v>7</v>
      </c>
      <c r="J687" s="2" t="s">
        <v>8</v>
      </c>
      <c r="K687" s="2" t="s">
        <v>8</v>
      </c>
      <c r="L687" s="2" t="s">
        <v>9</v>
      </c>
      <c r="M687" s="1" t="s">
        <v>8812</v>
      </c>
      <c r="N687" s="1" t="s">
        <v>8813</v>
      </c>
      <c r="O687" s="2" t="s">
        <v>1327</v>
      </c>
      <c r="P687" s="1" t="s">
        <v>8814</v>
      </c>
      <c r="Q687" s="2" t="s">
        <v>12</v>
      </c>
      <c r="R687" s="2" t="s">
        <v>520</v>
      </c>
      <c r="T687" s="2" t="s">
        <v>14</v>
      </c>
      <c r="U687" s="3">
        <v>1</v>
      </c>
      <c r="V687" s="3">
        <v>1</v>
      </c>
      <c r="W687" s="4" t="s">
        <v>1900</v>
      </c>
      <c r="X687" s="4" t="s">
        <v>1900</v>
      </c>
      <c r="Y687" s="4" t="s">
        <v>8715</v>
      </c>
      <c r="Z687" s="4" t="s">
        <v>8715</v>
      </c>
      <c r="AA687" s="3">
        <v>49</v>
      </c>
      <c r="AB687" s="3">
        <v>47</v>
      </c>
      <c r="AC687" s="3">
        <v>47</v>
      </c>
      <c r="AD687" s="3">
        <v>1</v>
      </c>
      <c r="AE687" s="3">
        <v>1</v>
      </c>
      <c r="AF687" s="3">
        <v>0</v>
      </c>
      <c r="AG687" s="3">
        <v>0</v>
      </c>
      <c r="AH687" s="3">
        <v>0</v>
      </c>
      <c r="AI687" s="3">
        <v>0</v>
      </c>
      <c r="AJ687" s="3">
        <v>0</v>
      </c>
      <c r="AK687" s="3">
        <v>0</v>
      </c>
      <c r="AL687" s="3">
        <v>0</v>
      </c>
      <c r="AM687" s="3">
        <v>0</v>
      </c>
      <c r="AN687" s="3">
        <v>0</v>
      </c>
      <c r="AO687" s="3">
        <v>0</v>
      </c>
      <c r="AP687" s="3">
        <v>0</v>
      </c>
      <c r="AQ687" s="3">
        <v>0</v>
      </c>
      <c r="AR687" s="2" t="s">
        <v>8</v>
      </c>
      <c r="AS687" s="2" t="s">
        <v>8</v>
      </c>
      <c r="AU687" s="5" t="str">
        <f>HYPERLINK("https://creighton-primo.hosted.exlibrisgroup.com/primo-explore/search?tab=default_tab&amp;search_scope=EVERYTHING&amp;vid=01CRU&amp;lang=en_US&amp;offset=0&amp;query=any,contains,991001286709702656","Catalog Record")</f>
        <v>Catalog Record</v>
      </c>
      <c r="AV687" s="5" t="str">
        <f>HYPERLINK("http://www.worldcat.org/oclc/20453927","WorldCat Record")</f>
        <v>WorldCat Record</v>
      </c>
      <c r="AW687" s="2" t="s">
        <v>8815</v>
      </c>
      <c r="AX687" s="2" t="s">
        <v>8816</v>
      </c>
      <c r="AY687" s="2" t="s">
        <v>8817</v>
      </c>
      <c r="AZ687" s="2" t="s">
        <v>8817</v>
      </c>
      <c r="BA687" s="2" t="s">
        <v>8818</v>
      </c>
      <c r="BB687" s="2" t="s">
        <v>21</v>
      </c>
      <c r="BD687" s="2" t="s">
        <v>8819</v>
      </c>
      <c r="BE687" s="2" t="s">
        <v>8820</v>
      </c>
      <c r="BF687" s="2" t="s">
        <v>8821</v>
      </c>
    </row>
    <row r="688" spans="1:58" ht="42.75" customHeight="1" x14ac:dyDescent="0.25">
      <c r="A688" s="8" t="s">
        <v>8</v>
      </c>
      <c r="B688" s="1" t="s">
        <v>0</v>
      </c>
      <c r="C688" s="1" t="s">
        <v>1</v>
      </c>
      <c r="D688" s="1" t="s">
        <v>8822</v>
      </c>
      <c r="E688" s="1" t="s">
        <v>8823</v>
      </c>
      <c r="F688" s="1" t="s">
        <v>8824</v>
      </c>
      <c r="H688" s="2" t="s">
        <v>8</v>
      </c>
      <c r="I688" s="2" t="s">
        <v>7</v>
      </c>
      <c r="J688" s="2" t="s">
        <v>8</v>
      </c>
      <c r="K688" s="2" t="s">
        <v>8</v>
      </c>
      <c r="L688" s="2" t="s">
        <v>9</v>
      </c>
      <c r="M688" s="1" t="s">
        <v>8825</v>
      </c>
      <c r="N688" s="1" t="s">
        <v>8826</v>
      </c>
      <c r="O688" s="2" t="s">
        <v>67</v>
      </c>
      <c r="Q688" s="2" t="s">
        <v>12</v>
      </c>
      <c r="R688" s="2" t="s">
        <v>34</v>
      </c>
      <c r="T688" s="2" t="s">
        <v>14</v>
      </c>
      <c r="U688" s="3">
        <v>3</v>
      </c>
      <c r="V688" s="3">
        <v>3</v>
      </c>
      <c r="W688" s="4" t="s">
        <v>1900</v>
      </c>
      <c r="X688" s="4" t="s">
        <v>1900</v>
      </c>
      <c r="Y688" s="4" t="s">
        <v>7262</v>
      </c>
      <c r="Z688" s="4" t="s">
        <v>7262</v>
      </c>
      <c r="AA688" s="3">
        <v>154</v>
      </c>
      <c r="AB688" s="3">
        <v>141</v>
      </c>
      <c r="AC688" s="3">
        <v>143</v>
      </c>
      <c r="AD688" s="3">
        <v>1</v>
      </c>
      <c r="AE688" s="3">
        <v>1</v>
      </c>
      <c r="AF688" s="3">
        <v>3</v>
      </c>
      <c r="AG688" s="3">
        <v>3</v>
      </c>
      <c r="AH688" s="3">
        <v>0</v>
      </c>
      <c r="AI688" s="3">
        <v>0</v>
      </c>
      <c r="AJ688" s="3">
        <v>1</v>
      </c>
      <c r="AK688" s="3">
        <v>1</v>
      </c>
      <c r="AL688" s="3">
        <v>2</v>
      </c>
      <c r="AM688" s="3">
        <v>2</v>
      </c>
      <c r="AN688" s="3">
        <v>0</v>
      </c>
      <c r="AO688" s="3">
        <v>0</v>
      </c>
      <c r="AP688" s="3">
        <v>0</v>
      </c>
      <c r="AQ688" s="3">
        <v>0</v>
      </c>
      <c r="AR688" s="2" t="s">
        <v>8</v>
      </c>
      <c r="AS688" s="2" t="s">
        <v>6</v>
      </c>
      <c r="AT688" s="5" t="str">
        <f>HYPERLINK("http://catalog.hathitrust.org/Record/000352053","HathiTrust Record")</f>
        <v>HathiTrust Record</v>
      </c>
      <c r="AU688" s="5" t="str">
        <f>HYPERLINK("https://creighton-primo.hosted.exlibrisgroup.com/primo-explore/search?tab=default_tab&amp;search_scope=EVERYTHING&amp;vid=01CRU&amp;lang=en_US&amp;offset=0&amp;query=any,contains,991001544189702656","Catalog Record")</f>
        <v>Catalog Record</v>
      </c>
      <c r="AV688" s="5" t="str">
        <f>HYPERLINK("http://www.worldcat.org/oclc/11812447","WorldCat Record")</f>
        <v>WorldCat Record</v>
      </c>
      <c r="AW688" s="2" t="s">
        <v>8827</v>
      </c>
      <c r="AX688" s="2" t="s">
        <v>8828</v>
      </c>
      <c r="AY688" s="2" t="s">
        <v>8829</v>
      </c>
      <c r="AZ688" s="2" t="s">
        <v>8829</v>
      </c>
      <c r="BA688" s="2" t="s">
        <v>8830</v>
      </c>
      <c r="BB688" s="2" t="s">
        <v>21</v>
      </c>
      <c r="BD688" s="2" t="s">
        <v>8831</v>
      </c>
      <c r="BE688" s="2" t="s">
        <v>8832</v>
      </c>
      <c r="BF688" s="2" t="s">
        <v>8833</v>
      </c>
    </row>
    <row r="689" spans="1:58" ht="42.75" customHeight="1" x14ac:dyDescent="0.25">
      <c r="A689" s="8" t="s">
        <v>8</v>
      </c>
      <c r="B689" s="1" t="s">
        <v>0</v>
      </c>
      <c r="C689" s="1" t="s">
        <v>1</v>
      </c>
      <c r="D689" s="1" t="s">
        <v>8834</v>
      </c>
      <c r="E689" s="1" t="s">
        <v>8835</v>
      </c>
      <c r="F689" s="1" t="s">
        <v>8836</v>
      </c>
      <c r="H689" s="2" t="s">
        <v>8</v>
      </c>
      <c r="I689" s="2" t="s">
        <v>7</v>
      </c>
      <c r="J689" s="2" t="s">
        <v>8</v>
      </c>
      <c r="K689" s="2" t="s">
        <v>8</v>
      </c>
      <c r="L689" s="2" t="s">
        <v>9</v>
      </c>
      <c r="M689" s="1" t="s">
        <v>8837</v>
      </c>
      <c r="N689" s="1" t="s">
        <v>8838</v>
      </c>
      <c r="O689" s="2" t="s">
        <v>614</v>
      </c>
      <c r="Q689" s="2" t="s">
        <v>12</v>
      </c>
      <c r="R689" s="2" t="s">
        <v>628</v>
      </c>
      <c r="T689" s="2" t="s">
        <v>14</v>
      </c>
      <c r="U689" s="3">
        <v>5</v>
      </c>
      <c r="V689" s="3">
        <v>5</v>
      </c>
      <c r="W689" s="4" t="s">
        <v>8839</v>
      </c>
      <c r="X689" s="4" t="s">
        <v>8839</v>
      </c>
      <c r="Y689" s="4" t="s">
        <v>8840</v>
      </c>
      <c r="Z689" s="4" t="s">
        <v>8840</v>
      </c>
      <c r="AA689" s="3">
        <v>379</v>
      </c>
      <c r="AB689" s="3">
        <v>327</v>
      </c>
      <c r="AC689" s="3">
        <v>334</v>
      </c>
      <c r="AD689" s="3">
        <v>1</v>
      </c>
      <c r="AE689" s="3">
        <v>1</v>
      </c>
      <c r="AF689" s="3">
        <v>13</v>
      </c>
      <c r="AG689" s="3">
        <v>13</v>
      </c>
      <c r="AH689" s="3">
        <v>4</v>
      </c>
      <c r="AI689" s="3">
        <v>4</v>
      </c>
      <c r="AJ689" s="3">
        <v>6</v>
      </c>
      <c r="AK689" s="3">
        <v>6</v>
      </c>
      <c r="AL689" s="3">
        <v>6</v>
      </c>
      <c r="AM689" s="3">
        <v>6</v>
      </c>
      <c r="AN689" s="3">
        <v>0</v>
      </c>
      <c r="AO689" s="3">
        <v>0</v>
      </c>
      <c r="AP689" s="3">
        <v>1</v>
      </c>
      <c r="AQ689" s="3">
        <v>1</v>
      </c>
      <c r="AR689" s="2" t="s">
        <v>8</v>
      </c>
      <c r="AS689" s="2" t="s">
        <v>6</v>
      </c>
      <c r="AT689" s="5" t="str">
        <f>HYPERLINK("http://catalog.hathitrust.org/Record/004529741","HathiTrust Record")</f>
        <v>HathiTrust Record</v>
      </c>
      <c r="AU689" s="5" t="str">
        <f>HYPERLINK("https://creighton-primo.hosted.exlibrisgroup.com/primo-explore/search?tab=default_tab&amp;search_scope=EVERYTHING&amp;vid=01CRU&amp;lang=en_US&amp;offset=0&amp;query=any,contains,991001349729702656","Catalog Record")</f>
        <v>Catalog Record</v>
      </c>
      <c r="AV689" s="5" t="str">
        <f>HYPERLINK("http://www.worldcat.org/oclc/25281648","WorldCat Record")</f>
        <v>WorldCat Record</v>
      </c>
      <c r="AW689" s="2" t="s">
        <v>8841</v>
      </c>
      <c r="AX689" s="2" t="s">
        <v>8842</v>
      </c>
      <c r="AY689" s="2" t="s">
        <v>8843</v>
      </c>
      <c r="AZ689" s="2" t="s">
        <v>8843</v>
      </c>
      <c r="BA689" s="2" t="s">
        <v>8844</v>
      </c>
      <c r="BB689" s="2" t="s">
        <v>21</v>
      </c>
      <c r="BD689" s="2" t="s">
        <v>8845</v>
      </c>
      <c r="BE689" s="2" t="s">
        <v>8846</v>
      </c>
      <c r="BF689" s="2" t="s">
        <v>8847</v>
      </c>
    </row>
    <row r="690" spans="1:58" ht="42.75" customHeight="1" x14ac:dyDescent="0.25">
      <c r="A690" s="8" t="s">
        <v>8</v>
      </c>
      <c r="B690" s="1" t="s">
        <v>0</v>
      </c>
      <c r="C690" s="1" t="s">
        <v>1</v>
      </c>
      <c r="D690" s="1" t="s">
        <v>8848</v>
      </c>
      <c r="E690" s="1" t="s">
        <v>8849</v>
      </c>
      <c r="F690" s="1" t="s">
        <v>8850</v>
      </c>
      <c r="H690" s="2" t="s">
        <v>8</v>
      </c>
      <c r="I690" s="2" t="s">
        <v>7</v>
      </c>
      <c r="J690" s="2" t="s">
        <v>8</v>
      </c>
      <c r="K690" s="2" t="s">
        <v>8</v>
      </c>
      <c r="L690" s="2" t="s">
        <v>9</v>
      </c>
      <c r="N690" s="1" t="s">
        <v>8851</v>
      </c>
      <c r="O690" s="2" t="s">
        <v>688</v>
      </c>
      <c r="Q690" s="2" t="s">
        <v>12</v>
      </c>
      <c r="R690" s="2" t="s">
        <v>1211</v>
      </c>
      <c r="S690" s="1" t="s">
        <v>8852</v>
      </c>
      <c r="T690" s="2" t="s">
        <v>14</v>
      </c>
      <c r="U690" s="3">
        <v>8</v>
      </c>
      <c r="V690" s="3">
        <v>8</v>
      </c>
      <c r="W690" s="4" t="s">
        <v>3195</v>
      </c>
      <c r="X690" s="4" t="s">
        <v>3195</v>
      </c>
      <c r="Y690" s="4" t="s">
        <v>8853</v>
      </c>
      <c r="Z690" s="4" t="s">
        <v>8853</v>
      </c>
      <c r="AA690" s="3">
        <v>140</v>
      </c>
      <c r="AB690" s="3">
        <v>135</v>
      </c>
      <c r="AC690" s="3">
        <v>142</v>
      </c>
      <c r="AD690" s="3">
        <v>2</v>
      </c>
      <c r="AE690" s="3">
        <v>2</v>
      </c>
      <c r="AF690" s="3">
        <v>4</v>
      </c>
      <c r="AG690" s="3">
        <v>4</v>
      </c>
      <c r="AH690" s="3">
        <v>0</v>
      </c>
      <c r="AI690" s="3">
        <v>0</v>
      </c>
      <c r="AJ690" s="3">
        <v>2</v>
      </c>
      <c r="AK690" s="3">
        <v>2</v>
      </c>
      <c r="AL690" s="3">
        <v>3</v>
      </c>
      <c r="AM690" s="3">
        <v>3</v>
      </c>
      <c r="AN690" s="3">
        <v>0</v>
      </c>
      <c r="AO690" s="3">
        <v>0</v>
      </c>
      <c r="AP690" s="3">
        <v>0</v>
      </c>
      <c r="AQ690" s="3">
        <v>0</v>
      </c>
      <c r="AR690" s="2" t="s">
        <v>8</v>
      </c>
      <c r="AS690" s="2" t="s">
        <v>6</v>
      </c>
      <c r="AT690" s="5" t="str">
        <f>HYPERLINK("http://catalog.hathitrust.org/Record/002999150","HathiTrust Record")</f>
        <v>HathiTrust Record</v>
      </c>
      <c r="AU690" s="5" t="str">
        <f>HYPERLINK("https://creighton-primo.hosted.exlibrisgroup.com/primo-explore/search?tab=default_tab&amp;search_scope=EVERYTHING&amp;vid=01CRU&amp;lang=en_US&amp;offset=0&amp;query=any,contains,991000681129702656","Catalog Record")</f>
        <v>Catalog Record</v>
      </c>
      <c r="AV690" s="5" t="str">
        <f>HYPERLINK("http://www.worldcat.org/oclc/30359168","WorldCat Record")</f>
        <v>WorldCat Record</v>
      </c>
      <c r="AW690" s="2" t="s">
        <v>8854</v>
      </c>
      <c r="AX690" s="2" t="s">
        <v>8855</v>
      </c>
      <c r="AY690" s="2" t="s">
        <v>8856</v>
      </c>
      <c r="AZ690" s="2" t="s">
        <v>8856</v>
      </c>
      <c r="BA690" s="2" t="s">
        <v>8857</v>
      </c>
      <c r="BB690" s="2" t="s">
        <v>21</v>
      </c>
      <c r="BD690" s="2" t="s">
        <v>8858</v>
      </c>
      <c r="BE690" s="2" t="s">
        <v>8859</v>
      </c>
      <c r="BF690" s="2" t="s">
        <v>8860</v>
      </c>
    </row>
    <row r="691" spans="1:58" ht="42.75" customHeight="1" x14ac:dyDescent="0.25">
      <c r="A691" s="8" t="s">
        <v>8</v>
      </c>
      <c r="B691" s="1" t="s">
        <v>0</v>
      </c>
      <c r="C691" s="1" t="s">
        <v>1</v>
      </c>
      <c r="D691" s="1" t="s">
        <v>8861</v>
      </c>
      <c r="E691" s="1" t="s">
        <v>8862</v>
      </c>
      <c r="F691" s="1" t="s">
        <v>8863</v>
      </c>
      <c r="H691" s="2" t="s">
        <v>8</v>
      </c>
      <c r="I691" s="2" t="s">
        <v>7</v>
      </c>
      <c r="J691" s="2" t="s">
        <v>8</v>
      </c>
      <c r="K691" s="2" t="s">
        <v>8</v>
      </c>
      <c r="L691" s="2" t="s">
        <v>9</v>
      </c>
      <c r="M691" s="1" t="s">
        <v>8864</v>
      </c>
      <c r="N691" s="1" t="s">
        <v>8865</v>
      </c>
      <c r="O691" s="2" t="s">
        <v>602</v>
      </c>
      <c r="Q691" s="2" t="s">
        <v>12</v>
      </c>
      <c r="R691" s="2" t="s">
        <v>1211</v>
      </c>
      <c r="S691" s="1" t="s">
        <v>8866</v>
      </c>
      <c r="T691" s="2" t="s">
        <v>14</v>
      </c>
      <c r="U691" s="3">
        <v>1</v>
      </c>
      <c r="V691" s="3">
        <v>1</v>
      </c>
      <c r="W691" s="4" t="s">
        <v>8428</v>
      </c>
      <c r="X691" s="4" t="s">
        <v>8428</v>
      </c>
      <c r="Y691" s="4" t="s">
        <v>8428</v>
      </c>
      <c r="Z691" s="4" t="s">
        <v>8428</v>
      </c>
      <c r="AA691" s="3">
        <v>23</v>
      </c>
      <c r="AB691" s="3">
        <v>22</v>
      </c>
      <c r="AC691" s="3">
        <v>866</v>
      </c>
      <c r="AD691" s="3">
        <v>1</v>
      </c>
      <c r="AE691" s="3">
        <v>14</v>
      </c>
      <c r="AF691" s="3">
        <v>0</v>
      </c>
      <c r="AG691" s="3">
        <v>32</v>
      </c>
      <c r="AH691" s="3">
        <v>0</v>
      </c>
      <c r="AI691" s="3">
        <v>9</v>
      </c>
      <c r="AJ691" s="3">
        <v>0</v>
      </c>
      <c r="AK691" s="3">
        <v>8</v>
      </c>
      <c r="AL691" s="3">
        <v>0</v>
      </c>
      <c r="AM691" s="3">
        <v>7</v>
      </c>
      <c r="AN691" s="3">
        <v>0</v>
      </c>
      <c r="AO691" s="3">
        <v>12</v>
      </c>
      <c r="AP691" s="3">
        <v>0</v>
      </c>
      <c r="AQ691" s="3">
        <v>1</v>
      </c>
      <c r="AR691" s="2" t="s">
        <v>8</v>
      </c>
      <c r="AS691" s="2" t="s">
        <v>8</v>
      </c>
      <c r="AU691" s="5" t="str">
        <f>HYPERLINK("https://creighton-primo.hosted.exlibrisgroup.com/primo-explore/search?tab=default_tab&amp;search_scope=EVERYTHING&amp;vid=01CRU&amp;lang=en_US&amp;offset=0&amp;query=any,contains,991001299139702656","Catalog Record")</f>
        <v>Catalog Record</v>
      </c>
      <c r="AV691" s="5" t="str">
        <f>HYPERLINK("http://www.worldcat.org/oclc/26634595","WorldCat Record")</f>
        <v>WorldCat Record</v>
      </c>
      <c r="AW691" s="2" t="s">
        <v>8867</v>
      </c>
      <c r="AX691" s="2" t="s">
        <v>8868</v>
      </c>
      <c r="AY691" s="2" t="s">
        <v>8869</v>
      </c>
      <c r="AZ691" s="2" t="s">
        <v>8869</v>
      </c>
      <c r="BA691" s="2" t="s">
        <v>8870</v>
      </c>
      <c r="BB691" s="2" t="s">
        <v>21</v>
      </c>
      <c r="BE691" s="2" t="s">
        <v>8871</v>
      </c>
      <c r="BF691" s="2" t="s">
        <v>8872</v>
      </c>
    </row>
    <row r="692" spans="1:58" ht="42.75" customHeight="1" x14ac:dyDescent="0.25">
      <c r="A692" s="8" t="s">
        <v>8</v>
      </c>
      <c r="B692" s="1" t="s">
        <v>0</v>
      </c>
      <c r="C692" s="1" t="s">
        <v>1</v>
      </c>
      <c r="D692" s="1" t="s">
        <v>8873</v>
      </c>
      <c r="E692" s="1" t="s">
        <v>8874</v>
      </c>
      <c r="F692" s="1" t="s">
        <v>8875</v>
      </c>
      <c r="H692" s="2" t="s">
        <v>8</v>
      </c>
      <c r="I692" s="2" t="s">
        <v>7</v>
      </c>
      <c r="J692" s="2" t="s">
        <v>8</v>
      </c>
      <c r="K692" s="2" t="s">
        <v>8</v>
      </c>
      <c r="L692" s="2" t="s">
        <v>9</v>
      </c>
      <c r="N692" s="1" t="s">
        <v>1830</v>
      </c>
      <c r="O692" s="2" t="s">
        <v>830</v>
      </c>
      <c r="Q692" s="2" t="s">
        <v>12</v>
      </c>
      <c r="R692" s="2" t="s">
        <v>643</v>
      </c>
      <c r="T692" s="2" t="s">
        <v>14</v>
      </c>
      <c r="U692" s="3">
        <v>5</v>
      </c>
      <c r="V692" s="3">
        <v>5</v>
      </c>
      <c r="W692" s="4" t="s">
        <v>8876</v>
      </c>
      <c r="X692" s="4" t="s">
        <v>8876</v>
      </c>
      <c r="Y692" s="4" t="s">
        <v>3337</v>
      </c>
      <c r="Z692" s="4" t="s">
        <v>3337</v>
      </c>
      <c r="AA692" s="3">
        <v>395</v>
      </c>
      <c r="AB692" s="3">
        <v>278</v>
      </c>
      <c r="AC692" s="3">
        <v>625</v>
      </c>
      <c r="AD692" s="3">
        <v>2</v>
      </c>
      <c r="AE692" s="3">
        <v>17</v>
      </c>
      <c r="AF692" s="3">
        <v>15</v>
      </c>
      <c r="AG692" s="3">
        <v>30</v>
      </c>
      <c r="AH692" s="3">
        <v>4</v>
      </c>
      <c r="AI692" s="3">
        <v>6</v>
      </c>
      <c r="AJ692" s="3">
        <v>4</v>
      </c>
      <c r="AK692" s="3">
        <v>7</v>
      </c>
      <c r="AL692" s="3">
        <v>8</v>
      </c>
      <c r="AM692" s="3">
        <v>9</v>
      </c>
      <c r="AN692" s="3">
        <v>1</v>
      </c>
      <c r="AO692" s="3">
        <v>9</v>
      </c>
      <c r="AP692" s="3">
        <v>0</v>
      </c>
      <c r="AQ692" s="3">
        <v>1</v>
      </c>
      <c r="AR692" s="2" t="s">
        <v>8</v>
      </c>
      <c r="AS692" s="2" t="s">
        <v>8</v>
      </c>
      <c r="AU692" s="5" t="str">
        <f>HYPERLINK("https://creighton-primo.hosted.exlibrisgroup.com/primo-explore/search?tab=default_tab&amp;search_scope=EVERYTHING&amp;vid=01CRU&amp;lang=en_US&amp;offset=0&amp;query=any,contains,991000392279702656","Catalog Record")</f>
        <v>Catalog Record</v>
      </c>
      <c r="AV692" s="5" t="str">
        <f>HYPERLINK("http://www.worldcat.org/oclc/50199084","WorldCat Record")</f>
        <v>WorldCat Record</v>
      </c>
      <c r="AW692" s="2" t="s">
        <v>8877</v>
      </c>
      <c r="AX692" s="2" t="s">
        <v>8878</v>
      </c>
      <c r="AY692" s="2" t="s">
        <v>8879</v>
      </c>
      <c r="AZ692" s="2" t="s">
        <v>8879</v>
      </c>
      <c r="BA692" s="2" t="s">
        <v>8880</v>
      </c>
      <c r="BB692" s="2" t="s">
        <v>21</v>
      </c>
      <c r="BD692" s="2" t="s">
        <v>8881</v>
      </c>
      <c r="BE692" s="2" t="s">
        <v>8882</v>
      </c>
      <c r="BF692" s="2" t="s">
        <v>8883</v>
      </c>
    </row>
    <row r="693" spans="1:58" ht="42.75" customHeight="1" x14ac:dyDescent="0.25">
      <c r="A693" s="8" t="s">
        <v>8</v>
      </c>
      <c r="B693" s="1" t="s">
        <v>0</v>
      </c>
      <c r="C693" s="1" t="s">
        <v>1</v>
      </c>
      <c r="D693" s="1" t="s">
        <v>8884</v>
      </c>
      <c r="E693" s="1" t="s">
        <v>8885</v>
      </c>
      <c r="F693" s="1" t="s">
        <v>8886</v>
      </c>
      <c r="H693" s="2" t="s">
        <v>8</v>
      </c>
      <c r="I693" s="2" t="s">
        <v>7</v>
      </c>
      <c r="J693" s="2" t="s">
        <v>8</v>
      </c>
      <c r="K693" s="2" t="s">
        <v>8</v>
      </c>
      <c r="L693" s="2" t="s">
        <v>9</v>
      </c>
      <c r="N693" s="1" t="s">
        <v>8887</v>
      </c>
      <c r="O693" s="2" t="s">
        <v>657</v>
      </c>
      <c r="P693" s="1" t="s">
        <v>8888</v>
      </c>
      <c r="Q693" s="2" t="s">
        <v>12</v>
      </c>
      <c r="R693" s="2" t="s">
        <v>520</v>
      </c>
      <c r="T693" s="2" t="s">
        <v>14</v>
      </c>
      <c r="U693" s="3">
        <v>7</v>
      </c>
      <c r="V693" s="3">
        <v>7</v>
      </c>
      <c r="W693" s="4" t="s">
        <v>8889</v>
      </c>
      <c r="X693" s="4" t="s">
        <v>8889</v>
      </c>
      <c r="Y693" s="4" t="s">
        <v>8890</v>
      </c>
      <c r="Z693" s="4" t="s">
        <v>8890</v>
      </c>
      <c r="AA693" s="3">
        <v>16</v>
      </c>
      <c r="AB693" s="3">
        <v>15</v>
      </c>
      <c r="AC693" s="3">
        <v>20</v>
      </c>
      <c r="AD693" s="3">
        <v>1</v>
      </c>
      <c r="AE693" s="3">
        <v>1</v>
      </c>
      <c r="AF693" s="3">
        <v>0</v>
      </c>
      <c r="AG693" s="3">
        <v>0</v>
      </c>
      <c r="AH693" s="3">
        <v>0</v>
      </c>
      <c r="AI693" s="3">
        <v>0</v>
      </c>
      <c r="AJ693" s="3">
        <v>0</v>
      </c>
      <c r="AK693" s="3">
        <v>0</v>
      </c>
      <c r="AL693" s="3">
        <v>0</v>
      </c>
      <c r="AM693" s="3">
        <v>0</v>
      </c>
      <c r="AN693" s="3">
        <v>0</v>
      </c>
      <c r="AO693" s="3">
        <v>0</v>
      </c>
      <c r="AP693" s="3">
        <v>0</v>
      </c>
      <c r="AQ693" s="3">
        <v>0</v>
      </c>
      <c r="AR693" s="2" t="s">
        <v>8</v>
      </c>
      <c r="AS693" s="2" t="s">
        <v>8</v>
      </c>
      <c r="AU693" s="5" t="str">
        <f>HYPERLINK("https://creighton-primo.hosted.exlibrisgroup.com/primo-explore/search?tab=default_tab&amp;search_scope=EVERYTHING&amp;vid=01CRU&amp;lang=en_US&amp;offset=0&amp;query=any,contains,991000324479702656","Catalog Record")</f>
        <v>Catalog Record</v>
      </c>
      <c r="AV693" s="5" t="str">
        <f>HYPERLINK("http://www.worldcat.org/oclc/45803632","WorldCat Record")</f>
        <v>WorldCat Record</v>
      </c>
      <c r="AW693" s="2" t="s">
        <v>8891</v>
      </c>
      <c r="AX693" s="2" t="s">
        <v>8892</v>
      </c>
      <c r="AY693" s="2" t="s">
        <v>8893</v>
      </c>
      <c r="AZ693" s="2" t="s">
        <v>8893</v>
      </c>
      <c r="BA693" s="2" t="s">
        <v>8894</v>
      </c>
      <c r="BB693" s="2" t="s">
        <v>21</v>
      </c>
      <c r="BD693" s="2" t="s">
        <v>8895</v>
      </c>
      <c r="BE693" s="2" t="s">
        <v>8896</v>
      </c>
      <c r="BF693" s="2" t="s">
        <v>8897</v>
      </c>
    </row>
    <row r="694" spans="1:58" ht="42.75" customHeight="1" x14ac:dyDescent="0.25">
      <c r="A694" s="8" t="s">
        <v>8</v>
      </c>
      <c r="B694" s="1" t="s">
        <v>0</v>
      </c>
      <c r="C694" s="1" t="s">
        <v>1</v>
      </c>
      <c r="D694" s="1" t="s">
        <v>8898</v>
      </c>
      <c r="E694" s="1" t="s">
        <v>8899</v>
      </c>
      <c r="F694" s="1" t="s">
        <v>8900</v>
      </c>
      <c r="H694" s="2" t="s">
        <v>8</v>
      </c>
      <c r="I694" s="2" t="s">
        <v>7</v>
      </c>
      <c r="J694" s="2" t="s">
        <v>8</v>
      </c>
      <c r="K694" s="2" t="s">
        <v>8</v>
      </c>
      <c r="L694" s="2" t="s">
        <v>9</v>
      </c>
      <c r="N694" s="1" t="s">
        <v>8901</v>
      </c>
      <c r="O694" s="2" t="s">
        <v>830</v>
      </c>
      <c r="P694" s="1" t="s">
        <v>8902</v>
      </c>
      <c r="Q694" s="2" t="s">
        <v>12</v>
      </c>
      <c r="R694" s="2" t="s">
        <v>520</v>
      </c>
      <c r="T694" s="2" t="s">
        <v>14</v>
      </c>
      <c r="U694" s="3">
        <v>11</v>
      </c>
      <c r="V694" s="3">
        <v>11</v>
      </c>
      <c r="W694" s="4" t="s">
        <v>8903</v>
      </c>
      <c r="X694" s="4" t="s">
        <v>8903</v>
      </c>
      <c r="Y694" s="4" t="s">
        <v>4589</v>
      </c>
      <c r="Z694" s="4" t="s">
        <v>4589</v>
      </c>
      <c r="AA694" s="3">
        <v>22</v>
      </c>
      <c r="AB694" s="3">
        <v>21</v>
      </c>
      <c r="AC694" s="3">
        <v>21</v>
      </c>
      <c r="AD694" s="3">
        <v>1</v>
      </c>
      <c r="AE694" s="3">
        <v>1</v>
      </c>
      <c r="AF694" s="3">
        <v>0</v>
      </c>
      <c r="AG694" s="3">
        <v>0</v>
      </c>
      <c r="AH694" s="3">
        <v>0</v>
      </c>
      <c r="AI694" s="3">
        <v>0</v>
      </c>
      <c r="AJ694" s="3">
        <v>0</v>
      </c>
      <c r="AK694" s="3">
        <v>0</v>
      </c>
      <c r="AL694" s="3">
        <v>0</v>
      </c>
      <c r="AM694" s="3">
        <v>0</v>
      </c>
      <c r="AN694" s="3">
        <v>0</v>
      </c>
      <c r="AO694" s="3">
        <v>0</v>
      </c>
      <c r="AP694" s="3">
        <v>0</v>
      </c>
      <c r="AQ694" s="3">
        <v>0</v>
      </c>
      <c r="AR694" s="2" t="s">
        <v>8</v>
      </c>
      <c r="AS694" s="2" t="s">
        <v>8</v>
      </c>
      <c r="AU694" s="5" t="str">
        <f>HYPERLINK("https://creighton-primo.hosted.exlibrisgroup.com/primo-explore/search?tab=default_tab&amp;search_scope=EVERYTHING&amp;vid=01CRU&amp;lang=en_US&amp;offset=0&amp;query=any,contains,991000378329702656","Catalog Record")</f>
        <v>Catalog Record</v>
      </c>
      <c r="AV694" s="5" t="str">
        <f>HYPERLINK("http://www.worldcat.org/oclc/52110493","WorldCat Record")</f>
        <v>WorldCat Record</v>
      </c>
      <c r="AW694" s="2" t="s">
        <v>8904</v>
      </c>
      <c r="AX694" s="2" t="s">
        <v>8905</v>
      </c>
      <c r="AY694" s="2" t="s">
        <v>8906</v>
      </c>
      <c r="AZ694" s="2" t="s">
        <v>8906</v>
      </c>
      <c r="BA694" s="2" t="s">
        <v>8907</v>
      </c>
      <c r="BB694" s="2" t="s">
        <v>21</v>
      </c>
      <c r="BD694" s="2" t="s">
        <v>8908</v>
      </c>
      <c r="BE694" s="2" t="s">
        <v>8909</v>
      </c>
      <c r="BF694" s="2" t="s">
        <v>8910</v>
      </c>
    </row>
    <row r="695" spans="1:58" ht="42.75" customHeight="1" x14ac:dyDescent="0.25">
      <c r="A695" s="8" t="s">
        <v>8</v>
      </c>
      <c r="B695" s="1" t="s">
        <v>0</v>
      </c>
      <c r="C695" s="1" t="s">
        <v>1</v>
      </c>
      <c r="D695" s="1" t="s">
        <v>8911</v>
      </c>
      <c r="E695" s="1" t="s">
        <v>8912</v>
      </c>
      <c r="F695" s="1" t="s">
        <v>8913</v>
      </c>
      <c r="G695" s="2" t="s">
        <v>25</v>
      </c>
      <c r="H695" s="2" t="s">
        <v>6</v>
      </c>
      <c r="I695" s="2" t="s">
        <v>7</v>
      </c>
      <c r="J695" s="2" t="s">
        <v>8</v>
      </c>
      <c r="K695" s="2" t="s">
        <v>8</v>
      </c>
      <c r="L695" s="2" t="s">
        <v>9</v>
      </c>
      <c r="N695" s="1" t="s">
        <v>8914</v>
      </c>
      <c r="O695" s="2" t="s">
        <v>410</v>
      </c>
      <c r="Q695" s="2" t="s">
        <v>12</v>
      </c>
      <c r="R695" s="2" t="s">
        <v>520</v>
      </c>
      <c r="T695" s="2" t="s">
        <v>14</v>
      </c>
      <c r="U695" s="3">
        <v>2</v>
      </c>
      <c r="V695" s="3">
        <v>4</v>
      </c>
      <c r="W695" s="4" t="s">
        <v>8915</v>
      </c>
      <c r="X695" s="4" t="s">
        <v>8915</v>
      </c>
      <c r="Y695" s="4" t="s">
        <v>8916</v>
      </c>
      <c r="Z695" s="4" t="s">
        <v>8916</v>
      </c>
      <c r="AA695" s="3">
        <v>16</v>
      </c>
      <c r="AB695" s="3">
        <v>16</v>
      </c>
      <c r="AC695" s="3">
        <v>21</v>
      </c>
      <c r="AD695" s="3">
        <v>1</v>
      </c>
      <c r="AE695" s="3">
        <v>1</v>
      </c>
      <c r="AF695" s="3">
        <v>0</v>
      </c>
      <c r="AG695" s="3">
        <v>0</v>
      </c>
      <c r="AH695" s="3">
        <v>0</v>
      </c>
      <c r="AI695" s="3">
        <v>0</v>
      </c>
      <c r="AJ695" s="3">
        <v>0</v>
      </c>
      <c r="AK695" s="3">
        <v>0</v>
      </c>
      <c r="AL695" s="3">
        <v>0</v>
      </c>
      <c r="AM695" s="3">
        <v>0</v>
      </c>
      <c r="AN695" s="3">
        <v>0</v>
      </c>
      <c r="AO695" s="3">
        <v>0</v>
      </c>
      <c r="AP695" s="3">
        <v>0</v>
      </c>
      <c r="AQ695" s="3">
        <v>0</v>
      </c>
      <c r="AR695" s="2" t="s">
        <v>8</v>
      </c>
      <c r="AS695" s="2" t="s">
        <v>8</v>
      </c>
      <c r="AU695" s="5" t="str">
        <f>HYPERLINK("https://creighton-primo.hosted.exlibrisgroup.com/primo-explore/search?tab=default_tab&amp;search_scope=EVERYTHING&amp;vid=01CRU&amp;lang=en_US&amp;offset=0&amp;query=any,contains,991000546479702656","Catalog Record")</f>
        <v>Catalog Record</v>
      </c>
      <c r="AV695" s="5" t="str">
        <f>HYPERLINK("http://www.worldcat.org/oclc/29527423","WorldCat Record")</f>
        <v>WorldCat Record</v>
      </c>
      <c r="AW695" s="2" t="s">
        <v>8917</v>
      </c>
      <c r="AX695" s="2" t="s">
        <v>8918</v>
      </c>
      <c r="AY695" s="2" t="s">
        <v>8919</v>
      </c>
      <c r="AZ695" s="2" t="s">
        <v>8919</v>
      </c>
      <c r="BA695" s="2" t="s">
        <v>8920</v>
      </c>
      <c r="BB695" s="2" t="s">
        <v>21</v>
      </c>
      <c r="BD695" s="2" t="s">
        <v>8921</v>
      </c>
      <c r="BE695" s="2" t="s">
        <v>8922</v>
      </c>
      <c r="BF695" s="2" t="s">
        <v>8923</v>
      </c>
    </row>
    <row r="696" spans="1:58" ht="42.75" customHeight="1" x14ac:dyDescent="0.25">
      <c r="A696" s="8" t="s">
        <v>8</v>
      </c>
      <c r="B696" s="1" t="s">
        <v>0</v>
      </c>
      <c r="C696" s="1" t="s">
        <v>1</v>
      </c>
      <c r="D696" s="1" t="s">
        <v>8911</v>
      </c>
      <c r="E696" s="1" t="s">
        <v>8912</v>
      </c>
      <c r="F696" s="1" t="s">
        <v>8913</v>
      </c>
      <c r="G696" s="2" t="s">
        <v>5</v>
      </c>
      <c r="H696" s="2" t="s">
        <v>6</v>
      </c>
      <c r="I696" s="2" t="s">
        <v>7</v>
      </c>
      <c r="J696" s="2" t="s">
        <v>8</v>
      </c>
      <c r="K696" s="2" t="s">
        <v>8</v>
      </c>
      <c r="L696" s="2" t="s">
        <v>9</v>
      </c>
      <c r="N696" s="1" t="s">
        <v>8914</v>
      </c>
      <c r="O696" s="2" t="s">
        <v>410</v>
      </c>
      <c r="Q696" s="2" t="s">
        <v>12</v>
      </c>
      <c r="R696" s="2" t="s">
        <v>520</v>
      </c>
      <c r="T696" s="2" t="s">
        <v>14</v>
      </c>
      <c r="U696" s="3">
        <v>2</v>
      </c>
      <c r="V696" s="3">
        <v>4</v>
      </c>
      <c r="W696" s="4" t="s">
        <v>8915</v>
      </c>
      <c r="X696" s="4" t="s">
        <v>8915</v>
      </c>
      <c r="Y696" s="4" t="s">
        <v>8916</v>
      </c>
      <c r="Z696" s="4" t="s">
        <v>8916</v>
      </c>
      <c r="AA696" s="3">
        <v>16</v>
      </c>
      <c r="AB696" s="3">
        <v>16</v>
      </c>
      <c r="AC696" s="3">
        <v>21</v>
      </c>
      <c r="AD696" s="3">
        <v>1</v>
      </c>
      <c r="AE696" s="3">
        <v>1</v>
      </c>
      <c r="AF696" s="3">
        <v>0</v>
      </c>
      <c r="AG696" s="3">
        <v>0</v>
      </c>
      <c r="AH696" s="3">
        <v>0</v>
      </c>
      <c r="AI696" s="3">
        <v>0</v>
      </c>
      <c r="AJ696" s="3">
        <v>0</v>
      </c>
      <c r="AK696" s="3">
        <v>0</v>
      </c>
      <c r="AL696" s="3">
        <v>0</v>
      </c>
      <c r="AM696" s="3">
        <v>0</v>
      </c>
      <c r="AN696" s="3">
        <v>0</v>
      </c>
      <c r="AO696" s="3">
        <v>0</v>
      </c>
      <c r="AP696" s="3">
        <v>0</v>
      </c>
      <c r="AQ696" s="3">
        <v>0</v>
      </c>
      <c r="AR696" s="2" t="s">
        <v>8</v>
      </c>
      <c r="AS696" s="2" t="s">
        <v>8</v>
      </c>
      <c r="AU696" s="5" t="str">
        <f>HYPERLINK("https://creighton-primo.hosted.exlibrisgroup.com/primo-explore/search?tab=default_tab&amp;search_scope=EVERYTHING&amp;vid=01CRU&amp;lang=en_US&amp;offset=0&amp;query=any,contains,991000546479702656","Catalog Record")</f>
        <v>Catalog Record</v>
      </c>
      <c r="AV696" s="5" t="str">
        <f>HYPERLINK("http://www.worldcat.org/oclc/29527423","WorldCat Record")</f>
        <v>WorldCat Record</v>
      </c>
      <c r="AW696" s="2" t="s">
        <v>8917</v>
      </c>
      <c r="AX696" s="2" t="s">
        <v>8918</v>
      </c>
      <c r="AY696" s="2" t="s">
        <v>8919</v>
      </c>
      <c r="AZ696" s="2" t="s">
        <v>8919</v>
      </c>
      <c r="BA696" s="2" t="s">
        <v>8920</v>
      </c>
      <c r="BB696" s="2" t="s">
        <v>21</v>
      </c>
      <c r="BD696" s="2" t="s">
        <v>8921</v>
      </c>
      <c r="BE696" s="2" t="s">
        <v>8924</v>
      </c>
      <c r="BF696" s="2" t="s">
        <v>8925</v>
      </c>
    </row>
    <row r="697" spans="1:58" ht="42.75" customHeight="1" x14ac:dyDescent="0.25">
      <c r="A697" s="8" t="s">
        <v>8</v>
      </c>
      <c r="B697" s="1" t="s">
        <v>0</v>
      </c>
      <c r="C697" s="1" t="s">
        <v>1</v>
      </c>
      <c r="D697" s="1" t="s">
        <v>8926</v>
      </c>
      <c r="E697" s="1" t="s">
        <v>8927</v>
      </c>
      <c r="F697" s="1" t="s">
        <v>8928</v>
      </c>
      <c r="H697" s="2" t="s">
        <v>8</v>
      </c>
      <c r="I697" s="2" t="s">
        <v>7</v>
      </c>
      <c r="J697" s="2" t="s">
        <v>8</v>
      </c>
      <c r="K697" s="2" t="s">
        <v>6</v>
      </c>
      <c r="L697" s="2" t="s">
        <v>9</v>
      </c>
      <c r="N697" s="1" t="s">
        <v>8929</v>
      </c>
      <c r="O697" s="2" t="s">
        <v>642</v>
      </c>
      <c r="Q697" s="2" t="s">
        <v>12</v>
      </c>
      <c r="R697" s="2" t="s">
        <v>658</v>
      </c>
      <c r="T697" s="2" t="s">
        <v>14</v>
      </c>
      <c r="U697" s="3">
        <v>1</v>
      </c>
      <c r="V697" s="3">
        <v>1</v>
      </c>
      <c r="W697" s="4" t="s">
        <v>8930</v>
      </c>
      <c r="X697" s="4" t="s">
        <v>8930</v>
      </c>
      <c r="Y697" s="4" t="s">
        <v>8931</v>
      </c>
      <c r="Z697" s="4" t="s">
        <v>8931</v>
      </c>
      <c r="AA697" s="3">
        <v>8</v>
      </c>
      <c r="AB697" s="3">
        <v>8</v>
      </c>
      <c r="AC697" s="3">
        <v>39</v>
      </c>
      <c r="AD697" s="3">
        <v>1</v>
      </c>
      <c r="AE697" s="3">
        <v>1</v>
      </c>
      <c r="AF697" s="3">
        <v>0</v>
      </c>
      <c r="AG697" s="3">
        <v>2</v>
      </c>
      <c r="AH697" s="3">
        <v>0</v>
      </c>
      <c r="AI697" s="3">
        <v>1</v>
      </c>
      <c r="AJ697" s="3">
        <v>0</v>
      </c>
      <c r="AK697" s="3">
        <v>1</v>
      </c>
      <c r="AL697" s="3">
        <v>0</v>
      </c>
      <c r="AM697" s="3">
        <v>0</v>
      </c>
      <c r="AN697" s="3">
        <v>0</v>
      </c>
      <c r="AO697" s="3">
        <v>0</v>
      </c>
      <c r="AP697" s="3">
        <v>0</v>
      </c>
      <c r="AQ697" s="3">
        <v>0</v>
      </c>
      <c r="AR697" s="2" t="s">
        <v>8</v>
      </c>
      <c r="AS697" s="2" t="s">
        <v>8</v>
      </c>
      <c r="AU697" s="5" t="str">
        <f>HYPERLINK("https://creighton-primo.hosted.exlibrisgroup.com/primo-explore/search?tab=default_tab&amp;search_scope=EVERYTHING&amp;vid=01CRU&amp;lang=en_US&amp;offset=0&amp;query=any,contains,991000033259702656","Catalog Record")</f>
        <v>Catalog Record</v>
      </c>
      <c r="AV697" s="5" t="str">
        <f>HYPERLINK("http://www.worldcat.org/oclc/56937638","WorldCat Record")</f>
        <v>WorldCat Record</v>
      </c>
      <c r="AW697" s="2" t="s">
        <v>8932</v>
      </c>
      <c r="AX697" s="2" t="s">
        <v>8933</v>
      </c>
      <c r="AY697" s="2" t="s">
        <v>8934</v>
      </c>
      <c r="AZ697" s="2" t="s">
        <v>8934</v>
      </c>
      <c r="BA697" s="2" t="s">
        <v>8935</v>
      </c>
      <c r="BB697" s="2" t="s">
        <v>21</v>
      </c>
      <c r="BD697" s="2" t="s">
        <v>8936</v>
      </c>
      <c r="BE697" s="2" t="s">
        <v>8937</v>
      </c>
      <c r="BF697" s="2" t="s">
        <v>8938</v>
      </c>
    </row>
    <row r="698" spans="1:58" ht="42.75" customHeight="1" x14ac:dyDescent="0.25">
      <c r="A698" s="8" t="s">
        <v>8</v>
      </c>
      <c r="B698" s="1" t="s">
        <v>0</v>
      </c>
      <c r="C698" s="1" t="s">
        <v>1</v>
      </c>
      <c r="D698" s="1" t="s">
        <v>8939</v>
      </c>
      <c r="E698" s="1" t="s">
        <v>8940</v>
      </c>
      <c r="F698" s="1" t="s">
        <v>8941</v>
      </c>
      <c r="H698" s="2" t="s">
        <v>8</v>
      </c>
      <c r="I698" s="2" t="s">
        <v>7</v>
      </c>
      <c r="J698" s="2" t="s">
        <v>8</v>
      </c>
      <c r="K698" s="2" t="s">
        <v>8</v>
      </c>
      <c r="L698" s="2" t="s">
        <v>9</v>
      </c>
      <c r="N698" s="1" t="s">
        <v>8942</v>
      </c>
      <c r="O698" s="2" t="s">
        <v>589</v>
      </c>
      <c r="Q698" s="2" t="s">
        <v>12</v>
      </c>
      <c r="R698" s="2" t="s">
        <v>267</v>
      </c>
      <c r="T698" s="2" t="s">
        <v>14</v>
      </c>
      <c r="U698" s="3">
        <v>10</v>
      </c>
      <c r="V698" s="3">
        <v>10</v>
      </c>
      <c r="W698" s="4" t="s">
        <v>8943</v>
      </c>
      <c r="X698" s="4" t="s">
        <v>8943</v>
      </c>
      <c r="Y698" s="4" t="s">
        <v>8944</v>
      </c>
      <c r="Z698" s="4" t="s">
        <v>8944</v>
      </c>
      <c r="AA698" s="3">
        <v>9</v>
      </c>
      <c r="AB698" s="3">
        <v>9</v>
      </c>
      <c r="AC698" s="3">
        <v>9</v>
      </c>
      <c r="AD698" s="3">
        <v>1</v>
      </c>
      <c r="AE698" s="3">
        <v>1</v>
      </c>
      <c r="AF698" s="3">
        <v>0</v>
      </c>
      <c r="AG698" s="3">
        <v>0</v>
      </c>
      <c r="AH698" s="3">
        <v>0</v>
      </c>
      <c r="AI698" s="3">
        <v>0</v>
      </c>
      <c r="AJ698" s="3">
        <v>0</v>
      </c>
      <c r="AK698" s="3">
        <v>0</v>
      </c>
      <c r="AL698" s="3">
        <v>0</v>
      </c>
      <c r="AM698" s="3">
        <v>0</v>
      </c>
      <c r="AN698" s="3">
        <v>0</v>
      </c>
      <c r="AO698" s="3">
        <v>0</v>
      </c>
      <c r="AP698" s="3">
        <v>0</v>
      </c>
      <c r="AQ698" s="3">
        <v>0</v>
      </c>
      <c r="AR698" s="2" t="s">
        <v>8</v>
      </c>
      <c r="AS698" s="2" t="s">
        <v>8</v>
      </c>
      <c r="AU698" s="5" t="str">
        <f>HYPERLINK("https://creighton-primo.hosted.exlibrisgroup.com/primo-explore/search?tab=default_tab&amp;search_scope=EVERYTHING&amp;vid=01CRU&amp;lang=en_US&amp;offset=0&amp;query=any,contains,991001453939702656","Catalog Record")</f>
        <v>Catalog Record</v>
      </c>
      <c r="AV698" s="5" t="str">
        <f>HYPERLINK("http://www.worldcat.org/oclc/23129375","WorldCat Record")</f>
        <v>WorldCat Record</v>
      </c>
      <c r="AW698" s="2" t="s">
        <v>8945</v>
      </c>
      <c r="AX698" s="2" t="s">
        <v>8946</v>
      </c>
      <c r="AY698" s="2" t="s">
        <v>8947</v>
      </c>
      <c r="AZ698" s="2" t="s">
        <v>8947</v>
      </c>
      <c r="BA698" s="2" t="s">
        <v>8948</v>
      </c>
      <c r="BB698" s="2" t="s">
        <v>21</v>
      </c>
      <c r="BD698" s="2" t="s">
        <v>8949</v>
      </c>
      <c r="BE698" s="2" t="s">
        <v>8950</v>
      </c>
      <c r="BF698" s="2" t="s">
        <v>8951</v>
      </c>
    </row>
    <row r="699" spans="1:58" ht="42.75" customHeight="1" x14ac:dyDescent="0.25">
      <c r="A699" s="8" t="s">
        <v>8</v>
      </c>
      <c r="B699" s="1" t="s">
        <v>0</v>
      </c>
      <c r="C699" s="1" t="s">
        <v>1</v>
      </c>
      <c r="D699" s="1" t="s">
        <v>8952</v>
      </c>
      <c r="E699" s="1" t="s">
        <v>8953</v>
      </c>
      <c r="F699" s="1" t="s">
        <v>8954</v>
      </c>
      <c r="H699" s="2" t="s">
        <v>8</v>
      </c>
      <c r="I699" s="2" t="s">
        <v>7</v>
      </c>
      <c r="J699" s="2" t="s">
        <v>8</v>
      </c>
      <c r="K699" s="2" t="s">
        <v>8</v>
      </c>
      <c r="L699" s="2" t="s">
        <v>9</v>
      </c>
      <c r="N699" s="1" t="s">
        <v>4352</v>
      </c>
      <c r="O699" s="2" t="s">
        <v>602</v>
      </c>
      <c r="Q699" s="2" t="s">
        <v>12</v>
      </c>
      <c r="R699" s="2" t="s">
        <v>520</v>
      </c>
      <c r="T699" s="2" t="s">
        <v>14</v>
      </c>
      <c r="U699" s="3">
        <v>12</v>
      </c>
      <c r="V699" s="3">
        <v>12</v>
      </c>
      <c r="W699" s="4" t="s">
        <v>2973</v>
      </c>
      <c r="X699" s="4" t="s">
        <v>2973</v>
      </c>
      <c r="Y699" s="4" t="s">
        <v>2974</v>
      </c>
      <c r="Z699" s="4" t="s">
        <v>2974</v>
      </c>
      <c r="AA699" s="3">
        <v>9</v>
      </c>
      <c r="AB699" s="3">
        <v>9</v>
      </c>
      <c r="AC699" s="3">
        <v>9</v>
      </c>
      <c r="AD699" s="3">
        <v>1</v>
      </c>
      <c r="AE699" s="3">
        <v>1</v>
      </c>
      <c r="AF699" s="3">
        <v>0</v>
      </c>
      <c r="AG699" s="3">
        <v>0</v>
      </c>
      <c r="AH699" s="3">
        <v>0</v>
      </c>
      <c r="AI699" s="3">
        <v>0</v>
      </c>
      <c r="AJ699" s="3">
        <v>0</v>
      </c>
      <c r="AK699" s="3">
        <v>0</v>
      </c>
      <c r="AL699" s="3">
        <v>0</v>
      </c>
      <c r="AM699" s="3">
        <v>0</v>
      </c>
      <c r="AN699" s="3">
        <v>0</v>
      </c>
      <c r="AO699" s="3">
        <v>0</v>
      </c>
      <c r="AP699" s="3">
        <v>0</v>
      </c>
      <c r="AQ699" s="3">
        <v>0</v>
      </c>
      <c r="AR699" s="2" t="s">
        <v>8</v>
      </c>
      <c r="AS699" s="2" t="s">
        <v>8</v>
      </c>
      <c r="AU699" s="5" t="str">
        <f>HYPERLINK("https://creighton-primo.hosted.exlibrisgroup.com/primo-explore/search?tab=default_tab&amp;search_scope=EVERYTHING&amp;vid=01CRU&amp;lang=en_US&amp;offset=0&amp;query=any,contains,991001306189702656","Catalog Record")</f>
        <v>Catalog Record</v>
      </c>
      <c r="AV699" s="5" t="str">
        <f>HYPERLINK("http://www.worldcat.org/oclc/25649066","WorldCat Record")</f>
        <v>WorldCat Record</v>
      </c>
      <c r="AW699" s="2" t="s">
        <v>8955</v>
      </c>
      <c r="AX699" s="2" t="s">
        <v>8956</v>
      </c>
      <c r="AY699" s="2" t="s">
        <v>8957</v>
      </c>
      <c r="AZ699" s="2" t="s">
        <v>8957</v>
      </c>
      <c r="BA699" s="2" t="s">
        <v>8958</v>
      </c>
      <c r="BB699" s="2" t="s">
        <v>21</v>
      </c>
      <c r="BD699" s="2" t="s">
        <v>8959</v>
      </c>
      <c r="BE699" s="2" t="s">
        <v>8960</v>
      </c>
      <c r="BF699" s="2" t="s">
        <v>8961</v>
      </c>
    </row>
    <row r="700" spans="1:58" ht="42.75" customHeight="1" x14ac:dyDescent="0.25">
      <c r="A700" s="8" t="s">
        <v>8</v>
      </c>
      <c r="B700" s="1" t="s">
        <v>0</v>
      </c>
      <c r="C700" s="1" t="s">
        <v>1</v>
      </c>
      <c r="D700" s="1" t="s">
        <v>8962</v>
      </c>
      <c r="E700" s="1" t="s">
        <v>8963</v>
      </c>
      <c r="F700" s="1" t="s">
        <v>8964</v>
      </c>
      <c r="H700" s="2" t="s">
        <v>8</v>
      </c>
      <c r="I700" s="2" t="s">
        <v>7</v>
      </c>
      <c r="J700" s="2" t="s">
        <v>8</v>
      </c>
      <c r="K700" s="2" t="s">
        <v>8</v>
      </c>
      <c r="L700" s="2" t="s">
        <v>9</v>
      </c>
      <c r="N700" s="1" t="s">
        <v>8965</v>
      </c>
      <c r="O700" s="2" t="s">
        <v>688</v>
      </c>
      <c r="Q700" s="2" t="s">
        <v>12</v>
      </c>
      <c r="R700" s="2" t="s">
        <v>520</v>
      </c>
      <c r="T700" s="2" t="s">
        <v>14</v>
      </c>
      <c r="U700" s="3">
        <v>3</v>
      </c>
      <c r="V700" s="3">
        <v>3</v>
      </c>
      <c r="W700" s="4" t="s">
        <v>8903</v>
      </c>
      <c r="X700" s="4" t="s">
        <v>8903</v>
      </c>
      <c r="Y700" s="4" t="s">
        <v>1392</v>
      </c>
      <c r="Z700" s="4" t="s">
        <v>1392</v>
      </c>
      <c r="AA700" s="3">
        <v>19</v>
      </c>
      <c r="AB700" s="3">
        <v>17</v>
      </c>
      <c r="AC700" s="3">
        <v>17</v>
      </c>
      <c r="AD700" s="3">
        <v>1</v>
      </c>
      <c r="AE700" s="3">
        <v>1</v>
      </c>
      <c r="AF700" s="3">
        <v>0</v>
      </c>
      <c r="AG700" s="3">
        <v>0</v>
      </c>
      <c r="AH700" s="3">
        <v>0</v>
      </c>
      <c r="AI700" s="3">
        <v>0</v>
      </c>
      <c r="AJ700" s="3">
        <v>0</v>
      </c>
      <c r="AK700" s="3">
        <v>0</v>
      </c>
      <c r="AL700" s="3">
        <v>0</v>
      </c>
      <c r="AM700" s="3">
        <v>0</v>
      </c>
      <c r="AN700" s="3">
        <v>0</v>
      </c>
      <c r="AO700" s="3">
        <v>0</v>
      </c>
      <c r="AP700" s="3">
        <v>0</v>
      </c>
      <c r="AQ700" s="3">
        <v>0</v>
      </c>
      <c r="AR700" s="2" t="s">
        <v>8</v>
      </c>
      <c r="AS700" s="2" t="s">
        <v>8</v>
      </c>
      <c r="AU700" s="5" t="str">
        <f>HYPERLINK("https://creighton-primo.hosted.exlibrisgroup.com/primo-explore/search?tab=default_tab&amp;search_scope=EVERYTHING&amp;vid=01CRU&amp;lang=en_US&amp;offset=0&amp;query=any,contains,991001397709702656","Catalog Record")</f>
        <v>Catalog Record</v>
      </c>
      <c r="AV700" s="5" t="str">
        <f>HYPERLINK("http://www.worldcat.org/oclc/31991543","WorldCat Record")</f>
        <v>WorldCat Record</v>
      </c>
      <c r="AW700" s="2" t="s">
        <v>8966</v>
      </c>
      <c r="AX700" s="2" t="s">
        <v>8967</v>
      </c>
      <c r="AY700" s="2" t="s">
        <v>8968</v>
      </c>
      <c r="AZ700" s="2" t="s">
        <v>8968</v>
      </c>
      <c r="BA700" s="2" t="s">
        <v>8969</v>
      </c>
      <c r="BB700" s="2" t="s">
        <v>21</v>
      </c>
      <c r="BD700" s="2" t="s">
        <v>8970</v>
      </c>
      <c r="BE700" s="2" t="s">
        <v>8971</v>
      </c>
      <c r="BF700" s="2" t="s">
        <v>8972</v>
      </c>
    </row>
    <row r="701" spans="1:58" ht="42.75" customHeight="1" x14ac:dyDescent="0.25">
      <c r="A701" s="8" t="s">
        <v>8</v>
      </c>
      <c r="B701" s="1" t="s">
        <v>0</v>
      </c>
      <c r="C701" s="1" t="s">
        <v>1</v>
      </c>
      <c r="D701" s="1" t="s">
        <v>8973</v>
      </c>
      <c r="E701" s="1" t="s">
        <v>8974</v>
      </c>
      <c r="F701" s="1" t="s">
        <v>8975</v>
      </c>
      <c r="H701" s="2" t="s">
        <v>8</v>
      </c>
      <c r="I701" s="2" t="s">
        <v>7</v>
      </c>
      <c r="J701" s="2" t="s">
        <v>8</v>
      </c>
      <c r="K701" s="2" t="s">
        <v>8</v>
      </c>
      <c r="L701" s="2" t="s">
        <v>9</v>
      </c>
      <c r="N701" s="1" t="s">
        <v>8976</v>
      </c>
      <c r="O701" s="2" t="s">
        <v>844</v>
      </c>
      <c r="Q701" s="2" t="s">
        <v>12</v>
      </c>
      <c r="R701" s="2" t="s">
        <v>520</v>
      </c>
      <c r="T701" s="2" t="s">
        <v>14</v>
      </c>
      <c r="U701" s="3">
        <v>7</v>
      </c>
      <c r="V701" s="3">
        <v>7</v>
      </c>
      <c r="W701" s="4" t="s">
        <v>8903</v>
      </c>
      <c r="X701" s="4" t="s">
        <v>8903</v>
      </c>
      <c r="Y701" s="4" t="s">
        <v>1846</v>
      </c>
      <c r="Z701" s="4" t="s">
        <v>1846</v>
      </c>
      <c r="AA701" s="3">
        <v>21</v>
      </c>
      <c r="AB701" s="3">
        <v>21</v>
      </c>
      <c r="AC701" s="3">
        <v>22</v>
      </c>
      <c r="AD701" s="3">
        <v>1</v>
      </c>
      <c r="AE701" s="3">
        <v>1</v>
      </c>
      <c r="AF701" s="3">
        <v>0</v>
      </c>
      <c r="AG701" s="3">
        <v>0</v>
      </c>
      <c r="AH701" s="3">
        <v>0</v>
      </c>
      <c r="AI701" s="3">
        <v>0</v>
      </c>
      <c r="AJ701" s="3">
        <v>0</v>
      </c>
      <c r="AK701" s="3">
        <v>0</v>
      </c>
      <c r="AL701" s="3">
        <v>0</v>
      </c>
      <c r="AM701" s="3">
        <v>0</v>
      </c>
      <c r="AN701" s="3">
        <v>0</v>
      </c>
      <c r="AO701" s="3">
        <v>0</v>
      </c>
      <c r="AP701" s="3">
        <v>0</v>
      </c>
      <c r="AQ701" s="3">
        <v>0</v>
      </c>
      <c r="AR701" s="2" t="s">
        <v>8</v>
      </c>
      <c r="AS701" s="2" t="s">
        <v>8</v>
      </c>
      <c r="AU701" s="5" t="str">
        <f>HYPERLINK("https://creighton-primo.hosted.exlibrisgroup.com/primo-explore/search?tab=default_tab&amp;search_scope=EVERYTHING&amp;vid=01CRU&amp;lang=en_US&amp;offset=0&amp;query=any,contains,991001504949702656","Catalog Record")</f>
        <v>Catalog Record</v>
      </c>
      <c r="AV701" s="5" t="str">
        <f>HYPERLINK("http://www.worldcat.org/oclc/34104056","WorldCat Record")</f>
        <v>WorldCat Record</v>
      </c>
      <c r="AW701" s="2" t="s">
        <v>8977</v>
      </c>
      <c r="AX701" s="2" t="s">
        <v>8978</v>
      </c>
      <c r="AY701" s="2" t="s">
        <v>8979</v>
      </c>
      <c r="AZ701" s="2" t="s">
        <v>8979</v>
      </c>
      <c r="BA701" s="2" t="s">
        <v>8980</v>
      </c>
      <c r="BB701" s="2" t="s">
        <v>21</v>
      </c>
      <c r="BD701" s="2" t="s">
        <v>8981</v>
      </c>
      <c r="BE701" s="2" t="s">
        <v>8982</v>
      </c>
      <c r="BF701" s="2" t="s">
        <v>8983</v>
      </c>
    </row>
    <row r="702" spans="1:58" ht="42.75" customHeight="1" x14ac:dyDescent="0.25">
      <c r="A702" s="8" t="s">
        <v>8</v>
      </c>
      <c r="B702" s="1" t="s">
        <v>0</v>
      </c>
      <c r="C702" s="1" t="s">
        <v>1</v>
      </c>
      <c r="D702" s="1" t="s">
        <v>8984</v>
      </c>
      <c r="E702" s="1" t="s">
        <v>8985</v>
      </c>
      <c r="F702" s="1" t="s">
        <v>8986</v>
      </c>
      <c r="H702" s="2" t="s">
        <v>8</v>
      </c>
      <c r="I702" s="2" t="s">
        <v>7</v>
      </c>
      <c r="J702" s="2" t="s">
        <v>8</v>
      </c>
      <c r="K702" s="2" t="s">
        <v>8</v>
      </c>
      <c r="L702" s="2" t="s">
        <v>9</v>
      </c>
      <c r="N702" s="1" t="s">
        <v>8987</v>
      </c>
      <c r="O702" s="2" t="s">
        <v>731</v>
      </c>
      <c r="Q702" s="2" t="s">
        <v>12</v>
      </c>
      <c r="R702" s="2" t="s">
        <v>520</v>
      </c>
      <c r="T702" s="2" t="s">
        <v>14</v>
      </c>
      <c r="U702" s="3">
        <v>18</v>
      </c>
      <c r="V702" s="3">
        <v>18</v>
      </c>
      <c r="W702" s="4" t="s">
        <v>8903</v>
      </c>
      <c r="X702" s="4" t="s">
        <v>8903</v>
      </c>
      <c r="Y702" s="4" t="s">
        <v>7290</v>
      </c>
      <c r="Z702" s="4" t="s">
        <v>7290</v>
      </c>
      <c r="AA702" s="3">
        <v>11</v>
      </c>
      <c r="AB702" s="3">
        <v>11</v>
      </c>
      <c r="AC702" s="3">
        <v>18</v>
      </c>
      <c r="AD702" s="3">
        <v>1</v>
      </c>
      <c r="AE702" s="3">
        <v>1</v>
      </c>
      <c r="AF702" s="3">
        <v>0</v>
      </c>
      <c r="AG702" s="3">
        <v>0</v>
      </c>
      <c r="AH702" s="3">
        <v>0</v>
      </c>
      <c r="AI702" s="3">
        <v>0</v>
      </c>
      <c r="AJ702" s="3">
        <v>0</v>
      </c>
      <c r="AK702" s="3">
        <v>0</v>
      </c>
      <c r="AL702" s="3">
        <v>0</v>
      </c>
      <c r="AM702" s="3">
        <v>0</v>
      </c>
      <c r="AN702" s="3">
        <v>0</v>
      </c>
      <c r="AO702" s="3">
        <v>0</v>
      </c>
      <c r="AP702" s="3">
        <v>0</v>
      </c>
      <c r="AQ702" s="3">
        <v>0</v>
      </c>
      <c r="AR702" s="2" t="s">
        <v>8</v>
      </c>
      <c r="AS702" s="2" t="s">
        <v>8</v>
      </c>
      <c r="AU702" s="5" t="str">
        <f>HYPERLINK("https://creighton-primo.hosted.exlibrisgroup.com/primo-explore/search?tab=default_tab&amp;search_scope=EVERYTHING&amp;vid=01CRU&amp;lang=en_US&amp;offset=0&amp;query=any,contains,991001483209702656","Catalog Record")</f>
        <v>Catalog Record</v>
      </c>
      <c r="AV702" s="5" t="str">
        <f>HYPERLINK("http://www.worldcat.org/oclc/38508600","WorldCat Record")</f>
        <v>WorldCat Record</v>
      </c>
      <c r="AW702" s="2" t="s">
        <v>8988</v>
      </c>
      <c r="AX702" s="2" t="s">
        <v>8989</v>
      </c>
      <c r="AY702" s="2" t="s">
        <v>8990</v>
      </c>
      <c r="AZ702" s="2" t="s">
        <v>8990</v>
      </c>
      <c r="BA702" s="2" t="s">
        <v>8991</v>
      </c>
      <c r="BB702" s="2" t="s">
        <v>21</v>
      </c>
      <c r="BD702" s="2" t="s">
        <v>8992</v>
      </c>
      <c r="BE702" s="2" t="s">
        <v>8993</v>
      </c>
      <c r="BF702" s="2" t="s">
        <v>8994</v>
      </c>
    </row>
    <row r="703" spans="1:58" ht="42.75" customHeight="1" x14ac:dyDescent="0.25">
      <c r="A703" s="8" t="s">
        <v>8</v>
      </c>
      <c r="B703" s="1" t="s">
        <v>0</v>
      </c>
      <c r="C703" s="1" t="s">
        <v>1</v>
      </c>
      <c r="D703" s="1" t="s">
        <v>8995</v>
      </c>
      <c r="E703" s="1" t="s">
        <v>8996</v>
      </c>
      <c r="F703" s="1" t="s">
        <v>8997</v>
      </c>
      <c r="H703" s="2" t="s">
        <v>8</v>
      </c>
      <c r="I703" s="2" t="s">
        <v>7</v>
      </c>
      <c r="J703" s="2" t="s">
        <v>8</v>
      </c>
      <c r="K703" s="2" t="s">
        <v>8</v>
      </c>
      <c r="L703" s="2" t="s">
        <v>9</v>
      </c>
      <c r="N703" s="1" t="s">
        <v>8998</v>
      </c>
      <c r="O703" s="2" t="s">
        <v>67</v>
      </c>
      <c r="Q703" s="2" t="s">
        <v>12</v>
      </c>
      <c r="R703" s="2" t="s">
        <v>34</v>
      </c>
      <c r="S703" s="1" t="s">
        <v>8999</v>
      </c>
      <c r="T703" s="2" t="s">
        <v>14</v>
      </c>
      <c r="U703" s="3">
        <v>5</v>
      </c>
      <c r="V703" s="3">
        <v>5</v>
      </c>
      <c r="W703" s="4" t="s">
        <v>9000</v>
      </c>
      <c r="X703" s="4" t="s">
        <v>9000</v>
      </c>
      <c r="Y703" s="4" t="s">
        <v>9001</v>
      </c>
      <c r="Z703" s="4" t="s">
        <v>9001</v>
      </c>
      <c r="AA703" s="3">
        <v>127</v>
      </c>
      <c r="AB703" s="3">
        <v>103</v>
      </c>
      <c r="AC703" s="3">
        <v>108</v>
      </c>
      <c r="AD703" s="3">
        <v>1</v>
      </c>
      <c r="AE703" s="3">
        <v>1</v>
      </c>
      <c r="AF703" s="3">
        <v>6</v>
      </c>
      <c r="AG703" s="3">
        <v>6</v>
      </c>
      <c r="AH703" s="3">
        <v>1</v>
      </c>
      <c r="AI703" s="3">
        <v>1</v>
      </c>
      <c r="AJ703" s="3">
        <v>3</v>
      </c>
      <c r="AK703" s="3">
        <v>3</v>
      </c>
      <c r="AL703" s="3">
        <v>3</v>
      </c>
      <c r="AM703" s="3">
        <v>3</v>
      </c>
      <c r="AN703" s="3">
        <v>0</v>
      </c>
      <c r="AO703" s="3">
        <v>0</v>
      </c>
      <c r="AP703" s="3">
        <v>1</v>
      </c>
      <c r="AQ703" s="3">
        <v>1</v>
      </c>
      <c r="AR703" s="2" t="s">
        <v>8</v>
      </c>
      <c r="AS703" s="2" t="s">
        <v>6</v>
      </c>
      <c r="AT703" s="5" t="str">
        <f>HYPERLINK("http://catalog.hathitrust.org/Record/004514869","HathiTrust Record")</f>
        <v>HathiTrust Record</v>
      </c>
      <c r="AU703" s="5" t="str">
        <f>HYPERLINK("https://creighton-primo.hosted.exlibrisgroup.com/primo-explore/search?tab=default_tab&amp;search_scope=EVERYTHING&amp;vid=01CRU&amp;lang=en_US&amp;offset=0&amp;query=any,contains,991001486579702656","Catalog Record")</f>
        <v>Catalog Record</v>
      </c>
      <c r="AV703" s="5" t="str">
        <f>HYPERLINK("http://www.worldcat.org/oclc/12582629","WorldCat Record")</f>
        <v>WorldCat Record</v>
      </c>
      <c r="AW703" s="2" t="s">
        <v>9002</v>
      </c>
      <c r="AX703" s="2" t="s">
        <v>9003</v>
      </c>
      <c r="AY703" s="2" t="s">
        <v>9004</v>
      </c>
      <c r="AZ703" s="2" t="s">
        <v>9004</v>
      </c>
      <c r="BA703" s="2" t="s">
        <v>9005</v>
      </c>
      <c r="BB703" s="2" t="s">
        <v>21</v>
      </c>
      <c r="BD703" s="2" t="s">
        <v>9006</v>
      </c>
      <c r="BE703" s="2" t="s">
        <v>9007</v>
      </c>
      <c r="BF703" s="2" t="s">
        <v>9008</v>
      </c>
    </row>
    <row r="704" spans="1:58" ht="42.75" customHeight="1" x14ac:dyDescent="0.25">
      <c r="A704" s="8" t="s">
        <v>8</v>
      </c>
      <c r="B704" s="1" t="s">
        <v>0</v>
      </c>
      <c r="C704" s="1" t="s">
        <v>1</v>
      </c>
      <c r="D704" s="1" t="s">
        <v>9009</v>
      </c>
      <c r="E704" s="1" t="s">
        <v>9010</v>
      </c>
      <c r="F704" s="1" t="s">
        <v>9011</v>
      </c>
      <c r="H704" s="2" t="s">
        <v>8</v>
      </c>
      <c r="I704" s="2" t="s">
        <v>7</v>
      </c>
      <c r="J704" s="2" t="s">
        <v>8</v>
      </c>
      <c r="K704" s="2" t="s">
        <v>8</v>
      </c>
      <c r="L704" s="2" t="s">
        <v>9</v>
      </c>
      <c r="M704" s="1" t="s">
        <v>9012</v>
      </c>
      <c r="N704" s="1" t="s">
        <v>9013</v>
      </c>
      <c r="O704" s="2" t="s">
        <v>589</v>
      </c>
      <c r="Q704" s="2" t="s">
        <v>12</v>
      </c>
      <c r="R704" s="2" t="s">
        <v>815</v>
      </c>
      <c r="S704" s="1" t="s">
        <v>9014</v>
      </c>
      <c r="T704" s="2" t="s">
        <v>14</v>
      </c>
      <c r="U704" s="3">
        <v>10</v>
      </c>
      <c r="V704" s="3">
        <v>10</v>
      </c>
      <c r="W704" s="4" t="s">
        <v>3592</v>
      </c>
      <c r="X704" s="4" t="s">
        <v>3592</v>
      </c>
      <c r="Y704" s="4" t="s">
        <v>15</v>
      </c>
      <c r="Z704" s="4" t="s">
        <v>15</v>
      </c>
      <c r="AA704" s="3">
        <v>48</v>
      </c>
      <c r="AB704" s="3">
        <v>47</v>
      </c>
      <c r="AC704" s="3">
        <v>55</v>
      </c>
      <c r="AD704" s="3">
        <v>1</v>
      </c>
      <c r="AE704" s="3">
        <v>1</v>
      </c>
      <c r="AF704" s="3">
        <v>1</v>
      </c>
      <c r="AG704" s="3">
        <v>1</v>
      </c>
      <c r="AH704" s="3">
        <v>0</v>
      </c>
      <c r="AI704" s="3">
        <v>0</v>
      </c>
      <c r="AJ704" s="3">
        <v>1</v>
      </c>
      <c r="AK704" s="3">
        <v>1</v>
      </c>
      <c r="AL704" s="3">
        <v>1</v>
      </c>
      <c r="AM704" s="3">
        <v>1</v>
      </c>
      <c r="AN704" s="3">
        <v>0</v>
      </c>
      <c r="AO704" s="3">
        <v>0</v>
      </c>
      <c r="AP704" s="3">
        <v>0</v>
      </c>
      <c r="AQ704" s="3">
        <v>0</v>
      </c>
      <c r="AR704" s="2" t="s">
        <v>6</v>
      </c>
      <c r="AS704" s="2" t="s">
        <v>8</v>
      </c>
      <c r="AT704" s="5" t="str">
        <f>HYPERLINK("http://catalog.hathitrust.org/Record/011327300","HathiTrust Record")</f>
        <v>HathiTrust Record</v>
      </c>
      <c r="AU704" s="5" t="str">
        <f>HYPERLINK("https://creighton-primo.hosted.exlibrisgroup.com/primo-explore/search?tab=default_tab&amp;search_scope=EVERYTHING&amp;vid=01CRU&amp;lang=en_US&amp;offset=0&amp;query=any,contains,991000769079702656","Catalog Record")</f>
        <v>Catalog Record</v>
      </c>
      <c r="AV704" s="5" t="str">
        <f>HYPERLINK("http://www.worldcat.org/oclc/21946566","WorldCat Record")</f>
        <v>WorldCat Record</v>
      </c>
      <c r="AW704" s="2" t="s">
        <v>9015</v>
      </c>
      <c r="AX704" s="2" t="s">
        <v>9016</v>
      </c>
      <c r="AY704" s="2" t="s">
        <v>9017</v>
      </c>
      <c r="AZ704" s="2" t="s">
        <v>9017</v>
      </c>
      <c r="BA704" s="2" t="s">
        <v>9018</v>
      </c>
      <c r="BB704" s="2" t="s">
        <v>21</v>
      </c>
      <c r="BE704" s="2" t="s">
        <v>9019</v>
      </c>
      <c r="BF704" s="2" t="s">
        <v>9020</v>
      </c>
    </row>
    <row r="705" spans="1:58" ht="42.75" customHeight="1" x14ac:dyDescent="0.25">
      <c r="A705" s="8" t="s">
        <v>8</v>
      </c>
      <c r="B705" s="1" t="s">
        <v>0</v>
      </c>
      <c r="C705" s="1" t="s">
        <v>1</v>
      </c>
      <c r="D705" s="1" t="s">
        <v>9021</v>
      </c>
      <c r="E705" s="1" t="s">
        <v>9022</v>
      </c>
      <c r="F705" s="1" t="s">
        <v>9023</v>
      </c>
      <c r="H705" s="2" t="s">
        <v>8</v>
      </c>
      <c r="I705" s="2" t="s">
        <v>7</v>
      </c>
      <c r="J705" s="2" t="s">
        <v>8</v>
      </c>
      <c r="K705" s="2" t="s">
        <v>8</v>
      </c>
      <c r="L705" s="2" t="s">
        <v>9</v>
      </c>
      <c r="N705" s="1" t="s">
        <v>9024</v>
      </c>
      <c r="O705" s="2" t="s">
        <v>814</v>
      </c>
      <c r="Q705" s="2" t="s">
        <v>12</v>
      </c>
      <c r="R705" s="2" t="s">
        <v>9025</v>
      </c>
      <c r="T705" s="2" t="s">
        <v>14</v>
      </c>
      <c r="U705" s="3">
        <v>1</v>
      </c>
      <c r="V705" s="3">
        <v>1</v>
      </c>
      <c r="W705" s="4" t="s">
        <v>9026</v>
      </c>
      <c r="X705" s="4" t="s">
        <v>9026</v>
      </c>
      <c r="Y705" s="4" t="s">
        <v>4327</v>
      </c>
      <c r="Z705" s="4" t="s">
        <v>4327</v>
      </c>
      <c r="AA705" s="3">
        <v>40</v>
      </c>
      <c r="AB705" s="3">
        <v>40</v>
      </c>
      <c r="AC705" s="3">
        <v>42</v>
      </c>
      <c r="AD705" s="3">
        <v>1</v>
      </c>
      <c r="AE705" s="3">
        <v>1</v>
      </c>
      <c r="AF705" s="3">
        <v>1</v>
      </c>
      <c r="AG705" s="3">
        <v>1</v>
      </c>
      <c r="AH705" s="3">
        <v>1</v>
      </c>
      <c r="AI705" s="3">
        <v>1</v>
      </c>
      <c r="AJ705" s="3">
        <v>0</v>
      </c>
      <c r="AK705" s="3">
        <v>0</v>
      </c>
      <c r="AL705" s="3">
        <v>1</v>
      </c>
      <c r="AM705" s="3">
        <v>1</v>
      </c>
      <c r="AN705" s="3">
        <v>0</v>
      </c>
      <c r="AO705" s="3">
        <v>0</v>
      </c>
      <c r="AP705" s="3">
        <v>0</v>
      </c>
      <c r="AQ705" s="3">
        <v>0</v>
      </c>
      <c r="AR705" s="2" t="s">
        <v>8</v>
      </c>
      <c r="AS705" s="2" t="s">
        <v>6</v>
      </c>
      <c r="AT705" s="5" t="str">
        <f>HYPERLINK("http://catalog.hathitrust.org/Record/004001464","HathiTrust Record")</f>
        <v>HathiTrust Record</v>
      </c>
      <c r="AU705" s="5" t="str">
        <f>HYPERLINK("https://creighton-primo.hosted.exlibrisgroup.com/primo-explore/search?tab=default_tab&amp;search_scope=EVERYTHING&amp;vid=01CRU&amp;lang=en_US&amp;offset=0&amp;query=any,contains,991000381679702656","Catalog Record")</f>
        <v>Catalog Record</v>
      </c>
      <c r="AV705" s="5" t="str">
        <f>HYPERLINK("http://www.worldcat.org/oclc/40101687","WorldCat Record")</f>
        <v>WorldCat Record</v>
      </c>
      <c r="AW705" s="2" t="s">
        <v>9027</v>
      </c>
      <c r="AX705" s="2" t="s">
        <v>9028</v>
      </c>
      <c r="AY705" s="2" t="s">
        <v>9029</v>
      </c>
      <c r="AZ705" s="2" t="s">
        <v>9029</v>
      </c>
      <c r="BA705" s="2" t="s">
        <v>9030</v>
      </c>
      <c r="BB705" s="2" t="s">
        <v>21</v>
      </c>
      <c r="BD705" s="2" t="s">
        <v>9031</v>
      </c>
      <c r="BE705" s="2" t="s">
        <v>9032</v>
      </c>
      <c r="BF705" s="2" t="s">
        <v>9033</v>
      </c>
    </row>
    <row r="706" spans="1:58" ht="42.75" customHeight="1" x14ac:dyDescent="0.25">
      <c r="A706" s="8" t="s">
        <v>8</v>
      </c>
      <c r="B706" s="1" t="s">
        <v>0</v>
      </c>
      <c r="C706" s="1" t="s">
        <v>1</v>
      </c>
      <c r="D706" s="1" t="s">
        <v>9034</v>
      </c>
      <c r="E706" s="1" t="s">
        <v>9035</v>
      </c>
      <c r="F706" s="1" t="s">
        <v>9036</v>
      </c>
      <c r="H706" s="2" t="s">
        <v>8</v>
      </c>
      <c r="I706" s="2" t="s">
        <v>7</v>
      </c>
      <c r="J706" s="2" t="s">
        <v>8</v>
      </c>
      <c r="K706" s="2" t="s">
        <v>8</v>
      </c>
      <c r="L706" s="2" t="s">
        <v>9</v>
      </c>
      <c r="M706" s="1" t="s">
        <v>3348</v>
      </c>
      <c r="N706" s="1" t="s">
        <v>3049</v>
      </c>
      <c r="O706" s="2" t="s">
        <v>731</v>
      </c>
      <c r="Q706" s="2" t="s">
        <v>12</v>
      </c>
      <c r="R706" s="2" t="s">
        <v>520</v>
      </c>
      <c r="T706" s="2" t="s">
        <v>14</v>
      </c>
      <c r="U706" s="3">
        <v>1</v>
      </c>
      <c r="V706" s="3">
        <v>1</v>
      </c>
      <c r="W706" s="4" t="s">
        <v>9026</v>
      </c>
      <c r="X706" s="4" t="s">
        <v>9026</v>
      </c>
      <c r="Y706" s="4" t="s">
        <v>3350</v>
      </c>
      <c r="Z706" s="4" t="s">
        <v>3350</v>
      </c>
      <c r="AA706" s="3">
        <v>53</v>
      </c>
      <c r="AB706" s="3">
        <v>53</v>
      </c>
      <c r="AC706" s="3">
        <v>55</v>
      </c>
      <c r="AD706" s="3">
        <v>1</v>
      </c>
      <c r="AE706" s="3">
        <v>1</v>
      </c>
      <c r="AF706" s="3">
        <v>2</v>
      </c>
      <c r="AG706" s="3">
        <v>2</v>
      </c>
      <c r="AH706" s="3">
        <v>0</v>
      </c>
      <c r="AI706" s="3">
        <v>0</v>
      </c>
      <c r="AJ706" s="3">
        <v>2</v>
      </c>
      <c r="AK706" s="3">
        <v>2</v>
      </c>
      <c r="AL706" s="3">
        <v>0</v>
      </c>
      <c r="AM706" s="3">
        <v>0</v>
      </c>
      <c r="AN706" s="3">
        <v>0</v>
      </c>
      <c r="AO706" s="3">
        <v>0</v>
      </c>
      <c r="AP706" s="3">
        <v>0</v>
      </c>
      <c r="AQ706" s="3">
        <v>0</v>
      </c>
      <c r="AR706" s="2" t="s">
        <v>8</v>
      </c>
      <c r="AS706" s="2" t="s">
        <v>6</v>
      </c>
      <c r="AT706" s="5" t="str">
        <f>HYPERLINK("http://catalog.hathitrust.org/Record/003983056","HathiTrust Record")</f>
        <v>HathiTrust Record</v>
      </c>
      <c r="AU706" s="5" t="str">
        <f>HYPERLINK("https://creighton-primo.hosted.exlibrisgroup.com/primo-explore/search?tab=default_tab&amp;search_scope=EVERYTHING&amp;vid=01CRU&amp;lang=en_US&amp;offset=0&amp;query=any,contains,991000324319702656","Catalog Record")</f>
        <v>Catalog Record</v>
      </c>
      <c r="AV706" s="5" t="str">
        <f>HYPERLINK("http://www.worldcat.org/oclc/40120975","WorldCat Record")</f>
        <v>WorldCat Record</v>
      </c>
      <c r="AW706" s="2" t="s">
        <v>9037</v>
      </c>
      <c r="AX706" s="2" t="s">
        <v>9038</v>
      </c>
      <c r="AY706" s="2" t="s">
        <v>9039</v>
      </c>
      <c r="AZ706" s="2" t="s">
        <v>9039</v>
      </c>
      <c r="BA706" s="2" t="s">
        <v>9040</v>
      </c>
      <c r="BB706" s="2" t="s">
        <v>21</v>
      </c>
      <c r="BD706" s="2" t="s">
        <v>9041</v>
      </c>
      <c r="BE706" s="2" t="s">
        <v>9042</v>
      </c>
      <c r="BF706" s="2" t="s">
        <v>9043</v>
      </c>
    </row>
    <row r="707" spans="1:58" ht="42.75" customHeight="1" x14ac:dyDescent="0.25">
      <c r="A707" s="8" t="s">
        <v>8</v>
      </c>
      <c r="B707" s="1" t="s">
        <v>0</v>
      </c>
      <c r="C707" s="1" t="s">
        <v>1</v>
      </c>
      <c r="D707" s="1" t="s">
        <v>9044</v>
      </c>
      <c r="E707" s="1" t="s">
        <v>9045</v>
      </c>
      <c r="F707" s="1" t="s">
        <v>9046</v>
      </c>
      <c r="H707" s="2" t="s">
        <v>8</v>
      </c>
      <c r="I707" s="2" t="s">
        <v>7</v>
      </c>
      <c r="J707" s="2" t="s">
        <v>8</v>
      </c>
      <c r="K707" s="2" t="s">
        <v>8</v>
      </c>
      <c r="L707" s="2" t="s">
        <v>9</v>
      </c>
      <c r="M707" s="1" t="s">
        <v>9047</v>
      </c>
      <c r="N707" s="1" t="s">
        <v>8389</v>
      </c>
      <c r="O707" s="2" t="s">
        <v>907</v>
      </c>
      <c r="P707" s="1" t="s">
        <v>83</v>
      </c>
      <c r="Q707" s="2" t="s">
        <v>12</v>
      </c>
      <c r="R707" s="2" t="s">
        <v>815</v>
      </c>
      <c r="T707" s="2" t="s">
        <v>14</v>
      </c>
      <c r="U707" s="3">
        <v>1</v>
      </c>
      <c r="V707" s="3">
        <v>1</v>
      </c>
      <c r="W707" s="4" t="s">
        <v>9048</v>
      </c>
      <c r="X707" s="4" t="s">
        <v>9048</v>
      </c>
      <c r="Y707" s="4" t="s">
        <v>6817</v>
      </c>
      <c r="Z707" s="4" t="s">
        <v>6817</v>
      </c>
      <c r="AA707" s="3">
        <v>66</v>
      </c>
      <c r="AB707" s="3">
        <v>61</v>
      </c>
      <c r="AC707" s="3">
        <v>278</v>
      </c>
      <c r="AD707" s="3">
        <v>1</v>
      </c>
      <c r="AE707" s="3">
        <v>1</v>
      </c>
      <c r="AF707" s="3">
        <v>2</v>
      </c>
      <c r="AG707" s="3">
        <v>8</v>
      </c>
      <c r="AH707" s="3">
        <v>1</v>
      </c>
      <c r="AI707" s="3">
        <v>6</v>
      </c>
      <c r="AJ707" s="3">
        <v>0</v>
      </c>
      <c r="AK707" s="3">
        <v>1</v>
      </c>
      <c r="AL707" s="3">
        <v>1</v>
      </c>
      <c r="AM707" s="3">
        <v>5</v>
      </c>
      <c r="AN707" s="3">
        <v>0</v>
      </c>
      <c r="AO707" s="3">
        <v>0</v>
      </c>
      <c r="AP707" s="3">
        <v>0</v>
      </c>
      <c r="AQ707" s="3">
        <v>0</v>
      </c>
      <c r="AR707" s="2" t="s">
        <v>8</v>
      </c>
      <c r="AS707" s="2" t="s">
        <v>8</v>
      </c>
      <c r="AU707" s="5" t="str">
        <f>HYPERLINK("https://creighton-primo.hosted.exlibrisgroup.com/primo-explore/search?tab=default_tab&amp;search_scope=EVERYTHING&amp;vid=01CRU&amp;lang=en_US&amp;offset=0&amp;query=any,contains,991000379819702656","Catalog Record")</f>
        <v>Catalog Record</v>
      </c>
      <c r="AV707" s="5" t="str">
        <f>HYPERLINK("http://www.worldcat.org/oclc/42969546","WorldCat Record")</f>
        <v>WorldCat Record</v>
      </c>
      <c r="AW707" s="2" t="s">
        <v>9049</v>
      </c>
      <c r="AX707" s="2" t="s">
        <v>9050</v>
      </c>
      <c r="AY707" s="2" t="s">
        <v>9051</v>
      </c>
      <c r="AZ707" s="2" t="s">
        <v>9051</v>
      </c>
      <c r="BA707" s="2" t="s">
        <v>9052</v>
      </c>
      <c r="BB707" s="2" t="s">
        <v>21</v>
      </c>
      <c r="BD707" s="2" t="s">
        <v>9053</v>
      </c>
      <c r="BE707" s="2" t="s">
        <v>9054</v>
      </c>
      <c r="BF707" s="2" t="s">
        <v>9055</v>
      </c>
    </row>
    <row r="708" spans="1:58" ht="42.75" customHeight="1" x14ac:dyDescent="0.25">
      <c r="A708" s="8" t="s">
        <v>8</v>
      </c>
      <c r="B708" s="1" t="s">
        <v>0</v>
      </c>
      <c r="C708" s="1" t="s">
        <v>1</v>
      </c>
      <c r="D708" s="1" t="s">
        <v>9056</v>
      </c>
      <c r="E708" s="1" t="s">
        <v>9057</v>
      </c>
      <c r="F708" s="1" t="s">
        <v>9058</v>
      </c>
      <c r="H708" s="2" t="s">
        <v>8</v>
      </c>
      <c r="I708" s="2" t="s">
        <v>7</v>
      </c>
      <c r="J708" s="2" t="s">
        <v>8</v>
      </c>
      <c r="K708" s="2" t="s">
        <v>8</v>
      </c>
      <c r="L708" s="2" t="s">
        <v>9</v>
      </c>
      <c r="M708" s="1" t="s">
        <v>9059</v>
      </c>
      <c r="N708" s="1" t="s">
        <v>9060</v>
      </c>
      <c r="O708" s="2" t="s">
        <v>874</v>
      </c>
      <c r="Q708" s="2" t="s">
        <v>12</v>
      </c>
      <c r="R708" s="2" t="s">
        <v>520</v>
      </c>
      <c r="T708" s="2" t="s">
        <v>14</v>
      </c>
      <c r="U708" s="3">
        <v>3</v>
      </c>
      <c r="V708" s="3">
        <v>3</v>
      </c>
      <c r="W708" s="4" t="s">
        <v>9061</v>
      </c>
      <c r="X708" s="4" t="s">
        <v>9061</v>
      </c>
      <c r="Y708" s="4" t="s">
        <v>9062</v>
      </c>
      <c r="Z708" s="4" t="s">
        <v>9062</v>
      </c>
      <c r="AA708" s="3">
        <v>44</v>
      </c>
      <c r="AB708" s="3">
        <v>38</v>
      </c>
      <c r="AC708" s="3">
        <v>39</v>
      </c>
      <c r="AD708" s="3">
        <v>1</v>
      </c>
      <c r="AE708" s="3">
        <v>1</v>
      </c>
      <c r="AF708" s="3">
        <v>4</v>
      </c>
      <c r="AG708" s="3">
        <v>4</v>
      </c>
      <c r="AH708" s="3">
        <v>2</v>
      </c>
      <c r="AI708" s="3">
        <v>2</v>
      </c>
      <c r="AJ708" s="3">
        <v>0</v>
      </c>
      <c r="AK708" s="3">
        <v>0</v>
      </c>
      <c r="AL708" s="3">
        <v>4</v>
      </c>
      <c r="AM708" s="3">
        <v>4</v>
      </c>
      <c r="AN708" s="3">
        <v>0</v>
      </c>
      <c r="AO708" s="3">
        <v>0</v>
      </c>
      <c r="AP708" s="3">
        <v>0</v>
      </c>
      <c r="AQ708" s="3">
        <v>0</v>
      </c>
      <c r="AR708" s="2" t="s">
        <v>8</v>
      </c>
      <c r="AS708" s="2" t="s">
        <v>8</v>
      </c>
      <c r="AU708" s="5" t="str">
        <f>HYPERLINK("https://creighton-primo.hosted.exlibrisgroup.com/primo-explore/search?tab=default_tab&amp;search_scope=EVERYTHING&amp;vid=01CRU&amp;lang=en_US&amp;offset=0&amp;query=any,contains,991001294429702656","Catalog Record")</f>
        <v>Catalog Record</v>
      </c>
      <c r="AV708" s="5" t="str">
        <f>HYPERLINK("http://www.worldcat.org/oclc/35627589","WorldCat Record")</f>
        <v>WorldCat Record</v>
      </c>
      <c r="AW708" s="2" t="s">
        <v>9063</v>
      </c>
      <c r="AX708" s="2" t="s">
        <v>9064</v>
      </c>
      <c r="AY708" s="2" t="s">
        <v>9065</v>
      </c>
      <c r="AZ708" s="2" t="s">
        <v>9065</v>
      </c>
      <c r="BA708" s="2" t="s">
        <v>9066</v>
      </c>
      <c r="BB708" s="2" t="s">
        <v>21</v>
      </c>
      <c r="BD708" s="2" t="s">
        <v>9067</v>
      </c>
      <c r="BE708" s="2" t="s">
        <v>9068</v>
      </c>
      <c r="BF708" s="2" t="s">
        <v>9069</v>
      </c>
    </row>
    <row r="709" spans="1:58" ht="42.75" customHeight="1" x14ac:dyDescent="0.25">
      <c r="A709" s="8" t="s">
        <v>8</v>
      </c>
      <c r="B709" s="1" t="s">
        <v>0</v>
      </c>
      <c r="C709" s="1" t="s">
        <v>1</v>
      </c>
      <c r="D709" s="1" t="s">
        <v>9070</v>
      </c>
      <c r="E709" s="1" t="s">
        <v>9071</v>
      </c>
      <c r="F709" s="1" t="s">
        <v>9072</v>
      </c>
      <c r="H709" s="2" t="s">
        <v>8</v>
      </c>
      <c r="I709" s="2" t="s">
        <v>7</v>
      </c>
      <c r="J709" s="2" t="s">
        <v>8</v>
      </c>
      <c r="K709" s="2" t="s">
        <v>8</v>
      </c>
      <c r="L709" s="2" t="s">
        <v>9</v>
      </c>
      <c r="M709" s="1" t="s">
        <v>9073</v>
      </c>
      <c r="N709" s="1" t="s">
        <v>9074</v>
      </c>
      <c r="O709" s="2" t="s">
        <v>959</v>
      </c>
      <c r="P709" s="1" t="s">
        <v>83</v>
      </c>
      <c r="Q709" s="2" t="s">
        <v>12</v>
      </c>
      <c r="R709" s="2" t="s">
        <v>1340</v>
      </c>
      <c r="T709" s="2" t="s">
        <v>14</v>
      </c>
      <c r="U709" s="3">
        <v>2</v>
      </c>
      <c r="V709" s="3">
        <v>2</v>
      </c>
      <c r="W709" s="4" t="s">
        <v>3833</v>
      </c>
      <c r="X709" s="4" t="s">
        <v>3833</v>
      </c>
      <c r="Y709" s="4" t="s">
        <v>9075</v>
      </c>
      <c r="Z709" s="4" t="s">
        <v>9075</v>
      </c>
      <c r="AA709" s="3">
        <v>91</v>
      </c>
      <c r="AB709" s="3">
        <v>85</v>
      </c>
      <c r="AC709" s="3">
        <v>120</v>
      </c>
      <c r="AD709" s="3">
        <v>1</v>
      </c>
      <c r="AE709" s="3">
        <v>1</v>
      </c>
      <c r="AF709" s="3">
        <v>6</v>
      </c>
      <c r="AG709" s="3">
        <v>6</v>
      </c>
      <c r="AH709" s="3">
        <v>2</v>
      </c>
      <c r="AI709" s="3">
        <v>2</v>
      </c>
      <c r="AJ709" s="3">
        <v>1</v>
      </c>
      <c r="AK709" s="3">
        <v>1</v>
      </c>
      <c r="AL709" s="3">
        <v>5</v>
      </c>
      <c r="AM709" s="3">
        <v>5</v>
      </c>
      <c r="AN709" s="3">
        <v>0</v>
      </c>
      <c r="AO709" s="3">
        <v>0</v>
      </c>
      <c r="AP709" s="3">
        <v>0</v>
      </c>
      <c r="AQ709" s="3">
        <v>0</v>
      </c>
      <c r="AR709" s="2" t="s">
        <v>8</v>
      </c>
      <c r="AS709" s="2" t="s">
        <v>8</v>
      </c>
      <c r="AU709" s="5" t="str">
        <f>HYPERLINK("https://creighton-primo.hosted.exlibrisgroup.com/primo-explore/search?tab=default_tab&amp;search_scope=EVERYTHING&amp;vid=01CRU&amp;lang=en_US&amp;offset=0&amp;query=any,contains,991000461379702656","Catalog Record")</f>
        <v>Catalog Record</v>
      </c>
      <c r="AV709" s="5" t="str">
        <f>HYPERLINK("http://www.worldcat.org/oclc/57202215","WorldCat Record")</f>
        <v>WorldCat Record</v>
      </c>
      <c r="AW709" s="2" t="s">
        <v>9076</v>
      </c>
      <c r="AX709" s="2" t="s">
        <v>9077</v>
      </c>
      <c r="AY709" s="2" t="s">
        <v>9078</v>
      </c>
      <c r="AZ709" s="2" t="s">
        <v>9078</v>
      </c>
      <c r="BA709" s="2" t="s">
        <v>9079</v>
      </c>
      <c r="BB709" s="2" t="s">
        <v>21</v>
      </c>
      <c r="BD709" s="2" t="s">
        <v>9080</v>
      </c>
      <c r="BE709" s="2" t="s">
        <v>9081</v>
      </c>
      <c r="BF709" s="2" t="s">
        <v>9082</v>
      </c>
    </row>
    <row r="710" spans="1:58" ht="42.75" customHeight="1" x14ac:dyDescent="0.25">
      <c r="A710" s="8" t="s">
        <v>8</v>
      </c>
      <c r="B710" s="1" t="s">
        <v>0</v>
      </c>
      <c r="C710" s="1" t="s">
        <v>1</v>
      </c>
      <c r="D710" s="1" t="s">
        <v>9083</v>
      </c>
      <c r="E710" s="1" t="s">
        <v>9084</v>
      </c>
      <c r="F710" s="1" t="s">
        <v>9085</v>
      </c>
      <c r="H710" s="2" t="s">
        <v>8</v>
      </c>
      <c r="I710" s="2" t="s">
        <v>7</v>
      </c>
      <c r="J710" s="2" t="s">
        <v>8</v>
      </c>
      <c r="K710" s="2" t="s">
        <v>8</v>
      </c>
      <c r="L710" s="2" t="s">
        <v>7</v>
      </c>
      <c r="N710" s="1" t="s">
        <v>9086</v>
      </c>
      <c r="O710" s="2" t="s">
        <v>642</v>
      </c>
      <c r="P710" s="1" t="s">
        <v>83</v>
      </c>
      <c r="Q710" s="2" t="s">
        <v>12</v>
      </c>
      <c r="R710" s="2" t="s">
        <v>13</v>
      </c>
      <c r="T710" s="2" t="s">
        <v>14</v>
      </c>
      <c r="U710" s="3">
        <v>3</v>
      </c>
      <c r="V710" s="3">
        <v>3</v>
      </c>
      <c r="W710" s="4" t="s">
        <v>9087</v>
      </c>
      <c r="X710" s="4" t="s">
        <v>9087</v>
      </c>
      <c r="Y710" s="4" t="s">
        <v>1644</v>
      </c>
      <c r="Z710" s="4" t="s">
        <v>1644</v>
      </c>
      <c r="AA710" s="3">
        <v>61</v>
      </c>
      <c r="AB710" s="3">
        <v>53</v>
      </c>
      <c r="AC710" s="3">
        <v>1031</v>
      </c>
      <c r="AD710" s="3">
        <v>1</v>
      </c>
      <c r="AE710" s="3">
        <v>14</v>
      </c>
      <c r="AF710" s="3">
        <v>0</v>
      </c>
      <c r="AG710" s="3">
        <v>39</v>
      </c>
      <c r="AH710" s="3">
        <v>0</v>
      </c>
      <c r="AI710" s="3">
        <v>11</v>
      </c>
      <c r="AJ710" s="3">
        <v>0</v>
      </c>
      <c r="AK710" s="3">
        <v>9</v>
      </c>
      <c r="AL710" s="3">
        <v>0</v>
      </c>
      <c r="AM710" s="3">
        <v>11</v>
      </c>
      <c r="AN710" s="3">
        <v>0</v>
      </c>
      <c r="AO710" s="3">
        <v>12</v>
      </c>
      <c r="AP710" s="3">
        <v>0</v>
      </c>
      <c r="AQ710" s="3">
        <v>2</v>
      </c>
      <c r="AR710" s="2" t="s">
        <v>8</v>
      </c>
      <c r="AS710" s="2" t="s">
        <v>8</v>
      </c>
      <c r="AU710" s="5" t="str">
        <f>HYPERLINK("https://creighton-primo.hosted.exlibrisgroup.com/primo-explore/search?tab=default_tab&amp;search_scope=EVERYTHING&amp;vid=01CRU&amp;lang=en_US&amp;offset=0&amp;query=any,contains,991000394179702656","Catalog Record")</f>
        <v>Catalog Record</v>
      </c>
      <c r="AV710" s="5" t="str">
        <f>HYPERLINK("http://www.worldcat.org/oclc/54989193","WorldCat Record")</f>
        <v>WorldCat Record</v>
      </c>
      <c r="AW710" s="2" t="s">
        <v>9088</v>
      </c>
      <c r="AX710" s="2" t="s">
        <v>9089</v>
      </c>
      <c r="AY710" s="2" t="s">
        <v>9090</v>
      </c>
      <c r="AZ710" s="2" t="s">
        <v>9090</v>
      </c>
      <c r="BA710" s="2" t="s">
        <v>9091</v>
      </c>
      <c r="BB710" s="2" t="s">
        <v>21</v>
      </c>
      <c r="BD710" s="2" t="s">
        <v>9092</v>
      </c>
      <c r="BE710" s="2" t="s">
        <v>9093</v>
      </c>
      <c r="BF710" s="2" t="s">
        <v>9094</v>
      </c>
    </row>
    <row r="711" spans="1:58" ht="42.75" customHeight="1" x14ac:dyDescent="0.25">
      <c r="A711" s="8" t="s">
        <v>8</v>
      </c>
      <c r="B711" s="1" t="s">
        <v>0</v>
      </c>
      <c r="C711" s="1" t="s">
        <v>1</v>
      </c>
      <c r="D711" s="1" t="s">
        <v>9095</v>
      </c>
      <c r="E711" s="1" t="s">
        <v>9096</v>
      </c>
      <c r="F711" s="1" t="s">
        <v>9097</v>
      </c>
      <c r="H711" s="2" t="s">
        <v>8</v>
      </c>
      <c r="I711" s="2" t="s">
        <v>7</v>
      </c>
      <c r="J711" s="2" t="s">
        <v>8</v>
      </c>
      <c r="K711" s="2" t="s">
        <v>8</v>
      </c>
      <c r="L711" s="2" t="s">
        <v>9</v>
      </c>
      <c r="N711" s="1" t="s">
        <v>9098</v>
      </c>
      <c r="O711" s="2" t="s">
        <v>814</v>
      </c>
      <c r="Q711" s="2" t="s">
        <v>12</v>
      </c>
      <c r="R711" s="2" t="s">
        <v>658</v>
      </c>
      <c r="T711" s="2" t="s">
        <v>14</v>
      </c>
      <c r="U711" s="3">
        <v>0</v>
      </c>
      <c r="V711" s="3">
        <v>0</v>
      </c>
      <c r="W711" s="4" t="s">
        <v>8507</v>
      </c>
      <c r="X711" s="4" t="s">
        <v>8507</v>
      </c>
      <c r="Y711" s="4" t="s">
        <v>8507</v>
      </c>
      <c r="Z711" s="4" t="s">
        <v>8507</v>
      </c>
      <c r="AA711" s="3">
        <v>8</v>
      </c>
      <c r="AB711" s="3">
        <v>8</v>
      </c>
      <c r="AC711" s="3">
        <v>8</v>
      </c>
      <c r="AD711" s="3">
        <v>0</v>
      </c>
      <c r="AE711" s="3">
        <v>0</v>
      </c>
      <c r="AF711" s="3">
        <v>0</v>
      </c>
      <c r="AG711" s="3">
        <v>0</v>
      </c>
      <c r="AH711" s="3">
        <v>0</v>
      </c>
      <c r="AI711" s="3">
        <v>0</v>
      </c>
      <c r="AJ711" s="3">
        <v>0</v>
      </c>
      <c r="AK711" s="3">
        <v>0</v>
      </c>
      <c r="AL711" s="3">
        <v>0</v>
      </c>
      <c r="AM711" s="3">
        <v>0</v>
      </c>
      <c r="AN711" s="3">
        <v>0</v>
      </c>
      <c r="AO711" s="3">
        <v>0</v>
      </c>
      <c r="AP711" s="3">
        <v>0</v>
      </c>
      <c r="AQ711" s="3">
        <v>0</v>
      </c>
      <c r="AR711" s="2" t="s">
        <v>8</v>
      </c>
      <c r="AS711" s="2" t="s">
        <v>8</v>
      </c>
      <c r="AU711" s="5" t="str">
        <f>HYPERLINK("https://creighton-primo.hosted.exlibrisgroup.com/primo-explore/search?tab=default_tab&amp;search_scope=EVERYTHING&amp;vid=01CRU&amp;lang=en_US&amp;offset=0&amp;query=any,contains,991000358339702656","Catalog Record")</f>
        <v>Catalog Record</v>
      </c>
      <c r="AV711" s="5" t="str">
        <f>HYPERLINK("http://www.worldcat.org/oclc/43185290","WorldCat Record")</f>
        <v>WorldCat Record</v>
      </c>
      <c r="AW711" s="2" t="s">
        <v>9099</v>
      </c>
      <c r="AX711" s="2" t="s">
        <v>9100</v>
      </c>
      <c r="AY711" s="2" t="s">
        <v>9101</v>
      </c>
      <c r="AZ711" s="2" t="s">
        <v>9101</v>
      </c>
      <c r="BA711" s="2" t="s">
        <v>9102</v>
      </c>
      <c r="BB711" s="2" t="s">
        <v>21</v>
      </c>
      <c r="BD711" s="2" t="s">
        <v>9103</v>
      </c>
      <c r="BE711" s="2" t="s">
        <v>9104</v>
      </c>
      <c r="BF711" s="2" t="s">
        <v>9105</v>
      </c>
    </row>
    <row r="712" spans="1:58" ht="42.75" customHeight="1" x14ac:dyDescent="0.25">
      <c r="A712" s="8" t="s">
        <v>8</v>
      </c>
      <c r="B712" s="1" t="s">
        <v>0</v>
      </c>
      <c r="C712" s="1" t="s">
        <v>1</v>
      </c>
      <c r="D712" s="1" t="s">
        <v>9106</v>
      </c>
      <c r="E712" s="1" t="s">
        <v>9107</v>
      </c>
      <c r="F712" s="1" t="s">
        <v>9108</v>
      </c>
      <c r="H712" s="2" t="s">
        <v>8</v>
      </c>
      <c r="I712" s="2" t="s">
        <v>7</v>
      </c>
      <c r="J712" s="2" t="s">
        <v>8</v>
      </c>
      <c r="K712" s="2" t="s">
        <v>8</v>
      </c>
      <c r="L712" s="2" t="s">
        <v>9</v>
      </c>
      <c r="M712" s="1" t="s">
        <v>9109</v>
      </c>
      <c r="N712" s="1" t="s">
        <v>9110</v>
      </c>
      <c r="O712" s="2" t="s">
        <v>1327</v>
      </c>
      <c r="Q712" s="2" t="s">
        <v>12</v>
      </c>
      <c r="R712" s="2" t="s">
        <v>34</v>
      </c>
      <c r="T712" s="2" t="s">
        <v>14</v>
      </c>
      <c r="U712" s="3">
        <v>7</v>
      </c>
      <c r="V712" s="3">
        <v>7</v>
      </c>
      <c r="W712" s="4" t="s">
        <v>9111</v>
      </c>
      <c r="X712" s="4" t="s">
        <v>9111</v>
      </c>
      <c r="Y712" s="4" t="s">
        <v>8544</v>
      </c>
      <c r="Z712" s="4" t="s">
        <v>8544</v>
      </c>
      <c r="AA712" s="3">
        <v>286</v>
      </c>
      <c r="AB712" s="3">
        <v>259</v>
      </c>
      <c r="AC712" s="3">
        <v>266</v>
      </c>
      <c r="AD712" s="3">
        <v>1</v>
      </c>
      <c r="AE712" s="3">
        <v>1</v>
      </c>
      <c r="AF712" s="3">
        <v>9</v>
      </c>
      <c r="AG712" s="3">
        <v>9</v>
      </c>
      <c r="AH712" s="3">
        <v>3</v>
      </c>
      <c r="AI712" s="3">
        <v>3</v>
      </c>
      <c r="AJ712" s="3">
        <v>2</v>
      </c>
      <c r="AK712" s="3">
        <v>2</v>
      </c>
      <c r="AL712" s="3">
        <v>4</v>
      </c>
      <c r="AM712" s="3">
        <v>4</v>
      </c>
      <c r="AN712" s="3">
        <v>0</v>
      </c>
      <c r="AO712" s="3">
        <v>0</v>
      </c>
      <c r="AP712" s="3">
        <v>2</v>
      </c>
      <c r="AQ712" s="3">
        <v>2</v>
      </c>
      <c r="AR712" s="2" t="s">
        <v>8</v>
      </c>
      <c r="AS712" s="2" t="s">
        <v>6</v>
      </c>
      <c r="AT712" s="5" t="str">
        <f>HYPERLINK("http://catalog.hathitrust.org/Record/000436973","HathiTrust Record")</f>
        <v>HathiTrust Record</v>
      </c>
      <c r="AU712" s="5" t="str">
        <f>HYPERLINK("https://creighton-primo.hosted.exlibrisgroup.com/primo-explore/search?tab=default_tab&amp;search_scope=EVERYTHING&amp;vid=01CRU&amp;lang=en_US&amp;offset=0&amp;query=any,contains,991001244559702656","Catalog Record")</f>
        <v>Catalog Record</v>
      </c>
      <c r="AV712" s="5" t="str">
        <f>HYPERLINK("http://www.worldcat.org/oclc/13762209","WorldCat Record")</f>
        <v>WorldCat Record</v>
      </c>
      <c r="AW712" s="2" t="s">
        <v>9112</v>
      </c>
      <c r="AX712" s="2" t="s">
        <v>9113</v>
      </c>
      <c r="AY712" s="2" t="s">
        <v>9114</v>
      </c>
      <c r="AZ712" s="2" t="s">
        <v>9114</v>
      </c>
      <c r="BA712" s="2" t="s">
        <v>9115</v>
      </c>
      <c r="BB712" s="2" t="s">
        <v>21</v>
      </c>
      <c r="BD712" s="2" t="s">
        <v>9116</v>
      </c>
      <c r="BE712" s="2" t="s">
        <v>9117</v>
      </c>
      <c r="BF712" s="2" t="s">
        <v>9118</v>
      </c>
    </row>
    <row r="713" spans="1:58" ht="42.75" customHeight="1" x14ac:dyDescent="0.25">
      <c r="A713" s="8" t="s">
        <v>8</v>
      </c>
      <c r="B713" s="1" t="s">
        <v>0</v>
      </c>
      <c r="C713" s="1" t="s">
        <v>1</v>
      </c>
      <c r="D713" s="1" t="s">
        <v>9119</v>
      </c>
      <c r="E713" s="1" t="s">
        <v>9120</v>
      </c>
      <c r="F713" s="1" t="s">
        <v>9121</v>
      </c>
      <c r="H713" s="2" t="s">
        <v>8</v>
      </c>
      <c r="I713" s="2" t="s">
        <v>7</v>
      </c>
      <c r="J713" s="2" t="s">
        <v>8</v>
      </c>
      <c r="K713" s="2" t="s">
        <v>8</v>
      </c>
      <c r="L713" s="2" t="s">
        <v>9</v>
      </c>
      <c r="M713" s="1" t="s">
        <v>9122</v>
      </c>
      <c r="N713" s="1" t="s">
        <v>6692</v>
      </c>
      <c r="O713" s="2" t="s">
        <v>252</v>
      </c>
      <c r="P713" s="1" t="s">
        <v>2031</v>
      </c>
      <c r="Q713" s="2" t="s">
        <v>12</v>
      </c>
      <c r="R713" s="2" t="s">
        <v>34</v>
      </c>
      <c r="T713" s="2" t="s">
        <v>14</v>
      </c>
      <c r="U713" s="3">
        <v>1</v>
      </c>
      <c r="V713" s="3">
        <v>1</v>
      </c>
      <c r="W713" s="4" t="s">
        <v>9048</v>
      </c>
      <c r="X713" s="4" t="s">
        <v>9048</v>
      </c>
      <c r="Y713" s="4" t="s">
        <v>9123</v>
      </c>
      <c r="Z713" s="4" t="s">
        <v>9123</v>
      </c>
      <c r="AA713" s="3">
        <v>104</v>
      </c>
      <c r="AB713" s="3">
        <v>98</v>
      </c>
      <c r="AC713" s="3">
        <v>181</v>
      </c>
      <c r="AD713" s="3">
        <v>2</v>
      </c>
      <c r="AE713" s="3">
        <v>3</v>
      </c>
      <c r="AF713" s="3">
        <v>1</v>
      </c>
      <c r="AG713" s="3">
        <v>2</v>
      </c>
      <c r="AH713" s="3">
        <v>0</v>
      </c>
      <c r="AI713" s="3">
        <v>0</v>
      </c>
      <c r="AJ713" s="3">
        <v>0</v>
      </c>
      <c r="AK713" s="3">
        <v>0</v>
      </c>
      <c r="AL713" s="3">
        <v>0</v>
      </c>
      <c r="AM713" s="3">
        <v>1</v>
      </c>
      <c r="AN713" s="3">
        <v>1</v>
      </c>
      <c r="AO713" s="3">
        <v>1</v>
      </c>
      <c r="AP713" s="3">
        <v>0</v>
      </c>
      <c r="AQ713" s="3">
        <v>0</v>
      </c>
      <c r="AR713" s="2" t="s">
        <v>8</v>
      </c>
      <c r="AS713" s="2" t="s">
        <v>8</v>
      </c>
      <c r="AU713" s="5" t="str">
        <f>HYPERLINK("https://creighton-primo.hosted.exlibrisgroup.com/primo-explore/search?tab=default_tab&amp;search_scope=EVERYTHING&amp;vid=01CRU&amp;lang=en_US&amp;offset=0&amp;query=any,contains,991001544589702656","Catalog Record")</f>
        <v>Catalog Record</v>
      </c>
      <c r="AV713" s="5" t="str">
        <f>HYPERLINK("http://www.worldcat.org/oclc/7173843","WorldCat Record")</f>
        <v>WorldCat Record</v>
      </c>
      <c r="AW713" s="2" t="s">
        <v>9124</v>
      </c>
      <c r="AX713" s="2" t="s">
        <v>9125</v>
      </c>
      <c r="AY713" s="2" t="s">
        <v>9126</v>
      </c>
      <c r="AZ713" s="2" t="s">
        <v>9126</v>
      </c>
      <c r="BA713" s="2" t="s">
        <v>9127</v>
      </c>
      <c r="BB713" s="2" t="s">
        <v>21</v>
      </c>
      <c r="BD713" s="2" t="s">
        <v>9128</v>
      </c>
      <c r="BE713" s="2" t="s">
        <v>9129</v>
      </c>
      <c r="BF713" s="2" t="s">
        <v>9130</v>
      </c>
    </row>
    <row r="714" spans="1:58" ht="42.75" customHeight="1" x14ac:dyDescent="0.25">
      <c r="A714" s="8" t="s">
        <v>8</v>
      </c>
      <c r="B714" s="1" t="s">
        <v>0</v>
      </c>
      <c r="C714" s="1" t="s">
        <v>1</v>
      </c>
      <c r="D714" s="1" t="s">
        <v>9131</v>
      </c>
      <c r="E714" s="1" t="s">
        <v>9132</v>
      </c>
      <c r="F714" s="1" t="s">
        <v>9133</v>
      </c>
      <c r="H714" s="2" t="s">
        <v>8</v>
      </c>
      <c r="I714" s="2" t="s">
        <v>7</v>
      </c>
      <c r="J714" s="2" t="s">
        <v>8</v>
      </c>
      <c r="K714" s="2" t="s">
        <v>8</v>
      </c>
      <c r="L714" s="2" t="s">
        <v>9</v>
      </c>
      <c r="M714" s="1" t="s">
        <v>9134</v>
      </c>
      <c r="N714" s="1" t="s">
        <v>9135</v>
      </c>
      <c r="O714" s="2" t="s">
        <v>1629</v>
      </c>
      <c r="Q714" s="2" t="s">
        <v>12</v>
      </c>
      <c r="R714" s="2" t="s">
        <v>34</v>
      </c>
      <c r="T714" s="2" t="s">
        <v>14</v>
      </c>
      <c r="U714" s="3">
        <v>3</v>
      </c>
      <c r="V714" s="3">
        <v>3</v>
      </c>
      <c r="W714" s="4" t="s">
        <v>9136</v>
      </c>
      <c r="X714" s="4" t="s">
        <v>9136</v>
      </c>
      <c r="Y714" s="4" t="s">
        <v>9123</v>
      </c>
      <c r="Z714" s="4" t="s">
        <v>9123</v>
      </c>
      <c r="AA714" s="3">
        <v>59</v>
      </c>
      <c r="AB714" s="3">
        <v>56</v>
      </c>
      <c r="AC714" s="3">
        <v>57</v>
      </c>
      <c r="AD714" s="3">
        <v>1</v>
      </c>
      <c r="AE714" s="3">
        <v>1</v>
      </c>
      <c r="AF714" s="3">
        <v>0</v>
      </c>
      <c r="AG714" s="3">
        <v>0</v>
      </c>
      <c r="AH714" s="3">
        <v>0</v>
      </c>
      <c r="AI714" s="3">
        <v>0</v>
      </c>
      <c r="AJ714" s="3">
        <v>0</v>
      </c>
      <c r="AK714" s="3">
        <v>0</v>
      </c>
      <c r="AL714" s="3">
        <v>0</v>
      </c>
      <c r="AM714" s="3">
        <v>0</v>
      </c>
      <c r="AN714" s="3">
        <v>0</v>
      </c>
      <c r="AO714" s="3">
        <v>0</v>
      </c>
      <c r="AP714" s="3">
        <v>0</v>
      </c>
      <c r="AQ714" s="3">
        <v>0</v>
      </c>
      <c r="AR714" s="2" t="s">
        <v>8</v>
      </c>
      <c r="AS714" s="2" t="s">
        <v>8</v>
      </c>
      <c r="AU714" s="5" t="str">
        <f>HYPERLINK("https://creighton-primo.hosted.exlibrisgroup.com/primo-explore/search?tab=default_tab&amp;search_scope=EVERYTHING&amp;vid=01CRU&amp;lang=en_US&amp;offset=0&amp;query=any,contains,991001544549702656","Catalog Record")</f>
        <v>Catalog Record</v>
      </c>
      <c r="AV714" s="5" t="str">
        <f>HYPERLINK("http://www.worldcat.org/oclc/10072264","WorldCat Record")</f>
        <v>WorldCat Record</v>
      </c>
      <c r="AW714" s="2" t="s">
        <v>9137</v>
      </c>
      <c r="AX714" s="2" t="s">
        <v>9138</v>
      </c>
      <c r="AY714" s="2" t="s">
        <v>9139</v>
      </c>
      <c r="AZ714" s="2" t="s">
        <v>9139</v>
      </c>
      <c r="BA714" s="2" t="s">
        <v>9140</v>
      </c>
      <c r="BB714" s="2" t="s">
        <v>21</v>
      </c>
      <c r="BE714" s="2" t="s">
        <v>9141</v>
      </c>
      <c r="BF714" s="2" t="s">
        <v>9142</v>
      </c>
    </row>
    <row r="715" spans="1:58" ht="42.75" customHeight="1" x14ac:dyDescent="0.25">
      <c r="A715" s="8" t="s">
        <v>8</v>
      </c>
      <c r="B715" s="1" t="s">
        <v>0</v>
      </c>
      <c r="C715" s="1" t="s">
        <v>1</v>
      </c>
      <c r="D715" s="1" t="s">
        <v>9143</v>
      </c>
      <c r="E715" s="1" t="s">
        <v>9144</v>
      </c>
      <c r="F715" s="1" t="s">
        <v>9145</v>
      </c>
      <c r="H715" s="2" t="s">
        <v>8</v>
      </c>
      <c r="I715" s="2" t="s">
        <v>7</v>
      </c>
      <c r="J715" s="2" t="s">
        <v>8</v>
      </c>
      <c r="K715" s="2" t="s">
        <v>8</v>
      </c>
      <c r="L715" s="2" t="s">
        <v>9</v>
      </c>
      <c r="M715" s="1" t="s">
        <v>9146</v>
      </c>
      <c r="N715" s="1" t="s">
        <v>9147</v>
      </c>
      <c r="O715" s="2" t="s">
        <v>907</v>
      </c>
      <c r="Q715" s="2" t="s">
        <v>12</v>
      </c>
      <c r="R715" s="2" t="s">
        <v>658</v>
      </c>
      <c r="T715" s="2" t="s">
        <v>14</v>
      </c>
      <c r="U715" s="3">
        <v>0</v>
      </c>
      <c r="V715" s="3">
        <v>0</v>
      </c>
      <c r="W715" s="4" t="s">
        <v>9148</v>
      </c>
      <c r="X715" s="4" t="s">
        <v>9148</v>
      </c>
      <c r="Y715" s="4" t="s">
        <v>8507</v>
      </c>
      <c r="Z715" s="4" t="s">
        <v>8507</v>
      </c>
      <c r="AA715" s="3">
        <v>8</v>
      </c>
      <c r="AB715" s="3">
        <v>8</v>
      </c>
      <c r="AC715" s="3">
        <v>8</v>
      </c>
      <c r="AD715" s="3">
        <v>1</v>
      </c>
      <c r="AE715" s="3">
        <v>1</v>
      </c>
      <c r="AF715" s="3">
        <v>0</v>
      </c>
      <c r="AG715" s="3">
        <v>0</v>
      </c>
      <c r="AH715" s="3">
        <v>0</v>
      </c>
      <c r="AI715" s="3">
        <v>0</v>
      </c>
      <c r="AJ715" s="3">
        <v>0</v>
      </c>
      <c r="AK715" s="3">
        <v>0</v>
      </c>
      <c r="AL715" s="3">
        <v>0</v>
      </c>
      <c r="AM715" s="3">
        <v>0</v>
      </c>
      <c r="AN715" s="3">
        <v>0</v>
      </c>
      <c r="AO715" s="3">
        <v>0</v>
      </c>
      <c r="AP715" s="3">
        <v>0</v>
      </c>
      <c r="AQ715" s="3">
        <v>0</v>
      </c>
      <c r="AR715" s="2" t="s">
        <v>8</v>
      </c>
      <c r="AS715" s="2" t="s">
        <v>8</v>
      </c>
      <c r="AU715" s="5" t="str">
        <f>HYPERLINK("https://creighton-primo.hosted.exlibrisgroup.com/primo-explore/search?tab=default_tab&amp;search_scope=EVERYTHING&amp;vid=01CRU&amp;lang=en_US&amp;offset=0&amp;query=any,contains,991000359259702656","Catalog Record")</f>
        <v>Catalog Record</v>
      </c>
      <c r="AV715" s="5" t="str">
        <f>HYPERLINK("http://www.worldcat.org/oclc/45798879","WorldCat Record")</f>
        <v>WorldCat Record</v>
      </c>
      <c r="AW715" s="2" t="s">
        <v>9149</v>
      </c>
      <c r="AX715" s="2" t="s">
        <v>9150</v>
      </c>
      <c r="AY715" s="2" t="s">
        <v>9151</v>
      </c>
      <c r="AZ715" s="2" t="s">
        <v>9151</v>
      </c>
      <c r="BA715" s="2" t="s">
        <v>9152</v>
      </c>
      <c r="BB715" s="2" t="s">
        <v>21</v>
      </c>
      <c r="BD715" s="2" t="s">
        <v>9153</v>
      </c>
      <c r="BE715" s="2" t="s">
        <v>9154</v>
      </c>
      <c r="BF715" s="2" t="s">
        <v>9155</v>
      </c>
    </row>
    <row r="716" spans="1:58" ht="42.75" customHeight="1" x14ac:dyDescent="0.25">
      <c r="A716" s="8" t="s">
        <v>8</v>
      </c>
      <c r="B716" s="1" t="s">
        <v>0</v>
      </c>
      <c r="C716" s="1" t="s">
        <v>1</v>
      </c>
      <c r="D716" s="1" t="s">
        <v>9156</v>
      </c>
      <c r="E716" s="1" t="s">
        <v>9157</v>
      </c>
      <c r="F716" s="1" t="s">
        <v>9158</v>
      </c>
      <c r="H716" s="2" t="s">
        <v>8</v>
      </c>
      <c r="I716" s="2" t="s">
        <v>7</v>
      </c>
      <c r="J716" s="2" t="s">
        <v>8</v>
      </c>
      <c r="K716" s="2" t="s">
        <v>8</v>
      </c>
      <c r="L716" s="2" t="s">
        <v>9</v>
      </c>
      <c r="M716" s="1" t="s">
        <v>9159</v>
      </c>
      <c r="N716" s="1" t="s">
        <v>9060</v>
      </c>
      <c r="O716" s="2" t="s">
        <v>874</v>
      </c>
      <c r="Q716" s="2" t="s">
        <v>12</v>
      </c>
      <c r="R716" s="2" t="s">
        <v>520</v>
      </c>
      <c r="S716" s="1" t="s">
        <v>9160</v>
      </c>
      <c r="T716" s="2" t="s">
        <v>14</v>
      </c>
      <c r="U716" s="3">
        <v>4</v>
      </c>
      <c r="V716" s="3">
        <v>4</v>
      </c>
      <c r="W716" s="4" t="s">
        <v>9161</v>
      </c>
      <c r="X716" s="4" t="s">
        <v>9161</v>
      </c>
      <c r="Y716" s="4" t="s">
        <v>9162</v>
      </c>
      <c r="Z716" s="4" t="s">
        <v>9162</v>
      </c>
      <c r="AA716" s="3">
        <v>72</v>
      </c>
      <c r="AB716" s="3">
        <v>71</v>
      </c>
      <c r="AC716" s="3">
        <v>79</v>
      </c>
      <c r="AD716" s="3">
        <v>1</v>
      </c>
      <c r="AE716" s="3">
        <v>1</v>
      </c>
      <c r="AF716" s="3">
        <v>5</v>
      </c>
      <c r="AG716" s="3">
        <v>7</v>
      </c>
      <c r="AH716" s="3">
        <v>0</v>
      </c>
      <c r="AI716" s="3">
        <v>0</v>
      </c>
      <c r="AJ716" s="3">
        <v>1</v>
      </c>
      <c r="AK716" s="3">
        <v>2</v>
      </c>
      <c r="AL716" s="3">
        <v>3</v>
      </c>
      <c r="AM716" s="3">
        <v>5</v>
      </c>
      <c r="AN716" s="3">
        <v>0</v>
      </c>
      <c r="AO716" s="3">
        <v>0</v>
      </c>
      <c r="AP716" s="3">
        <v>2</v>
      </c>
      <c r="AQ716" s="3">
        <v>2</v>
      </c>
      <c r="AR716" s="2" t="s">
        <v>8</v>
      </c>
      <c r="AS716" s="2" t="s">
        <v>8</v>
      </c>
      <c r="AU716" s="5" t="str">
        <f>HYPERLINK("https://creighton-primo.hosted.exlibrisgroup.com/primo-explore/search?tab=default_tab&amp;search_scope=EVERYTHING&amp;vid=01CRU&amp;lang=en_US&amp;offset=0&amp;query=any,contains,991000875759702656","Catalog Record")</f>
        <v>Catalog Record</v>
      </c>
      <c r="AV716" s="5" t="str">
        <f>HYPERLINK("http://www.worldcat.org/oclc/34515615","WorldCat Record")</f>
        <v>WorldCat Record</v>
      </c>
      <c r="AW716" s="2" t="s">
        <v>9163</v>
      </c>
      <c r="AX716" s="2" t="s">
        <v>9164</v>
      </c>
      <c r="AY716" s="2" t="s">
        <v>9165</v>
      </c>
      <c r="AZ716" s="2" t="s">
        <v>9165</v>
      </c>
      <c r="BA716" s="2" t="s">
        <v>9166</v>
      </c>
      <c r="BB716" s="2" t="s">
        <v>21</v>
      </c>
      <c r="BD716" s="2" t="s">
        <v>9167</v>
      </c>
      <c r="BE716" s="2" t="s">
        <v>9168</v>
      </c>
      <c r="BF716" s="2" t="s">
        <v>9169</v>
      </c>
    </row>
    <row r="717" spans="1:58" ht="42.75" customHeight="1" x14ac:dyDescent="0.25">
      <c r="A717" s="8" t="s">
        <v>8</v>
      </c>
      <c r="B717" s="1" t="s">
        <v>0</v>
      </c>
      <c r="C717" s="1" t="s">
        <v>1</v>
      </c>
      <c r="D717" s="1" t="s">
        <v>9170</v>
      </c>
      <c r="E717" s="1" t="s">
        <v>9171</v>
      </c>
      <c r="F717" s="1" t="s">
        <v>9172</v>
      </c>
      <c r="H717" s="2" t="s">
        <v>8</v>
      </c>
      <c r="I717" s="2" t="s">
        <v>7</v>
      </c>
      <c r="J717" s="2" t="s">
        <v>8</v>
      </c>
      <c r="K717" s="2" t="s">
        <v>8</v>
      </c>
      <c r="L717" s="2" t="s">
        <v>9</v>
      </c>
      <c r="M717" s="1" t="s">
        <v>9173</v>
      </c>
      <c r="N717" s="1" t="s">
        <v>3049</v>
      </c>
      <c r="O717" s="2" t="s">
        <v>731</v>
      </c>
      <c r="Q717" s="2" t="s">
        <v>12</v>
      </c>
      <c r="R717" s="2" t="s">
        <v>520</v>
      </c>
      <c r="T717" s="2" t="s">
        <v>14</v>
      </c>
      <c r="U717" s="3">
        <v>0</v>
      </c>
      <c r="V717" s="3">
        <v>0</v>
      </c>
      <c r="W717" s="4" t="s">
        <v>4327</v>
      </c>
      <c r="X717" s="4" t="s">
        <v>4327</v>
      </c>
      <c r="Y717" s="4" t="s">
        <v>4327</v>
      </c>
      <c r="Z717" s="4" t="s">
        <v>4327</v>
      </c>
      <c r="AA717" s="3">
        <v>50</v>
      </c>
      <c r="AB717" s="3">
        <v>47</v>
      </c>
      <c r="AC717" s="3">
        <v>49</v>
      </c>
      <c r="AD717" s="3">
        <v>1</v>
      </c>
      <c r="AE717" s="3">
        <v>1</v>
      </c>
      <c r="AF717" s="3">
        <v>1</v>
      </c>
      <c r="AG717" s="3">
        <v>1</v>
      </c>
      <c r="AH717" s="3">
        <v>0</v>
      </c>
      <c r="AI717" s="3">
        <v>0</v>
      </c>
      <c r="AJ717" s="3">
        <v>0</v>
      </c>
      <c r="AK717" s="3">
        <v>0</v>
      </c>
      <c r="AL717" s="3">
        <v>1</v>
      </c>
      <c r="AM717" s="3">
        <v>1</v>
      </c>
      <c r="AN717" s="3">
        <v>0</v>
      </c>
      <c r="AO717" s="3">
        <v>0</v>
      </c>
      <c r="AP717" s="3">
        <v>0</v>
      </c>
      <c r="AQ717" s="3">
        <v>0</v>
      </c>
      <c r="AR717" s="2" t="s">
        <v>8</v>
      </c>
      <c r="AS717" s="2" t="s">
        <v>6</v>
      </c>
      <c r="AT717" s="5" t="str">
        <f>HYPERLINK("http://catalog.hathitrust.org/Record/003959857","HathiTrust Record")</f>
        <v>HathiTrust Record</v>
      </c>
      <c r="AU717" s="5" t="str">
        <f>HYPERLINK("https://creighton-primo.hosted.exlibrisgroup.com/primo-explore/search?tab=default_tab&amp;search_scope=EVERYTHING&amp;vid=01CRU&amp;lang=en_US&amp;offset=0&amp;query=any,contains,991000381599702656","Catalog Record")</f>
        <v>Catalog Record</v>
      </c>
      <c r="AV717" s="5" t="str">
        <f>HYPERLINK("http://www.worldcat.org/oclc/38589753","WorldCat Record")</f>
        <v>WorldCat Record</v>
      </c>
      <c r="AW717" s="2" t="s">
        <v>9174</v>
      </c>
      <c r="AX717" s="2" t="s">
        <v>9175</v>
      </c>
      <c r="AY717" s="2" t="s">
        <v>9176</v>
      </c>
      <c r="AZ717" s="2" t="s">
        <v>9176</v>
      </c>
      <c r="BA717" s="2" t="s">
        <v>9177</v>
      </c>
      <c r="BB717" s="2" t="s">
        <v>21</v>
      </c>
      <c r="BD717" s="2" t="s">
        <v>9178</v>
      </c>
      <c r="BE717" s="2" t="s">
        <v>9179</v>
      </c>
      <c r="BF717" s="2" t="s">
        <v>9180</v>
      </c>
    </row>
    <row r="718" spans="1:58" ht="42.75" customHeight="1" x14ac:dyDescent="0.25">
      <c r="A718" s="8" t="s">
        <v>8</v>
      </c>
      <c r="B718" s="1" t="s">
        <v>0</v>
      </c>
      <c r="C718" s="1" t="s">
        <v>1</v>
      </c>
      <c r="D718" s="1" t="s">
        <v>9181</v>
      </c>
      <c r="E718" s="1" t="s">
        <v>9182</v>
      </c>
      <c r="F718" s="1" t="s">
        <v>9183</v>
      </c>
      <c r="H718" s="2" t="s">
        <v>8</v>
      </c>
      <c r="I718" s="2" t="s">
        <v>7</v>
      </c>
      <c r="J718" s="2" t="s">
        <v>8</v>
      </c>
      <c r="K718" s="2" t="s">
        <v>8</v>
      </c>
      <c r="L718" s="2" t="s">
        <v>9</v>
      </c>
      <c r="M718" s="1" t="s">
        <v>9184</v>
      </c>
      <c r="N718" s="1" t="s">
        <v>9185</v>
      </c>
      <c r="O718" s="2" t="s">
        <v>814</v>
      </c>
      <c r="Q718" s="2" t="s">
        <v>12</v>
      </c>
      <c r="R718" s="2" t="s">
        <v>13</v>
      </c>
      <c r="T718" s="2" t="s">
        <v>14</v>
      </c>
      <c r="U718" s="3">
        <v>0</v>
      </c>
      <c r="V718" s="3">
        <v>0</v>
      </c>
      <c r="W718" s="4" t="s">
        <v>1643</v>
      </c>
      <c r="X718" s="4" t="s">
        <v>1643</v>
      </c>
      <c r="Y718" s="4" t="s">
        <v>1643</v>
      </c>
      <c r="Z718" s="4" t="s">
        <v>1643</v>
      </c>
      <c r="AA718" s="3">
        <v>16</v>
      </c>
      <c r="AB718" s="3">
        <v>16</v>
      </c>
      <c r="AC718" s="3">
        <v>16</v>
      </c>
      <c r="AD718" s="3">
        <v>1</v>
      </c>
      <c r="AE718" s="3">
        <v>1</v>
      </c>
      <c r="AF718" s="3">
        <v>0</v>
      </c>
      <c r="AG718" s="3">
        <v>0</v>
      </c>
      <c r="AH718" s="3">
        <v>0</v>
      </c>
      <c r="AI718" s="3">
        <v>0</v>
      </c>
      <c r="AJ718" s="3">
        <v>0</v>
      </c>
      <c r="AK718" s="3">
        <v>0</v>
      </c>
      <c r="AL718" s="3">
        <v>0</v>
      </c>
      <c r="AM718" s="3">
        <v>0</v>
      </c>
      <c r="AN718" s="3">
        <v>0</v>
      </c>
      <c r="AO718" s="3">
        <v>0</v>
      </c>
      <c r="AP718" s="3">
        <v>0</v>
      </c>
      <c r="AQ718" s="3">
        <v>0</v>
      </c>
      <c r="AR718" s="2" t="s">
        <v>8</v>
      </c>
      <c r="AS718" s="2" t="s">
        <v>8</v>
      </c>
      <c r="AU718" s="5" t="str">
        <f>HYPERLINK("https://creighton-primo.hosted.exlibrisgroup.com/primo-explore/search?tab=default_tab&amp;search_scope=EVERYTHING&amp;vid=01CRU&amp;lang=en_US&amp;offset=0&amp;query=any,contains,991000396019702656","Catalog Record")</f>
        <v>Catalog Record</v>
      </c>
      <c r="AV718" s="5" t="str">
        <f>HYPERLINK("http://www.worldcat.org/oclc/40159103","WorldCat Record")</f>
        <v>WorldCat Record</v>
      </c>
      <c r="AW718" s="2" t="s">
        <v>9186</v>
      </c>
      <c r="AX718" s="2" t="s">
        <v>9187</v>
      </c>
      <c r="AY718" s="2" t="s">
        <v>9188</v>
      </c>
      <c r="AZ718" s="2" t="s">
        <v>9188</v>
      </c>
      <c r="BA718" s="2" t="s">
        <v>9189</v>
      </c>
      <c r="BB718" s="2" t="s">
        <v>21</v>
      </c>
      <c r="BD718" s="2" t="s">
        <v>9190</v>
      </c>
      <c r="BE718" s="2" t="s">
        <v>9191</v>
      </c>
      <c r="BF718" s="2" t="s">
        <v>9192</v>
      </c>
    </row>
    <row r="719" spans="1:58" ht="42.75" customHeight="1" x14ac:dyDescent="0.25">
      <c r="A719" s="8" t="s">
        <v>8</v>
      </c>
      <c r="B719" s="1" t="s">
        <v>0</v>
      </c>
      <c r="C719" s="1" t="s">
        <v>1</v>
      </c>
      <c r="D719" s="1" t="s">
        <v>9193</v>
      </c>
      <c r="E719" s="1" t="s">
        <v>9194</v>
      </c>
      <c r="F719" s="1" t="s">
        <v>9195</v>
      </c>
      <c r="H719" s="2" t="s">
        <v>8</v>
      </c>
      <c r="I719" s="2" t="s">
        <v>7</v>
      </c>
      <c r="J719" s="2" t="s">
        <v>8</v>
      </c>
      <c r="K719" s="2" t="s">
        <v>8</v>
      </c>
      <c r="L719" s="2" t="s">
        <v>9</v>
      </c>
      <c r="N719" s="1" t="s">
        <v>9196</v>
      </c>
      <c r="O719" s="2" t="s">
        <v>2044</v>
      </c>
      <c r="Q719" s="2" t="s">
        <v>12</v>
      </c>
      <c r="R719" s="2" t="s">
        <v>5791</v>
      </c>
      <c r="T719" s="2" t="s">
        <v>14</v>
      </c>
      <c r="U719" s="3">
        <v>6</v>
      </c>
      <c r="V719" s="3">
        <v>6</v>
      </c>
      <c r="W719" s="4" t="s">
        <v>9087</v>
      </c>
      <c r="X719" s="4" t="s">
        <v>9087</v>
      </c>
      <c r="Y719" s="4" t="s">
        <v>4589</v>
      </c>
      <c r="Z719" s="4" t="s">
        <v>4589</v>
      </c>
      <c r="AA719" s="3">
        <v>78</v>
      </c>
      <c r="AB719" s="3">
        <v>69</v>
      </c>
      <c r="AC719" s="3">
        <v>74</v>
      </c>
      <c r="AD719" s="3">
        <v>1</v>
      </c>
      <c r="AE719" s="3">
        <v>1</v>
      </c>
      <c r="AF719" s="3">
        <v>2</v>
      </c>
      <c r="AG719" s="3">
        <v>2</v>
      </c>
      <c r="AH719" s="3">
        <v>1</v>
      </c>
      <c r="AI719" s="3">
        <v>1</v>
      </c>
      <c r="AJ719" s="3">
        <v>0</v>
      </c>
      <c r="AK719" s="3">
        <v>0</v>
      </c>
      <c r="AL719" s="3">
        <v>1</v>
      </c>
      <c r="AM719" s="3">
        <v>1</v>
      </c>
      <c r="AN719" s="3">
        <v>0</v>
      </c>
      <c r="AO719" s="3">
        <v>0</v>
      </c>
      <c r="AP719" s="3">
        <v>0</v>
      </c>
      <c r="AQ719" s="3">
        <v>0</v>
      </c>
      <c r="AR719" s="2" t="s">
        <v>8</v>
      </c>
      <c r="AS719" s="2" t="s">
        <v>8</v>
      </c>
      <c r="AU719" s="5" t="str">
        <f>HYPERLINK("https://creighton-primo.hosted.exlibrisgroup.com/primo-explore/search?tab=default_tab&amp;search_scope=EVERYTHING&amp;vid=01CRU&amp;lang=en_US&amp;offset=0&amp;query=any,contains,991000378839702656","Catalog Record")</f>
        <v>Catalog Record</v>
      </c>
      <c r="AV719" s="5" t="str">
        <f>HYPERLINK("http://www.worldcat.org/oclc/47923430","WorldCat Record")</f>
        <v>WorldCat Record</v>
      </c>
      <c r="AW719" s="2" t="s">
        <v>9197</v>
      </c>
      <c r="AX719" s="2" t="s">
        <v>9198</v>
      </c>
      <c r="AY719" s="2" t="s">
        <v>9199</v>
      </c>
      <c r="AZ719" s="2" t="s">
        <v>9199</v>
      </c>
      <c r="BA719" s="2" t="s">
        <v>9200</v>
      </c>
      <c r="BB719" s="2" t="s">
        <v>21</v>
      </c>
      <c r="BD719" s="2" t="s">
        <v>9201</v>
      </c>
      <c r="BE719" s="2" t="s">
        <v>9202</v>
      </c>
      <c r="BF719" s="2" t="s">
        <v>9203</v>
      </c>
    </row>
    <row r="720" spans="1:58" ht="42.75" customHeight="1" x14ac:dyDescent="0.25">
      <c r="A720" s="8" t="s">
        <v>8</v>
      </c>
      <c r="B720" s="1" t="s">
        <v>0</v>
      </c>
      <c r="C720" s="1" t="s">
        <v>1</v>
      </c>
      <c r="D720" s="1" t="s">
        <v>9204</v>
      </c>
      <c r="E720" s="1" t="s">
        <v>9205</v>
      </c>
      <c r="F720" s="1" t="s">
        <v>9206</v>
      </c>
      <c r="H720" s="2" t="s">
        <v>8</v>
      </c>
      <c r="I720" s="2" t="s">
        <v>7</v>
      </c>
      <c r="J720" s="2" t="s">
        <v>8</v>
      </c>
      <c r="K720" s="2" t="s">
        <v>8</v>
      </c>
      <c r="L720" s="2" t="s">
        <v>9</v>
      </c>
      <c r="N720" s="1" t="s">
        <v>9207</v>
      </c>
      <c r="O720" s="2" t="s">
        <v>657</v>
      </c>
      <c r="Q720" s="2" t="s">
        <v>12</v>
      </c>
      <c r="R720" s="2" t="s">
        <v>520</v>
      </c>
      <c r="T720" s="2" t="s">
        <v>14</v>
      </c>
      <c r="U720" s="3">
        <v>0</v>
      </c>
      <c r="V720" s="3">
        <v>0</v>
      </c>
      <c r="W720" s="4" t="s">
        <v>9148</v>
      </c>
      <c r="X720" s="4" t="s">
        <v>9148</v>
      </c>
      <c r="Y720" s="4" t="s">
        <v>8507</v>
      </c>
      <c r="Z720" s="4" t="s">
        <v>8507</v>
      </c>
      <c r="AA720" s="3">
        <v>54</v>
      </c>
      <c r="AB720" s="3">
        <v>52</v>
      </c>
      <c r="AC720" s="3">
        <v>52</v>
      </c>
      <c r="AD720" s="3">
        <v>1</v>
      </c>
      <c r="AE720" s="3">
        <v>1</v>
      </c>
      <c r="AF720" s="3">
        <v>7</v>
      </c>
      <c r="AG720" s="3">
        <v>7</v>
      </c>
      <c r="AH720" s="3">
        <v>2</v>
      </c>
      <c r="AI720" s="3">
        <v>2</v>
      </c>
      <c r="AJ720" s="3">
        <v>2</v>
      </c>
      <c r="AK720" s="3">
        <v>2</v>
      </c>
      <c r="AL720" s="3">
        <v>1</v>
      </c>
      <c r="AM720" s="3">
        <v>1</v>
      </c>
      <c r="AN720" s="3">
        <v>0</v>
      </c>
      <c r="AO720" s="3">
        <v>0</v>
      </c>
      <c r="AP720" s="3">
        <v>3</v>
      </c>
      <c r="AQ720" s="3">
        <v>3</v>
      </c>
      <c r="AR720" s="2" t="s">
        <v>8</v>
      </c>
      <c r="AS720" s="2" t="s">
        <v>8</v>
      </c>
      <c r="AU720" s="5" t="str">
        <f>HYPERLINK("https://creighton-primo.hosted.exlibrisgroup.com/primo-explore/search?tab=default_tab&amp;search_scope=EVERYTHING&amp;vid=01CRU&amp;lang=en_US&amp;offset=0&amp;query=any,contains,991000359219702656","Catalog Record")</f>
        <v>Catalog Record</v>
      </c>
      <c r="AV720" s="5" t="str">
        <f>HYPERLINK("http://www.worldcat.org/oclc/47966707","WorldCat Record")</f>
        <v>WorldCat Record</v>
      </c>
      <c r="AW720" s="2" t="s">
        <v>9208</v>
      </c>
      <c r="AX720" s="2" t="s">
        <v>9209</v>
      </c>
      <c r="AY720" s="2" t="s">
        <v>9210</v>
      </c>
      <c r="AZ720" s="2" t="s">
        <v>9210</v>
      </c>
      <c r="BA720" s="2" t="s">
        <v>9211</v>
      </c>
      <c r="BB720" s="2" t="s">
        <v>21</v>
      </c>
      <c r="BD720" s="2" t="s">
        <v>9212</v>
      </c>
      <c r="BE720" s="2" t="s">
        <v>9213</v>
      </c>
      <c r="BF720" s="2" t="s">
        <v>9214</v>
      </c>
    </row>
    <row r="721" spans="1:58" ht="42.75" customHeight="1" x14ac:dyDescent="0.25">
      <c r="A721" s="8" t="s">
        <v>8</v>
      </c>
      <c r="B721" s="1" t="s">
        <v>0</v>
      </c>
      <c r="C721" s="1" t="s">
        <v>1</v>
      </c>
      <c r="D721" s="1" t="s">
        <v>9215</v>
      </c>
      <c r="E721" s="1" t="s">
        <v>9216</v>
      </c>
      <c r="F721" s="1" t="s">
        <v>9217</v>
      </c>
      <c r="H721" s="2" t="s">
        <v>8</v>
      </c>
      <c r="I721" s="2" t="s">
        <v>7</v>
      </c>
      <c r="J721" s="2" t="s">
        <v>8</v>
      </c>
      <c r="K721" s="2" t="s">
        <v>8</v>
      </c>
      <c r="L721" s="2" t="s">
        <v>9</v>
      </c>
      <c r="N721" s="1" t="s">
        <v>9218</v>
      </c>
      <c r="O721" s="2" t="s">
        <v>907</v>
      </c>
      <c r="Q721" s="2" t="s">
        <v>12</v>
      </c>
      <c r="R721" s="2" t="s">
        <v>815</v>
      </c>
      <c r="T721" s="2" t="s">
        <v>14</v>
      </c>
      <c r="U721" s="3">
        <v>3</v>
      </c>
      <c r="V721" s="3">
        <v>3</v>
      </c>
      <c r="W721" s="4" t="s">
        <v>9087</v>
      </c>
      <c r="X721" s="4" t="s">
        <v>9087</v>
      </c>
      <c r="Y721" s="4" t="s">
        <v>8507</v>
      </c>
      <c r="Z721" s="4" t="s">
        <v>8507</v>
      </c>
      <c r="AA721" s="3">
        <v>126</v>
      </c>
      <c r="AB721" s="3">
        <v>115</v>
      </c>
      <c r="AC721" s="3">
        <v>120</v>
      </c>
      <c r="AD721" s="3">
        <v>1</v>
      </c>
      <c r="AE721" s="3">
        <v>1</v>
      </c>
      <c r="AF721" s="3">
        <v>3</v>
      </c>
      <c r="AG721" s="3">
        <v>3</v>
      </c>
      <c r="AH721" s="3">
        <v>1</v>
      </c>
      <c r="AI721" s="3">
        <v>1</v>
      </c>
      <c r="AJ721" s="3">
        <v>1</v>
      </c>
      <c r="AK721" s="3">
        <v>1</v>
      </c>
      <c r="AL721" s="3">
        <v>1</v>
      </c>
      <c r="AM721" s="3">
        <v>1</v>
      </c>
      <c r="AN721" s="3">
        <v>0</v>
      </c>
      <c r="AO721" s="3">
        <v>0</v>
      </c>
      <c r="AP721" s="3">
        <v>0</v>
      </c>
      <c r="AQ721" s="3">
        <v>0</v>
      </c>
      <c r="AR721" s="2" t="s">
        <v>8</v>
      </c>
      <c r="AS721" s="2" t="s">
        <v>8</v>
      </c>
      <c r="AU721" s="5" t="str">
        <f>HYPERLINK("https://creighton-primo.hosted.exlibrisgroup.com/primo-explore/search?tab=default_tab&amp;search_scope=EVERYTHING&amp;vid=01CRU&amp;lang=en_US&amp;offset=0&amp;query=any,contains,991000358939702656","Catalog Record")</f>
        <v>Catalog Record</v>
      </c>
      <c r="AV721" s="5" t="str">
        <f>HYPERLINK("http://www.worldcat.org/oclc/44040393","WorldCat Record")</f>
        <v>WorldCat Record</v>
      </c>
      <c r="AW721" s="2" t="s">
        <v>9219</v>
      </c>
      <c r="AX721" s="2" t="s">
        <v>9220</v>
      </c>
      <c r="AY721" s="2" t="s">
        <v>9221</v>
      </c>
      <c r="AZ721" s="2" t="s">
        <v>9221</v>
      </c>
      <c r="BA721" s="2" t="s">
        <v>9222</v>
      </c>
      <c r="BB721" s="2" t="s">
        <v>21</v>
      </c>
      <c r="BD721" s="2" t="s">
        <v>9223</v>
      </c>
      <c r="BE721" s="2" t="s">
        <v>9224</v>
      </c>
      <c r="BF721" s="2" t="s">
        <v>9225</v>
      </c>
    </row>
    <row r="722" spans="1:58" ht="42.75" customHeight="1" x14ac:dyDescent="0.25">
      <c r="A722" s="8" t="s">
        <v>8</v>
      </c>
      <c r="B722" s="1" t="s">
        <v>0</v>
      </c>
      <c r="C722" s="1" t="s">
        <v>1</v>
      </c>
      <c r="D722" s="1" t="s">
        <v>9226</v>
      </c>
      <c r="E722" s="1" t="s">
        <v>9227</v>
      </c>
      <c r="F722" s="1" t="s">
        <v>9228</v>
      </c>
      <c r="H722" s="2" t="s">
        <v>8</v>
      </c>
      <c r="I722" s="2" t="s">
        <v>7</v>
      </c>
      <c r="J722" s="2" t="s">
        <v>8</v>
      </c>
      <c r="K722" s="2" t="s">
        <v>8</v>
      </c>
      <c r="L722" s="2" t="s">
        <v>9</v>
      </c>
      <c r="M722" s="1" t="s">
        <v>9229</v>
      </c>
      <c r="N722" s="1" t="s">
        <v>2406</v>
      </c>
      <c r="O722" s="2" t="s">
        <v>298</v>
      </c>
      <c r="Q722" s="2" t="s">
        <v>12</v>
      </c>
      <c r="R722" s="2" t="s">
        <v>34</v>
      </c>
      <c r="T722" s="2" t="s">
        <v>14</v>
      </c>
      <c r="U722" s="3">
        <v>4</v>
      </c>
      <c r="V722" s="3">
        <v>4</v>
      </c>
      <c r="W722" s="4" t="s">
        <v>9230</v>
      </c>
      <c r="X722" s="4" t="s">
        <v>9230</v>
      </c>
      <c r="Y722" s="4" t="s">
        <v>9231</v>
      </c>
      <c r="Z722" s="4" t="s">
        <v>9231</v>
      </c>
      <c r="AA722" s="3">
        <v>71</v>
      </c>
      <c r="AB722" s="3">
        <v>45</v>
      </c>
      <c r="AC722" s="3">
        <v>66</v>
      </c>
      <c r="AD722" s="3">
        <v>1</v>
      </c>
      <c r="AE722" s="3">
        <v>1</v>
      </c>
      <c r="AF722" s="3">
        <v>0</v>
      </c>
      <c r="AG722" s="3">
        <v>0</v>
      </c>
      <c r="AH722" s="3">
        <v>0</v>
      </c>
      <c r="AI722" s="3">
        <v>0</v>
      </c>
      <c r="AJ722" s="3">
        <v>0</v>
      </c>
      <c r="AK722" s="3">
        <v>0</v>
      </c>
      <c r="AL722" s="3">
        <v>0</v>
      </c>
      <c r="AM722" s="3">
        <v>0</v>
      </c>
      <c r="AN722" s="3">
        <v>0</v>
      </c>
      <c r="AO722" s="3">
        <v>0</v>
      </c>
      <c r="AP722" s="3">
        <v>0</v>
      </c>
      <c r="AQ722" s="3">
        <v>0</v>
      </c>
      <c r="AR722" s="2" t="s">
        <v>8</v>
      </c>
      <c r="AS722" s="2" t="s">
        <v>6</v>
      </c>
      <c r="AT722" s="5" t="str">
        <f>HYPERLINK("http://catalog.hathitrust.org/Record/006251038","HathiTrust Record")</f>
        <v>HathiTrust Record</v>
      </c>
      <c r="AU722" s="5" t="str">
        <f>HYPERLINK("https://creighton-primo.hosted.exlibrisgroup.com/primo-explore/search?tab=default_tab&amp;search_scope=EVERYTHING&amp;vid=01CRU&amp;lang=en_US&amp;offset=0&amp;query=any,contains,991001425869702656","Catalog Record")</f>
        <v>Catalog Record</v>
      </c>
      <c r="AV722" s="5" t="str">
        <f>HYPERLINK("http://www.worldcat.org/oclc/15520617","WorldCat Record")</f>
        <v>WorldCat Record</v>
      </c>
      <c r="AW722" s="2" t="s">
        <v>9232</v>
      </c>
      <c r="AX722" s="2" t="s">
        <v>9233</v>
      </c>
      <c r="AY722" s="2" t="s">
        <v>9234</v>
      </c>
      <c r="AZ722" s="2" t="s">
        <v>9234</v>
      </c>
      <c r="BA722" s="2" t="s">
        <v>9235</v>
      </c>
      <c r="BB722" s="2" t="s">
        <v>21</v>
      </c>
      <c r="BD722" s="2" t="s">
        <v>9236</v>
      </c>
      <c r="BE722" s="2" t="s">
        <v>9237</v>
      </c>
      <c r="BF722" s="2" t="s">
        <v>9238</v>
      </c>
    </row>
    <row r="723" spans="1:58" ht="42.75" customHeight="1" x14ac:dyDescent="0.25">
      <c r="A723" s="8" t="s">
        <v>8</v>
      </c>
      <c r="B723" s="1" t="s">
        <v>0</v>
      </c>
      <c r="C723" s="1" t="s">
        <v>1</v>
      </c>
      <c r="D723" s="1" t="s">
        <v>9239</v>
      </c>
      <c r="E723" s="1" t="s">
        <v>9240</v>
      </c>
      <c r="F723" s="1" t="s">
        <v>9241</v>
      </c>
      <c r="H723" s="2" t="s">
        <v>8</v>
      </c>
      <c r="I723" s="2" t="s">
        <v>7</v>
      </c>
      <c r="J723" s="2" t="s">
        <v>8</v>
      </c>
      <c r="K723" s="2" t="s">
        <v>8</v>
      </c>
      <c r="L723" s="2" t="s">
        <v>9</v>
      </c>
      <c r="N723" s="1" t="s">
        <v>9242</v>
      </c>
      <c r="O723" s="2" t="s">
        <v>224</v>
      </c>
      <c r="Q723" s="2" t="s">
        <v>12</v>
      </c>
      <c r="R723" s="2" t="s">
        <v>34</v>
      </c>
      <c r="S723" s="1" t="s">
        <v>4441</v>
      </c>
      <c r="T723" s="2" t="s">
        <v>14</v>
      </c>
      <c r="U723" s="3">
        <v>1</v>
      </c>
      <c r="V723" s="3">
        <v>1</v>
      </c>
      <c r="W723" s="4" t="s">
        <v>9243</v>
      </c>
      <c r="X723" s="4" t="s">
        <v>9243</v>
      </c>
      <c r="Y723" s="4" t="s">
        <v>9123</v>
      </c>
      <c r="Z723" s="4" t="s">
        <v>9123</v>
      </c>
      <c r="AA723" s="3">
        <v>92</v>
      </c>
      <c r="AB723" s="3">
        <v>70</v>
      </c>
      <c r="AC723" s="3">
        <v>70</v>
      </c>
      <c r="AD723" s="3">
        <v>1</v>
      </c>
      <c r="AE723" s="3">
        <v>1</v>
      </c>
      <c r="AF723" s="3">
        <v>1</v>
      </c>
      <c r="AG723" s="3">
        <v>1</v>
      </c>
      <c r="AH723" s="3">
        <v>0</v>
      </c>
      <c r="AI723" s="3">
        <v>0</v>
      </c>
      <c r="AJ723" s="3">
        <v>0</v>
      </c>
      <c r="AK723" s="3">
        <v>0</v>
      </c>
      <c r="AL723" s="3">
        <v>0</v>
      </c>
      <c r="AM723" s="3">
        <v>0</v>
      </c>
      <c r="AN723" s="3">
        <v>0</v>
      </c>
      <c r="AO723" s="3">
        <v>0</v>
      </c>
      <c r="AP723" s="3">
        <v>1</v>
      </c>
      <c r="AQ723" s="3">
        <v>1</v>
      </c>
      <c r="AR723" s="2" t="s">
        <v>8</v>
      </c>
      <c r="AS723" s="2" t="s">
        <v>8</v>
      </c>
      <c r="AU723" s="5" t="str">
        <f>HYPERLINK("https://creighton-primo.hosted.exlibrisgroup.com/primo-explore/search?tab=default_tab&amp;search_scope=EVERYTHING&amp;vid=01CRU&amp;lang=en_US&amp;offset=0&amp;query=any,contains,991000654979702656","Catalog Record")</f>
        <v>Catalog Record</v>
      </c>
      <c r="AV723" s="5" t="str">
        <f>HYPERLINK("http://www.worldcat.org/oclc/6196531","WorldCat Record")</f>
        <v>WorldCat Record</v>
      </c>
      <c r="AW723" s="2" t="s">
        <v>9244</v>
      </c>
      <c r="AX723" s="2" t="s">
        <v>9245</v>
      </c>
      <c r="AY723" s="2" t="s">
        <v>9246</v>
      </c>
      <c r="AZ723" s="2" t="s">
        <v>9246</v>
      </c>
      <c r="BA723" s="2" t="s">
        <v>9247</v>
      </c>
      <c r="BB723" s="2" t="s">
        <v>21</v>
      </c>
      <c r="BD723" s="2" t="s">
        <v>9248</v>
      </c>
      <c r="BE723" s="2" t="s">
        <v>9249</v>
      </c>
      <c r="BF723" s="2" t="s">
        <v>9250</v>
      </c>
    </row>
    <row r="724" spans="1:58" ht="42.75" customHeight="1" x14ac:dyDescent="0.25">
      <c r="A724" s="8" t="s">
        <v>8</v>
      </c>
      <c r="B724" s="1" t="s">
        <v>0</v>
      </c>
      <c r="C724" s="1" t="s">
        <v>1</v>
      </c>
      <c r="D724" s="1" t="s">
        <v>9251</v>
      </c>
      <c r="E724" s="1" t="s">
        <v>9252</v>
      </c>
      <c r="F724" s="1" t="s">
        <v>9253</v>
      </c>
      <c r="H724" s="2" t="s">
        <v>8</v>
      </c>
      <c r="I724" s="2" t="s">
        <v>7</v>
      </c>
      <c r="J724" s="2" t="s">
        <v>8</v>
      </c>
      <c r="K724" s="2" t="s">
        <v>8</v>
      </c>
      <c r="L724" s="2" t="s">
        <v>9</v>
      </c>
      <c r="M724" s="1" t="s">
        <v>4245</v>
      </c>
      <c r="N724" s="1" t="s">
        <v>9254</v>
      </c>
      <c r="O724" s="2" t="s">
        <v>907</v>
      </c>
      <c r="Q724" s="2" t="s">
        <v>12</v>
      </c>
      <c r="R724" s="2" t="s">
        <v>520</v>
      </c>
      <c r="T724" s="2" t="s">
        <v>14</v>
      </c>
      <c r="U724" s="3">
        <v>1</v>
      </c>
      <c r="V724" s="3">
        <v>1</v>
      </c>
      <c r="W724" s="4" t="s">
        <v>9255</v>
      </c>
      <c r="X724" s="4" t="s">
        <v>9255</v>
      </c>
      <c r="Y724" s="4" t="s">
        <v>6817</v>
      </c>
      <c r="Z724" s="4" t="s">
        <v>6817</v>
      </c>
      <c r="AA724" s="3">
        <v>42</v>
      </c>
      <c r="AB724" s="3">
        <v>40</v>
      </c>
      <c r="AC724" s="3">
        <v>42</v>
      </c>
      <c r="AD724" s="3">
        <v>1</v>
      </c>
      <c r="AE724" s="3">
        <v>1</v>
      </c>
      <c r="AF724" s="3">
        <v>1</v>
      </c>
      <c r="AG724" s="3">
        <v>1</v>
      </c>
      <c r="AH724" s="3">
        <v>0</v>
      </c>
      <c r="AI724" s="3">
        <v>0</v>
      </c>
      <c r="AJ724" s="3">
        <v>0</v>
      </c>
      <c r="AK724" s="3">
        <v>0</v>
      </c>
      <c r="AL724" s="3">
        <v>1</v>
      </c>
      <c r="AM724" s="3">
        <v>1</v>
      </c>
      <c r="AN724" s="3">
        <v>0</v>
      </c>
      <c r="AO724" s="3">
        <v>0</v>
      </c>
      <c r="AP724" s="3">
        <v>0</v>
      </c>
      <c r="AQ724" s="3">
        <v>0</v>
      </c>
      <c r="AR724" s="2" t="s">
        <v>8</v>
      </c>
      <c r="AS724" s="2" t="s">
        <v>6</v>
      </c>
      <c r="AT724" s="5" t="str">
        <f>HYPERLINK("http://catalog.hathitrust.org/Record/010662567","HathiTrust Record")</f>
        <v>HathiTrust Record</v>
      </c>
      <c r="AU724" s="5" t="str">
        <f>HYPERLINK("https://creighton-primo.hosted.exlibrisgroup.com/primo-explore/search?tab=default_tab&amp;search_scope=EVERYTHING&amp;vid=01CRU&amp;lang=en_US&amp;offset=0&amp;query=any,contains,991000379699702656","Catalog Record")</f>
        <v>Catalog Record</v>
      </c>
      <c r="AV724" s="5" t="str">
        <f>HYPERLINK("http://www.worldcat.org/oclc/45404300","WorldCat Record")</f>
        <v>WorldCat Record</v>
      </c>
      <c r="AW724" s="2" t="s">
        <v>9256</v>
      </c>
      <c r="AX724" s="2" t="s">
        <v>9257</v>
      </c>
      <c r="AY724" s="2" t="s">
        <v>9258</v>
      </c>
      <c r="AZ724" s="2" t="s">
        <v>9258</v>
      </c>
      <c r="BA724" s="2" t="s">
        <v>9259</v>
      </c>
      <c r="BB724" s="2" t="s">
        <v>21</v>
      </c>
      <c r="BD724" s="2" t="s">
        <v>9260</v>
      </c>
      <c r="BE724" s="2" t="s">
        <v>9261</v>
      </c>
      <c r="BF724" s="2" t="s">
        <v>9262</v>
      </c>
    </row>
    <row r="725" spans="1:58" ht="42.75" customHeight="1" x14ac:dyDescent="0.25">
      <c r="A725" s="8" t="s">
        <v>8</v>
      </c>
      <c r="B725" s="1" t="s">
        <v>0</v>
      </c>
      <c r="C725" s="1" t="s">
        <v>1</v>
      </c>
      <c r="D725" s="1" t="s">
        <v>9263</v>
      </c>
      <c r="E725" s="1" t="s">
        <v>9264</v>
      </c>
      <c r="F725" s="1" t="s">
        <v>9265</v>
      </c>
      <c r="H725" s="2" t="s">
        <v>8</v>
      </c>
      <c r="I725" s="2" t="s">
        <v>7</v>
      </c>
      <c r="J725" s="2" t="s">
        <v>8</v>
      </c>
      <c r="K725" s="2" t="s">
        <v>8</v>
      </c>
      <c r="L725" s="2" t="s">
        <v>9</v>
      </c>
      <c r="M725" s="1" t="s">
        <v>9266</v>
      </c>
      <c r="N725" s="1" t="s">
        <v>9267</v>
      </c>
      <c r="O725" s="2" t="s">
        <v>224</v>
      </c>
      <c r="P725" s="1" t="s">
        <v>9268</v>
      </c>
      <c r="Q725" s="2" t="s">
        <v>12</v>
      </c>
      <c r="R725" s="2" t="s">
        <v>34</v>
      </c>
      <c r="T725" s="2" t="s">
        <v>14</v>
      </c>
      <c r="U725" s="3">
        <v>3</v>
      </c>
      <c r="V725" s="3">
        <v>3</v>
      </c>
      <c r="W725" s="4" t="s">
        <v>7774</v>
      </c>
      <c r="X725" s="4" t="s">
        <v>7774</v>
      </c>
      <c r="Y725" s="4" t="s">
        <v>9123</v>
      </c>
      <c r="Z725" s="4" t="s">
        <v>9123</v>
      </c>
      <c r="AA725" s="3">
        <v>63</v>
      </c>
      <c r="AB725" s="3">
        <v>57</v>
      </c>
      <c r="AC725" s="3">
        <v>106</v>
      </c>
      <c r="AD725" s="3">
        <v>1</v>
      </c>
      <c r="AE725" s="3">
        <v>1</v>
      </c>
      <c r="AF725" s="3">
        <v>0</v>
      </c>
      <c r="AG725" s="3">
        <v>0</v>
      </c>
      <c r="AH725" s="3">
        <v>0</v>
      </c>
      <c r="AI725" s="3">
        <v>0</v>
      </c>
      <c r="AJ725" s="3">
        <v>0</v>
      </c>
      <c r="AK725" s="3">
        <v>0</v>
      </c>
      <c r="AL725" s="3">
        <v>0</v>
      </c>
      <c r="AM725" s="3">
        <v>0</v>
      </c>
      <c r="AN725" s="3">
        <v>0</v>
      </c>
      <c r="AO725" s="3">
        <v>0</v>
      </c>
      <c r="AP725" s="3">
        <v>0</v>
      </c>
      <c r="AQ725" s="3">
        <v>0</v>
      </c>
      <c r="AR725" s="2" t="s">
        <v>8</v>
      </c>
      <c r="AS725" s="2" t="s">
        <v>8</v>
      </c>
      <c r="AU725" s="5" t="str">
        <f>HYPERLINK("https://creighton-primo.hosted.exlibrisgroup.com/primo-explore/search?tab=default_tab&amp;search_scope=EVERYTHING&amp;vid=01CRU&amp;lang=en_US&amp;offset=0&amp;query=any,contains,991000655079702656","Catalog Record")</f>
        <v>Catalog Record</v>
      </c>
      <c r="AV725" s="5" t="str">
        <f>HYPERLINK("http://www.worldcat.org/oclc/6379013","WorldCat Record")</f>
        <v>WorldCat Record</v>
      </c>
      <c r="AW725" s="2" t="s">
        <v>9269</v>
      </c>
      <c r="AX725" s="2" t="s">
        <v>9270</v>
      </c>
      <c r="AY725" s="2" t="s">
        <v>9271</v>
      </c>
      <c r="AZ725" s="2" t="s">
        <v>9271</v>
      </c>
      <c r="BA725" s="2" t="s">
        <v>9272</v>
      </c>
      <c r="BB725" s="2" t="s">
        <v>21</v>
      </c>
      <c r="BE725" s="2" t="s">
        <v>9273</v>
      </c>
      <c r="BF725" s="2" t="s">
        <v>9274</v>
      </c>
    </row>
    <row r="726" spans="1:58" ht="42.75" customHeight="1" x14ac:dyDescent="0.25">
      <c r="A726" s="8" t="s">
        <v>8</v>
      </c>
      <c r="B726" s="1" t="s">
        <v>0</v>
      </c>
      <c r="C726" s="1" t="s">
        <v>1</v>
      </c>
      <c r="D726" s="1" t="s">
        <v>9275</v>
      </c>
      <c r="E726" s="1" t="s">
        <v>9276</v>
      </c>
      <c r="F726" s="1" t="s">
        <v>9277</v>
      </c>
      <c r="H726" s="2" t="s">
        <v>8</v>
      </c>
      <c r="I726" s="2" t="s">
        <v>7</v>
      </c>
      <c r="J726" s="2" t="s">
        <v>8</v>
      </c>
      <c r="K726" s="2" t="s">
        <v>8</v>
      </c>
      <c r="L726" s="2" t="s">
        <v>9</v>
      </c>
      <c r="M726" s="1" t="s">
        <v>9278</v>
      </c>
      <c r="N726" s="1" t="s">
        <v>9279</v>
      </c>
      <c r="O726" s="2" t="s">
        <v>51</v>
      </c>
      <c r="Q726" s="2" t="s">
        <v>12</v>
      </c>
      <c r="R726" s="2" t="s">
        <v>34</v>
      </c>
      <c r="T726" s="2" t="s">
        <v>14</v>
      </c>
      <c r="U726" s="3">
        <v>14</v>
      </c>
      <c r="V726" s="3">
        <v>14</v>
      </c>
      <c r="W726" s="4" t="s">
        <v>9161</v>
      </c>
      <c r="X726" s="4" t="s">
        <v>9161</v>
      </c>
      <c r="Y726" s="4" t="s">
        <v>9280</v>
      </c>
      <c r="Z726" s="4" t="s">
        <v>9280</v>
      </c>
      <c r="AA726" s="3">
        <v>67</v>
      </c>
      <c r="AB726" s="3">
        <v>61</v>
      </c>
      <c r="AC726" s="3">
        <v>61</v>
      </c>
      <c r="AD726" s="3">
        <v>1</v>
      </c>
      <c r="AE726" s="3">
        <v>1</v>
      </c>
      <c r="AF726" s="3">
        <v>2</v>
      </c>
      <c r="AG726" s="3">
        <v>2</v>
      </c>
      <c r="AH726" s="3">
        <v>0</v>
      </c>
      <c r="AI726" s="3">
        <v>0</v>
      </c>
      <c r="AJ726" s="3">
        <v>0</v>
      </c>
      <c r="AK726" s="3">
        <v>0</v>
      </c>
      <c r="AL726" s="3">
        <v>0</v>
      </c>
      <c r="AM726" s="3">
        <v>0</v>
      </c>
      <c r="AN726" s="3">
        <v>0</v>
      </c>
      <c r="AO726" s="3">
        <v>0</v>
      </c>
      <c r="AP726" s="3">
        <v>2</v>
      </c>
      <c r="AQ726" s="3">
        <v>2</v>
      </c>
      <c r="AR726" s="2" t="s">
        <v>8</v>
      </c>
      <c r="AS726" s="2" t="s">
        <v>8</v>
      </c>
      <c r="AU726" s="5" t="str">
        <f>HYPERLINK("https://creighton-primo.hosted.exlibrisgroup.com/primo-explore/search?tab=default_tab&amp;search_scope=EVERYTHING&amp;vid=01CRU&amp;lang=en_US&amp;offset=0&amp;query=any,contains,991001311079702656","Catalog Record")</f>
        <v>Catalog Record</v>
      </c>
      <c r="AV726" s="5" t="str">
        <f>HYPERLINK("http://www.worldcat.org/oclc/18191844","WorldCat Record")</f>
        <v>WorldCat Record</v>
      </c>
      <c r="AW726" s="2" t="s">
        <v>9281</v>
      </c>
      <c r="AX726" s="2" t="s">
        <v>9282</v>
      </c>
      <c r="AY726" s="2" t="s">
        <v>9283</v>
      </c>
      <c r="AZ726" s="2" t="s">
        <v>9283</v>
      </c>
      <c r="BA726" s="2" t="s">
        <v>9284</v>
      </c>
      <c r="BB726" s="2" t="s">
        <v>21</v>
      </c>
      <c r="BD726" s="2" t="s">
        <v>9285</v>
      </c>
      <c r="BE726" s="2" t="s">
        <v>9286</v>
      </c>
      <c r="BF726" s="2" t="s">
        <v>9287</v>
      </c>
    </row>
    <row r="727" spans="1:58" ht="42.75" customHeight="1" x14ac:dyDescent="0.25">
      <c r="A727" s="8" t="s">
        <v>8</v>
      </c>
      <c r="B727" s="1" t="s">
        <v>0</v>
      </c>
      <c r="C727" s="1" t="s">
        <v>1</v>
      </c>
      <c r="D727" s="1" t="s">
        <v>9288</v>
      </c>
      <c r="E727" s="1" t="s">
        <v>9289</v>
      </c>
      <c r="F727" s="1" t="s">
        <v>9290</v>
      </c>
      <c r="H727" s="2" t="s">
        <v>8</v>
      </c>
      <c r="I727" s="2" t="s">
        <v>7</v>
      </c>
      <c r="J727" s="2" t="s">
        <v>8</v>
      </c>
      <c r="K727" s="2" t="s">
        <v>8</v>
      </c>
      <c r="L727" s="2" t="s">
        <v>9</v>
      </c>
      <c r="M727" s="1" t="s">
        <v>9291</v>
      </c>
      <c r="N727" s="1" t="s">
        <v>9254</v>
      </c>
      <c r="O727" s="2" t="s">
        <v>907</v>
      </c>
      <c r="Q727" s="2" t="s">
        <v>12</v>
      </c>
      <c r="R727" s="2" t="s">
        <v>520</v>
      </c>
      <c r="T727" s="2" t="s">
        <v>14</v>
      </c>
      <c r="U727" s="3">
        <v>0</v>
      </c>
      <c r="V727" s="3">
        <v>0</v>
      </c>
      <c r="W727" s="4" t="s">
        <v>9148</v>
      </c>
      <c r="X727" s="4" t="s">
        <v>9148</v>
      </c>
      <c r="Y727" s="4" t="s">
        <v>8507</v>
      </c>
      <c r="Z727" s="4" t="s">
        <v>8507</v>
      </c>
      <c r="AA727" s="3">
        <v>30</v>
      </c>
      <c r="AB727" s="3">
        <v>30</v>
      </c>
      <c r="AC727" s="3">
        <v>32</v>
      </c>
      <c r="AD727" s="3">
        <v>1</v>
      </c>
      <c r="AE727" s="3">
        <v>1</v>
      </c>
      <c r="AF727" s="3">
        <v>1</v>
      </c>
      <c r="AG727" s="3">
        <v>1</v>
      </c>
      <c r="AH727" s="3">
        <v>0</v>
      </c>
      <c r="AI727" s="3">
        <v>0</v>
      </c>
      <c r="AJ727" s="3">
        <v>0</v>
      </c>
      <c r="AK727" s="3">
        <v>0</v>
      </c>
      <c r="AL727" s="3">
        <v>1</v>
      </c>
      <c r="AM727" s="3">
        <v>1</v>
      </c>
      <c r="AN727" s="3">
        <v>0</v>
      </c>
      <c r="AO727" s="3">
        <v>0</v>
      </c>
      <c r="AP727" s="3">
        <v>0</v>
      </c>
      <c r="AQ727" s="3">
        <v>0</v>
      </c>
      <c r="AR727" s="2" t="s">
        <v>8</v>
      </c>
      <c r="AS727" s="2" t="s">
        <v>6</v>
      </c>
      <c r="AT727" s="5" t="str">
        <f>HYPERLINK("http://catalog.hathitrust.org/Record/003607917","HathiTrust Record")</f>
        <v>HathiTrust Record</v>
      </c>
      <c r="AU727" s="5" t="str">
        <f>HYPERLINK("https://creighton-primo.hosted.exlibrisgroup.com/primo-explore/search?tab=default_tab&amp;search_scope=EVERYTHING&amp;vid=01CRU&amp;lang=en_US&amp;offset=0&amp;query=any,contains,991000358139702656","Catalog Record")</f>
        <v>Catalog Record</v>
      </c>
      <c r="AV727" s="5" t="str">
        <f>HYPERLINK("http://www.worldcat.org/oclc/45266022","WorldCat Record")</f>
        <v>WorldCat Record</v>
      </c>
      <c r="AW727" s="2" t="s">
        <v>9292</v>
      </c>
      <c r="AX727" s="2" t="s">
        <v>9293</v>
      </c>
      <c r="AY727" s="2" t="s">
        <v>9294</v>
      </c>
      <c r="AZ727" s="2" t="s">
        <v>9294</v>
      </c>
      <c r="BA727" s="2" t="s">
        <v>9295</v>
      </c>
      <c r="BB727" s="2" t="s">
        <v>21</v>
      </c>
      <c r="BD727" s="2" t="s">
        <v>9296</v>
      </c>
      <c r="BE727" s="2" t="s">
        <v>9297</v>
      </c>
      <c r="BF727" s="2" t="s">
        <v>9298</v>
      </c>
    </row>
    <row r="728" spans="1:58" ht="42.75" customHeight="1" x14ac:dyDescent="0.25">
      <c r="A728" s="8" t="s">
        <v>8</v>
      </c>
      <c r="B728" s="1" t="s">
        <v>0</v>
      </c>
      <c r="C728" s="1" t="s">
        <v>1</v>
      </c>
      <c r="D728" s="1" t="s">
        <v>9299</v>
      </c>
      <c r="E728" s="1" t="s">
        <v>9300</v>
      </c>
      <c r="F728" s="1" t="s">
        <v>9301</v>
      </c>
      <c r="H728" s="2" t="s">
        <v>8</v>
      </c>
      <c r="I728" s="2" t="s">
        <v>7</v>
      </c>
      <c r="J728" s="2" t="s">
        <v>8</v>
      </c>
      <c r="K728" s="2" t="s">
        <v>8</v>
      </c>
      <c r="L728" s="2" t="s">
        <v>7</v>
      </c>
      <c r="M728" s="1" t="s">
        <v>9302</v>
      </c>
      <c r="N728" s="1" t="s">
        <v>9303</v>
      </c>
      <c r="O728" s="2" t="s">
        <v>959</v>
      </c>
      <c r="Q728" s="2" t="s">
        <v>12</v>
      </c>
      <c r="R728" s="2" t="s">
        <v>643</v>
      </c>
      <c r="S728" s="1" t="s">
        <v>3686</v>
      </c>
      <c r="T728" s="2" t="s">
        <v>14</v>
      </c>
      <c r="U728" s="3">
        <v>4</v>
      </c>
      <c r="V728" s="3">
        <v>4</v>
      </c>
      <c r="W728" s="4" t="s">
        <v>9087</v>
      </c>
      <c r="X728" s="4" t="s">
        <v>9087</v>
      </c>
      <c r="Y728" s="4" t="s">
        <v>3833</v>
      </c>
      <c r="Z728" s="4" t="s">
        <v>3833</v>
      </c>
      <c r="AA728" s="3">
        <v>145</v>
      </c>
      <c r="AB728" s="3">
        <v>96</v>
      </c>
      <c r="AC728" s="3">
        <v>571</v>
      </c>
      <c r="AD728" s="3">
        <v>1</v>
      </c>
      <c r="AE728" s="3">
        <v>17</v>
      </c>
      <c r="AF728" s="3">
        <v>1</v>
      </c>
      <c r="AG728" s="3">
        <v>16</v>
      </c>
      <c r="AH728" s="3">
        <v>0</v>
      </c>
      <c r="AI728" s="3">
        <v>5</v>
      </c>
      <c r="AJ728" s="3">
        <v>0</v>
      </c>
      <c r="AK728" s="3">
        <v>1</v>
      </c>
      <c r="AL728" s="3">
        <v>1</v>
      </c>
      <c r="AM728" s="3">
        <v>5</v>
      </c>
      <c r="AN728" s="3">
        <v>0</v>
      </c>
      <c r="AO728" s="3">
        <v>8</v>
      </c>
      <c r="AP728" s="3">
        <v>0</v>
      </c>
      <c r="AQ728" s="3">
        <v>0</v>
      </c>
      <c r="AR728" s="2" t="s">
        <v>8</v>
      </c>
      <c r="AS728" s="2" t="s">
        <v>8</v>
      </c>
      <c r="AU728" s="5" t="str">
        <f>HYPERLINK("https://creighton-primo.hosted.exlibrisgroup.com/primo-explore/search?tab=default_tab&amp;search_scope=EVERYTHING&amp;vid=01CRU&amp;lang=en_US&amp;offset=0&amp;query=any,contains,991000462499702656","Catalog Record")</f>
        <v>Catalog Record</v>
      </c>
      <c r="AV728" s="5" t="str">
        <f>HYPERLINK("http://www.worldcat.org/oclc/55067876","WorldCat Record")</f>
        <v>WorldCat Record</v>
      </c>
      <c r="AW728" s="2" t="s">
        <v>9304</v>
      </c>
      <c r="AX728" s="2" t="s">
        <v>9305</v>
      </c>
      <c r="AY728" s="2" t="s">
        <v>9306</v>
      </c>
      <c r="AZ728" s="2" t="s">
        <v>9306</v>
      </c>
      <c r="BA728" s="2" t="s">
        <v>9307</v>
      </c>
      <c r="BB728" s="2" t="s">
        <v>21</v>
      </c>
      <c r="BD728" s="2" t="s">
        <v>9308</v>
      </c>
      <c r="BE728" s="2" t="s">
        <v>9309</v>
      </c>
      <c r="BF728" s="2" t="s">
        <v>9310</v>
      </c>
    </row>
    <row r="729" spans="1:58" ht="42.75" customHeight="1" x14ac:dyDescent="0.25">
      <c r="A729" s="8" t="s">
        <v>8</v>
      </c>
      <c r="B729" s="1" t="s">
        <v>0</v>
      </c>
      <c r="C729" s="1" t="s">
        <v>1</v>
      </c>
      <c r="D729" s="1" t="s">
        <v>9311</v>
      </c>
      <c r="E729" s="1" t="s">
        <v>9312</v>
      </c>
      <c r="F729" s="1" t="s">
        <v>9313</v>
      </c>
      <c r="H729" s="2" t="s">
        <v>8</v>
      </c>
      <c r="I729" s="2" t="s">
        <v>7</v>
      </c>
      <c r="J729" s="2" t="s">
        <v>8</v>
      </c>
      <c r="K729" s="2" t="s">
        <v>6</v>
      </c>
      <c r="L729" s="2" t="s">
        <v>9</v>
      </c>
      <c r="M729" s="1" t="s">
        <v>9314</v>
      </c>
      <c r="N729" s="1" t="s">
        <v>9315</v>
      </c>
      <c r="O729" s="2" t="s">
        <v>673</v>
      </c>
      <c r="P729" s="1" t="s">
        <v>1537</v>
      </c>
      <c r="Q729" s="2" t="s">
        <v>12</v>
      </c>
      <c r="R729" s="2" t="s">
        <v>774</v>
      </c>
      <c r="T729" s="2" t="s">
        <v>14</v>
      </c>
      <c r="U729" s="3">
        <v>0</v>
      </c>
      <c r="V729" s="3">
        <v>0</v>
      </c>
      <c r="W729" s="4" t="s">
        <v>5712</v>
      </c>
      <c r="X729" s="4" t="s">
        <v>5712</v>
      </c>
      <c r="Y729" s="4" t="s">
        <v>9316</v>
      </c>
      <c r="Z729" s="4" t="s">
        <v>9316</v>
      </c>
      <c r="AA729" s="3">
        <v>58</v>
      </c>
      <c r="AB729" s="3">
        <v>43</v>
      </c>
      <c r="AC729" s="3">
        <v>182</v>
      </c>
      <c r="AD729" s="3">
        <v>1</v>
      </c>
      <c r="AE729" s="3">
        <v>1</v>
      </c>
      <c r="AF729" s="3">
        <v>0</v>
      </c>
      <c r="AG729" s="3">
        <v>0</v>
      </c>
      <c r="AH729" s="3">
        <v>0</v>
      </c>
      <c r="AI729" s="3">
        <v>0</v>
      </c>
      <c r="AJ729" s="3">
        <v>0</v>
      </c>
      <c r="AK729" s="3">
        <v>0</v>
      </c>
      <c r="AL729" s="3">
        <v>0</v>
      </c>
      <c r="AM729" s="3">
        <v>0</v>
      </c>
      <c r="AN729" s="3">
        <v>0</v>
      </c>
      <c r="AO729" s="3">
        <v>0</v>
      </c>
      <c r="AP729" s="3">
        <v>0</v>
      </c>
      <c r="AQ729" s="3">
        <v>0</v>
      </c>
      <c r="AR729" s="2" t="s">
        <v>8</v>
      </c>
      <c r="AS729" s="2" t="s">
        <v>8</v>
      </c>
      <c r="AU729" s="5" t="str">
        <f>HYPERLINK("https://creighton-primo.hosted.exlibrisgroup.com/primo-explore/search?tab=default_tab&amp;search_scope=EVERYTHING&amp;vid=01CRU&amp;lang=en_US&amp;offset=0&amp;query=any,contains,991000909029702656","Catalog Record")</f>
        <v>Catalog Record</v>
      </c>
      <c r="AV729" s="5" t="str">
        <f>HYPERLINK("http://www.worldcat.org/oclc/182912811","WorldCat Record")</f>
        <v>WorldCat Record</v>
      </c>
      <c r="AW729" s="2" t="s">
        <v>9317</v>
      </c>
      <c r="AX729" s="2" t="s">
        <v>9318</v>
      </c>
      <c r="AY729" s="2" t="s">
        <v>9319</v>
      </c>
      <c r="AZ729" s="2" t="s">
        <v>9319</v>
      </c>
      <c r="BA729" s="2" t="s">
        <v>9320</v>
      </c>
      <c r="BB729" s="2" t="s">
        <v>21</v>
      </c>
      <c r="BD729" s="2" t="s">
        <v>9321</v>
      </c>
      <c r="BE729" s="2" t="s">
        <v>9322</v>
      </c>
      <c r="BF729" s="2" t="s">
        <v>9323</v>
      </c>
    </row>
    <row r="730" spans="1:58" ht="42.75" customHeight="1" x14ac:dyDescent="0.25">
      <c r="A730" s="8" t="s">
        <v>8</v>
      </c>
      <c r="B730" s="1" t="s">
        <v>0</v>
      </c>
      <c r="C730" s="1" t="s">
        <v>1</v>
      </c>
      <c r="D730" s="1" t="s">
        <v>9324</v>
      </c>
      <c r="E730" s="1" t="s">
        <v>9325</v>
      </c>
      <c r="F730" s="1" t="s">
        <v>9326</v>
      </c>
      <c r="H730" s="2" t="s">
        <v>8</v>
      </c>
      <c r="I730" s="2" t="s">
        <v>7</v>
      </c>
      <c r="J730" s="2" t="s">
        <v>8</v>
      </c>
      <c r="K730" s="2" t="s">
        <v>8</v>
      </c>
      <c r="L730" s="2" t="s">
        <v>7</v>
      </c>
      <c r="M730" s="1" t="s">
        <v>9327</v>
      </c>
      <c r="N730" s="1" t="s">
        <v>9328</v>
      </c>
      <c r="O730" s="2" t="s">
        <v>673</v>
      </c>
      <c r="Q730" s="2" t="s">
        <v>12</v>
      </c>
      <c r="R730" s="2" t="s">
        <v>815</v>
      </c>
      <c r="T730" s="2" t="s">
        <v>14</v>
      </c>
      <c r="U730" s="3">
        <v>1</v>
      </c>
      <c r="V730" s="3">
        <v>1</v>
      </c>
      <c r="W730" s="4" t="s">
        <v>9329</v>
      </c>
      <c r="X730" s="4" t="s">
        <v>9329</v>
      </c>
      <c r="Y730" s="4" t="s">
        <v>9330</v>
      </c>
      <c r="Z730" s="4" t="s">
        <v>9330</v>
      </c>
      <c r="AA730" s="3">
        <v>383</v>
      </c>
      <c r="AB730" s="3">
        <v>330</v>
      </c>
      <c r="AC730" s="3">
        <v>1162</v>
      </c>
      <c r="AD730" s="3">
        <v>1</v>
      </c>
      <c r="AE730" s="3">
        <v>13</v>
      </c>
      <c r="AF730" s="3">
        <v>18</v>
      </c>
      <c r="AG730" s="3">
        <v>51</v>
      </c>
      <c r="AH730" s="3">
        <v>8</v>
      </c>
      <c r="AI730" s="3">
        <v>16</v>
      </c>
      <c r="AJ730" s="3">
        <v>4</v>
      </c>
      <c r="AK730" s="3">
        <v>11</v>
      </c>
      <c r="AL730" s="3">
        <v>7</v>
      </c>
      <c r="AM730" s="3">
        <v>18</v>
      </c>
      <c r="AN730" s="3">
        <v>0</v>
      </c>
      <c r="AO730" s="3">
        <v>11</v>
      </c>
      <c r="AP730" s="3">
        <v>2</v>
      </c>
      <c r="AQ730" s="3">
        <v>4</v>
      </c>
      <c r="AR730" s="2" t="s">
        <v>8</v>
      </c>
      <c r="AS730" s="2" t="s">
        <v>8</v>
      </c>
      <c r="AU730" s="5" t="str">
        <f>HYPERLINK("https://creighton-primo.hosted.exlibrisgroup.com/primo-explore/search?tab=default_tab&amp;search_scope=EVERYTHING&amp;vid=01CRU&amp;lang=en_US&amp;offset=0&amp;query=any,contains,991000658609702656","Catalog Record")</f>
        <v>Catalog Record</v>
      </c>
      <c r="AV730" s="5" t="str">
        <f>HYPERLINK("http://www.worldcat.org/oclc/70164452","WorldCat Record")</f>
        <v>WorldCat Record</v>
      </c>
      <c r="AW730" s="2" t="s">
        <v>9331</v>
      </c>
      <c r="AX730" s="2" t="s">
        <v>9332</v>
      </c>
      <c r="AY730" s="2" t="s">
        <v>9333</v>
      </c>
      <c r="AZ730" s="2" t="s">
        <v>9333</v>
      </c>
      <c r="BA730" s="2" t="s">
        <v>9334</v>
      </c>
      <c r="BB730" s="2" t="s">
        <v>21</v>
      </c>
      <c r="BD730" s="2" t="s">
        <v>9335</v>
      </c>
      <c r="BE730" s="2" t="s">
        <v>9336</v>
      </c>
      <c r="BF730" s="2" t="s">
        <v>9337</v>
      </c>
    </row>
    <row r="731" spans="1:58" ht="42.75" customHeight="1" x14ac:dyDescent="0.25">
      <c r="A731" s="8" t="s">
        <v>8</v>
      </c>
      <c r="B731" s="1" t="s">
        <v>0</v>
      </c>
      <c r="C731" s="1" t="s">
        <v>1</v>
      </c>
      <c r="D731" s="1" t="s">
        <v>9338</v>
      </c>
      <c r="E731" s="1" t="s">
        <v>9339</v>
      </c>
      <c r="F731" s="1" t="s">
        <v>9340</v>
      </c>
      <c r="H731" s="2" t="s">
        <v>8</v>
      </c>
      <c r="I731" s="2" t="s">
        <v>7</v>
      </c>
      <c r="J731" s="2" t="s">
        <v>8</v>
      </c>
      <c r="K731" s="2" t="s">
        <v>8</v>
      </c>
      <c r="L731" s="2" t="s">
        <v>9</v>
      </c>
      <c r="N731" s="1" t="s">
        <v>9341</v>
      </c>
      <c r="O731" s="2" t="s">
        <v>657</v>
      </c>
      <c r="Q731" s="2" t="s">
        <v>12</v>
      </c>
      <c r="R731" s="2" t="s">
        <v>456</v>
      </c>
      <c r="T731" s="2" t="s">
        <v>14</v>
      </c>
      <c r="U731" s="3">
        <v>2</v>
      </c>
      <c r="V731" s="3">
        <v>2</v>
      </c>
      <c r="W731" s="4" t="s">
        <v>9342</v>
      </c>
      <c r="X731" s="4" t="s">
        <v>9342</v>
      </c>
      <c r="Y731" s="4" t="s">
        <v>196</v>
      </c>
      <c r="Z731" s="4" t="s">
        <v>196</v>
      </c>
      <c r="AA731" s="3">
        <v>100</v>
      </c>
      <c r="AB731" s="3">
        <v>86</v>
      </c>
      <c r="AC731" s="3">
        <v>98</v>
      </c>
      <c r="AD731" s="3">
        <v>1</v>
      </c>
      <c r="AE731" s="3">
        <v>1</v>
      </c>
      <c r="AF731" s="3">
        <v>2</v>
      </c>
      <c r="AG731" s="3">
        <v>2</v>
      </c>
      <c r="AH731" s="3">
        <v>1</v>
      </c>
      <c r="AI731" s="3">
        <v>1</v>
      </c>
      <c r="AJ731" s="3">
        <v>1</v>
      </c>
      <c r="AK731" s="3">
        <v>1</v>
      </c>
      <c r="AL731" s="3">
        <v>0</v>
      </c>
      <c r="AM731" s="3">
        <v>0</v>
      </c>
      <c r="AN731" s="3">
        <v>0</v>
      </c>
      <c r="AO731" s="3">
        <v>0</v>
      </c>
      <c r="AP731" s="3">
        <v>0</v>
      </c>
      <c r="AQ731" s="3">
        <v>0</v>
      </c>
      <c r="AR731" s="2" t="s">
        <v>8</v>
      </c>
      <c r="AS731" s="2" t="s">
        <v>6</v>
      </c>
      <c r="AT731" s="5" t="str">
        <f>HYPERLINK("http://catalog.hathitrust.org/Record/003594311","HathiTrust Record")</f>
        <v>HathiTrust Record</v>
      </c>
      <c r="AU731" s="5" t="str">
        <f>HYPERLINK("https://creighton-primo.hosted.exlibrisgroup.com/primo-explore/search?tab=default_tab&amp;search_scope=EVERYTHING&amp;vid=01CRU&amp;lang=en_US&amp;offset=0&amp;query=any,contains,991000316199702656","Catalog Record")</f>
        <v>Catalog Record</v>
      </c>
      <c r="AV731" s="5" t="str">
        <f>HYPERLINK("http://www.worldcat.org/oclc/45618952","WorldCat Record")</f>
        <v>WorldCat Record</v>
      </c>
      <c r="AW731" s="2" t="s">
        <v>9343</v>
      </c>
      <c r="AX731" s="2" t="s">
        <v>9344</v>
      </c>
      <c r="AY731" s="2" t="s">
        <v>9345</v>
      </c>
      <c r="AZ731" s="2" t="s">
        <v>9345</v>
      </c>
      <c r="BA731" s="2" t="s">
        <v>9346</v>
      </c>
      <c r="BB731" s="2" t="s">
        <v>21</v>
      </c>
      <c r="BD731" s="2" t="s">
        <v>9347</v>
      </c>
      <c r="BE731" s="2" t="s">
        <v>9348</v>
      </c>
      <c r="BF731" s="2" t="s">
        <v>9349</v>
      </c>
    </row>
    <row r="732" spans="1:58" ht="42.75" customHeight="1" x14ac:dyDescent="0.25">
      <c r="A732" s="8" t="s">
        <v>8</v>
      </c>
      <c r="B732" s="1" t="s">
        <v>0</v>
      </c>
      <c r="C732" s="1" t="s">
        <v>1</v>
      </c>
      <c r="D732" s="1" t="s">
        <v>9350</v>
      </c>
      <c r="E732" s="1" t="s">
        <v>9351</v>
      </c>
      <c r="F732" s="1" t="s">
        <v>9352</v>
      </c>
      <c r="H732" s="2" t="s">
        <v>8</v>
      </c>
      <c r="I732" s="2" t="s">
        <v>7</v>
      </c>
      <c r="J732" s="2" t="s">
        <v>8</v>
      </c>
      <c r="K732" s="2" t="s">
        <v>8</v>
      </c>
      <c r="L732" s="2" t="s">
        <v>9</v>
      </c>
      <c r="N732" s="1" t="s">
        <v>9353</v>
      </c>
      <c r="O732" s="2" t="s">
        <v>830</v>
      </c>
      <c r="P732" s="1" t="s">
        <v>1225</v>
      </c>
      <c r="Q732" s="2" t="s">
        <v>12</v>
      </c>
      <c r="R732" s="2" t="s">
        <v>1170</v>
      </c>
      <c r="T732" s="2" t="s">
        <v>14</v>
      </c>
      <c r="U732" s="3">
        <v>2</v>
      </c>
      <c r="V732" s="3">
        <v>2</v>
      </c>
      <c r="W732" s="4" t="s">
        <v>9354</v>
      </c>
      <c r="X732" s="4" t="s">
        <v>9354</v>
      </c>
      <c r="Y732" s="4" t="s">
        <v>8507</v>
      </c>
      <c r="Z732" s="4" t="s">
        <v>8507</v>
      </c>
      <c r="AA732" s="3">
        <v>238</v>
      </c>
      <c r="AB732" s="3">
        <v>196</v>
      </c>
      <c r="AC732" s="3">
        <v>632</v>
      </c>
      <c r="AD732" s="3">
        <v>1</v>
      </c>
      <c r="AE732" s="3">
        <v>5</v>
      </c>
      <c r="AF732" s="3">
        <v>8</v>
      </c>
      <c r="AG732" s="3">
        <v>29</v>
      </c>
      <c r="AH732" s="3">
        <v>3</v>
      </c>
      <c r="AI732" s="3">
        <v>10</v>
      </c>
      <c r="AJ732" s="3">
        <v>2</v>
      </c>
      <c r="AK732" s="3">
        <v>8</v>
      </c>
      <c r="AL732" s="3">
        <v>7</v>
      </c>
      <c r="AM732" s="3">
        <v>13</v>
      </c>
      <c r="AN732" s="3">
        <v>0</v>
      </c>
      <c r="AO732" s="3">
        <v>4</v>
      </c>
      <c r="AP732" s="3">
        <v>0</v>
      </c>
      <c r="AQ732" s="3">
        <v>1</v>
      </c>
      <c r="AR732" s="2" t="s">
        <v>8</v>
      </c>
      <c r="AS732" s="2" t="s">
        <v>8</v>
      </c>
      <c r="AU732" s="5" t="str">
        <f>HYPERLINK("https://creighton-primo.hosted.exlibrisgroup.com/primo-explore/search?tab=default_tab&amp;search_scope=EVERYTHING&amp;vid=01CRU&amp;lang=en_US&amp;offset=0&amp;query=any,contains,991000358829702656","Catalog Record")</f>
        <v>Catalog Record</v>
      </c>
      <c r="AV732" s="5" t="str">
        <f>HYPERLINK("http://www.worldcat.org/oclc/51172043","WorldCat Record")</f>
        <v>WorldCat Record</v>
      </c>
      <c r="AW732" s="2" t="s">
        <v>9355</v>
      </c>
      <c r="AX732" s="2" t="s">
        <v>9356</v>
      </c>
      <c r="AY732" s="2" t="s">
        <v>9357</v>
      </c>
      <c r="AZ732" s="2" t="s">
        <v>9357</v>
      </c>
      <c r="BA732" s="2" t="s">
        <v>9358</v>
      </c>
      <c r="BB732" s="2" t="s">
        <v>21</v>
      </c>
      <c r="BD732" s="2" t="s">
        <v>9359</v>
      </c>
      <c r="BE732" s="2" t="s">
        <v>9360</v>
      </c>
      <c r="BF732" s="2" t="s">
        <v>9361</v>
      </c>
    </row>
    <row r="733" spans="1:58" ht="42.75" customHeight="1" x14ac:dyDescent="0.25">
      <c r="A733" s="8" t="s">
        <v>8</v>
      </c>
      <c r="B733" s="1" t="s">
        <v>0</v>
      </c>
      <c r="C733" s="1" t="s">
        <v>1</v>
      </c>
      <c r="D733" s="1" t="s">
        <v>9362</v>
      </c>
      <c r="E733" s="1" t="s">
        <v>9363</v>
      </c>
      <c r="F733" s="1" t="s">
        <v>9364</v>
      </c>
      <c r="H733" s="2" t="s">
        <v>8</v>
      </c>
      <c r="I733" s="2" t="s">
        <v>7</v>
      </c>
      <c r="J733" s="2" t="s">
        <v>8</v>
      </c>
      <c r="K733" s="2" t="s">
        <v>8</v>
      </c>
      <c r="L733" s="2" t="s">
        <v>9</v>
      </c>
      <c r="M733" s="1" t="s">
        <v>9365</v>
      </c>
      <c r="N733" s="1" t="s">
        <v>9366</v>
      </c>
      <c r="O733" s="2" t="s">
        <v>51</v>
      </c>
      <c r="Q733" s="2" t="s">
        <v>12</v>
      </c>
      <c r="R733" s="2" t="s">
        <v>34</v>
      </c>
      <c r="T733" s="2" t="s">
        <v>14</v>
      </c>
      <c r="U733" s="3">
        <v>10</v>
      </c>
      <c r="V733" s="3">
        <v>10</v>
      </c>
      <c r="W733" s="4" t="s">
        <v>9367</v>
      </c>
      <c r="X733" s="4" t="s">
        <v>9367</v>
      </c>
      <c r="Y733" s="4" t="s">
        <v>9368</v>
      </c>
      <c r="Z733" s="4" t="s">
        <v>9368</v>
      </c>
      <c r="AA733" s="3">
        <v>138</v>
      </c>
      <c r="AB733" s="3">
        <v>129</v>
      </c>
      <c r="AC733" s="3">
        <v>129</v>
      </c>
      <c r="AD733" s="3">
        <v>1</v>
      </c>
      <c r="AE733" s="3">
        <v>1</v>
      </c>
      <c r="AF733" s="3">
        <v>4</v>
      </c>
      <c r="AG733" s="3">
        <v>4</v>
      </c>
      <c r="AH733" s="3">
        <v>1</v>
      </c>
      <c r="AI733" s="3">
        <v>1</v>
      </c>
      <c r="AJ733" s="3">
        <v>2</v>
      </c>
      <c r="AK733" s="3">
        <v>2</v>
      </c>
      <c r="AL733" s="3">
        <v>2</v>
      </c>
      <c r="AM733" s="3">
        <v>2</v>
      </c>
      <c r="AN733" s="3">
        <v>0</v>
      </c>
      <c r="AO733" s="3">
        <v>0</v>
      </c>
      <c r="AP733" s="3">
        <v>1</v>
      </c>
      <c r="AQ733" s="3">
        <v>1</v>
      </c>
      <c r="AR733" s="2" t="s">
        <v>8</v>
      </c>
      <c r="AS733" s="2" t="s">
        <v>8</v>
      </c>
      <c r="AU733" s="5" t="str">
        <f>HYPERLINK("https://creighton-primo.hosted.exlibrisgroup.com/primo-explore/search?tab=default_tab&amp;search_scope=EVERYTHING&amp;vid=01CRU&amp;lang=en_US&amp;offset=0&amp;query=any,contains,991001248669702656","Catalog Record")</f>
        <v>Catalog Record</v>
      </c>
      <c r="AV733" s="5" t="str">
        <f>HYPERLINK("http://www.worldcat.org/oclc/17621412","WorldCat Record")</f>
        <v>WorldCat Record</v>
      </c>
      <c r="AW733" s="2" t="s">
        <v>9369</v>
      </c>
      <c r="AX733" s="2" t="s">
        <v>9370</v>
      </c>
      <c r="AY733" s="2" t="s">
        <v>9371</v>
      </c>
      <c r="AZ733" s="2" t="s">
        <v>9371</v>
      </c>
      <c r="BA733" s="2" t="s">
        <v>9372</v>
      </c>
      <c r="BB733" s="2" t="s">
        <v>21</v>
      </c>
      <c r="BD733" s="2" t="s">
        <v>9373</v>
      </c>
      <c r="BE733" s="2" t="s">
        <v>9374</v>
      </c>
      <c r="BF733" s="2" t="s">
        <v>9375</v>
      </c>
    </row>
    <row r="734" spans="1:58" ht="42.75" customHeight="1" x14ac:dyDescent="0.25">
      <c r="A734" s="8" t="s">
        <v>8</v>
      </c>
      <c r="B734" s="1" t="s">
        <v>0</v>
      </c>
      <c r="C734" s="1" t="s">
        <v>1</v>
      </c>
      <c r="D734" s="1" t="s">
        <v>9376</v>
      </c>
      <c r="E734" s="1" t="s">
        <v>9377</v>
      </c>
      <c r="F734" s="1" t="s">
        <v>9378</v>
      </c>
      <c r="H734" s="2" t="s">
        <v>8</v>
      </c>
      <c r="I734" s="2" t="s">
        <v>7</v>
      </c>
      <c r="J734" s="2" t="s">
        <v>8</v>
      </c>
      <c r="K734" s="2" t="s">
        <v>8</v>
      </c>
      <c r="L734" s="2" t="s">
        <v>9</v>
      </c>
      <c r="N734" s="1" t="s">
        <v>9379</v>
      </c>
      <c r="O734" s="2" t="s">
        <v>208</v>
      </c>
      <c r="Q734" s="2" t="s">
        <v>12</v>
      </c>
      <c r="R734" s="2" t="s">
        <v>774</v>
      </c>
      <c r="S734" s="1" t="s">
        <v>9380</v>
      </c>
      <c r="T734" s="2" t="s">
        <v>14</v>
      </c>
      <c r="U734" s="3">
        <v>2</v>
      </c>
      <c r="V734" s="3">
        <v>2</v>
      </c>
      <c r="W734" s="4" t="s">
        <v>1750</v>
      </c>
      <c r="X734" s="4" t="s">
        <v>1750</v>
      </c>
      <c r="Y734" s="4" t="s">
        <v>9381</v>
      </c>
      <c r="Z734" s="4" t="s">
        <v>9381</v>
      </c>
      <c r="AA734" s="3">
        <v>27</v>
      </c>
      <c r="AB734" s="3">
        <v>27</v>
      </c>
      <c r="AC734" s="3">
        <v>27</v>
      </c>
      <c r="AD734" s="3">
        <v>1</v>
      </c>
      <c r="AE734" s="3">
        <v>1</v>
      </c>
      <c r="AF734" s="3">
        <v>2</v>
      </c>
      <c r="AG734" s="3">
        <v>2</v>
      </c>
      <c r="AH734" s="3">
        <v>0</v>
      </c>
      <c r="AI734" s="3">
        <v>0</v>
      </c>
      <c r="AJ734" s="3">
        <v>1</v>
      </c>
      <c r="AK734" s="3">
        <v>1</v>
      </c>
      <c r="AL734" s="3">
        <v>2</v>
      </c>
      <c r="AM734" s="3">
        <v>2</v>
      </c>
      <c r="AN734" s="3">
        <v>0</v>
      </c>
      <c r="AO734" s="3">
        <v>0</v>
      </c>
      <c r="AP734" s="3">
        <v>0</v>
      </c>
      <c r="AQ734" s="3">
        <v>0</v>
      </c>
      <c r="AR734" s="2" t="s">
        <v>8</v>
      </c>
      <c r="AS734" s="2" t="s">
        <v>8</v>
      </c>
      <c r="AU734" s="5" t="str">
        <f>HYPERLINK("https://creighton-primo.hosted.exlibrisgroup.com/primo-explore/search?tab=default_tab&amp;search_scope=EVERYTHING&amp;vid=01CRU&amp;lang=en_US&amp;offset=0&amp;query=any,contains,991000177369702656","Catalog Record")</f>
        <v>Catalog Record</v>
      </c>
      <c r="AV734" s="5" t="str">
        <f>HYPERLINK("http://www.worldcat.org/oclc/5837729","WorldCat Record")</f>
        <v>WorldCat Record</v>
      </c>
      <c r="AW734" s="2" t="s">
        <v>9382</v>
      </c>
      <c r="AX734" s="2" t="s">
        <v>9383</v>
      </c>
      <c r="AY734" s="2" t="s">
        <v>9384</v>
      </c>
      <c r="AZ734" s="2" t="s">
        <v>9384</v>
      </c>
      <c r="BA734" s="2" t="s">
        <v>9385</v>
      </c>
      <c r="BB734" s="2" t="s">
        <v>21</v>
      </c>
      <c r="BE734" s="2" t="s">
        <v>9386</v>
      </c>
      <c r="BF734" s="2" t="s">
        <v>9387</v>
      </c>
    </row>
    <row r="735" spans="1:58" ht="42.75" customHeight="1" x14ac:dyDescent="0.25">
      <c r="A735" s="8" t="s">
        <v>8</v>
      </c>
      <c r="B735" s="1" t="s">
        <v>0</v>
      </c>
      <c r="C735" s="1" t="s">
        <v>1</v>
      </c>
      <c r="D735" s="1" t="s">
        <v>9388</v>
      </c>
      <c r="E735" s="1" t="s">
        <v>9389</v>
      </c>
      <c r="F735" s="1" t="s">
        <v>9390</v>
      </c>
      <c r="H735" s="2" t="s">
        <v>8</v>
      </c>
      <c r="I735" s="2" t="s">
        <v>7</v>
      </c>
      <c r="J735" s="2" t="s">
        <v>8</v>
      </c>
      <c r="K735" s="2" t="s">
        <v>8</v>
      </c>
      <c r="L735" s="2" t="s">
        <v>9</v>
      </c>
      <c r="M735" s="1" t="s">
        <v>9391</v>
      </c>
      <c r="N735" s="1" t="s">
        <v>9392</v>
      </c>
      <c r="O735" s="2" t="s">
        <v>2044</v>
      </c>
      <c r="Q735" s="2" t="s">
        <v>12</v>
      </c>
      <c r="R735" s="2" t="s">
        <v>1170</v>
      </c>
      <c r="T735" s="2" t="s">
        <v>14</v>
      </c>
      <c r="U735" s="3">
        <v>3</v>
      </c>
      <c r="V735" s="3">
        <v>3</v>
      </c>
      <c r="W735" s="4" t="s">
        <v>9393</v>
      </c>
      <c r="X735" s="4" t="s">
        <v>9393</v>
      </c>
      <c r="Y735" s="4" t="s">
        <v>1075</v>
      </c>
      <c r="Z735" s="4" t="s">
        <v>1075</v>
      </c>
      <c r="AA735" s="3">
        <v>138</v>
      </c>
      <c r="AB735" s="3">
        <v>126</v>
      </c>
      <c r="AC735" s="3">
        <v>762</v>
      </c>
      <c r="AD735" s="3">
        <v>3</v>
      </c>
      <c r="AE735" s="3">
        <v>9</v>
      </c>
      <c r="AF735" s="3">
        <v>7</v>
      </c>
      <c r="AG735" s="3">
        <v>40</v>
      </c>
      <c r="AH735" s="3">
        <v>1</v>
      </c>
      <c r="AI735" s="3">
        <v>14</v>
      </c>
      <c r="AJ735" s="3">
        <v>2</v>
      </c>
      <c r="AK735" s="3">
        <v>8</v>
      </c>
      <c r="AL735" s="3">
        <v>4</v>
      </c>
      <c r="AM735" s="3">
        <v>16</v>
      </c>
      <c r="AN735" s="3">
        <v>2</v>
      </c>
      <c r="AO735" s="3">
        <v>8</v>
      </c>
      <c r="AP735" s="3">
        <v>0</v>
      </c>
      <c r="AQ735" s="3">
        <v>2</v>
      </c>
      <c r="AR735" s="2" t="s">
        <v>8</v>
      </c>
      <c r="AS735" s="2" t="s">
        <v>6</v>
      </c>
      <c r="AT735" s="5" t="str">
        <f>HYPERLINK("http://catalog.hathitrust.org/Record/004210902","HathiTrust Record")</f>
        <v>HathiTrust Record</v>
      </c>
      <c r="AU735" s="5" t="str">
        <f>HYPERLINK("https://creighton-primo.hosted.exlibrisgroup.com/primo-explore/search?tab=default_tab&amp;search_scope=EVERYTHING&amp;vid=01CRU&amp;lang=en_US&amp;offset=0&amp;query=any,contains,991000321949702656","Catalog Record")</f>
        <v>Catalog Record</v>
      </c>
      <c r="AV735" s="5" t="str">
        <f>HYPERLINK("http://www.worldcat.org/oclc/47995897","WorldCat Record")</f>
        <v>WorldCat Record</v>
      </c>
      <c r="AW735" s="2" t="s">
        <v>9394</v>
      </c>
      <c r="AX735" s="2" t="s">
        <v>9395</v>
      </c>
      <c r="AY735" s="2" t="s">
        <v>9396</v>
      </c>
      <c r="AZ735" s="2" t="s">
        <v>9396</v>
      </c>
      <c r="BA735" s="2" t="s">
        <v>9397</v>
      </c>
      <c r="BB735" s="2" t="s">
        <v>21</v>
      </c>
      <c r="BD735" s="2" t="s">
        <v>9398</v>
      </c>
      <c r="BE735" s="2" t="s">
        <v>9399</v>
      </c>
      <c r="BF735" s="2" t="s">
        <v>9400</v>
      </c>
    </row>
    <row r="736" spans="1:58" ht="42.75" customHeight="1" x14ac:dyDescent="0.25">
      <c r="A736" s="8" t="s">
        <v>8</v>
      </c>
      <c r="B736" s="1" t="s">
        <v>0</v>
      </c>
      <c r="C736" s="1" t="s">
        <v>1</v>
      </c>
      <c r="D736" s="1" t="s">
        <v>9401</v>
      </c>
      <c r="E736" s="1" t="s">
        <v>9402</v>
      </c>
      <c r="F736" s="1" t="s">
        <v>9403</v>
      </c>
      <c r="H736" s="2" t="s">
        <v>8</v>
      </c>
      <c r="I736" s="2" t="s">
        <v>7</v>
      </c>
      <c r="J736" s="2" t="s">
        <v>8</v>
      </c>
      <c r="K736" s="2" t="s">
        <v>8</v>
      </c>
      <c r="L736" s="2" t="s">
        <v>9</v>
      </c>
      <c r="M736" s="1" t="s">
        <v>9404</v>
      </c>
      <c r="N736" s="1" t="s">
        <v>9405</v>
      </c>
      <c r="O736" s="2" t="s">
        <v>410</v>
      </c>
      <c r="P736" s="1" t="s">
        <v>83</v>
      </c>
      <c r="Q736" s="2" t="s">
        <v>12</v>
      </c>
      <c r="R736" s="2" t="s">
        <v>520</v>
      </c>
      <c r="T736" s="2" t="s">
        <v>14</v>
      </c>
      <c r="U736" s="3">
        <v>4</v>
      </c>
      <c r="V736" s="3">
        <v>4</v>
      </c>
      <c r="W736" s="4" t="s">
        <v>2351</v>
      </c>
      <c r="X736" s="4" t="s">
        <v>2351</v>
      </c>
      <c r="Y736" s="4" t="s">
        <v>9406</v>
      </c>
      <c r="Z736" s="4" t="s">
        <v>9406</v>
      </c>
      <c r="AA736" s="3">
        <v>239</v>
      </c>
      <c r="AB736" s="3">
        <v>229</v>
      </c>
      <c r="AC736" s="3">
        <v>274</v>
      </c>
      <c r="AD736" s="3">
        <v>2</v>
      </c>
      <c r="AE736" s="3">
        <v>3</v>
      </c>
      <c r="AF736" s="3">
        <v>8</v>
      </c>
      <c r="AG736" s="3">
        <v>11</v>
      </c>
      <c r="AH736" s="3">
        <v>2</v>
      </c>
      <c r="AI736" s="3">
        <v>3</v>
      </c>
      <c r="AJ736" s="3">
        <v>1</v>
      </c>
      <c r="AK736" s="3">
        <v>1</v>
      </c>
      <c r="AL736" s="3">
        <v>4</v>
      </c>
      <c r="AM736" s="3">
        <v>4</v>
      </c>
      <c r="AN736" s="3">
        <v>1</v>
      </c>
      <c r="AO736" s="3">
        <v>2</v>
      </c>
      <c r="AP736" s="3">
        <v>1</v>
      </c>
      <c r="AQ736" s="3">
        <v>2</v>
      </c>
      <c r="AR736" s="2" t="s">
        <v>8</v>
      </c>
      <c r="AS736" s="2" t="s">
        <v>8</v>
      </c>
      <c r="AU736" s="5" t="str">
        <f>HYPERLINK("https://creighton-primo.hosted.exlibrisgroup.com/primo-explore/search?tab=default_tab&amp;search_scope=EVERYTHING&amp;vid=01CRU&amp;lang=en_US&amp;offset=0&amp;query=any,contains,991001481449702656","Catalog Record")</f>
        <v>Catalog Record</v>
      </c>
      <c r="AV736" s="5" t="str">
        <f>HYPERLINK("http://www.worldcat.org/oclc/27728009","WorldCat Record")</f>
        <v>WorldCat Record</v>
      </c>
      <c r="AW736" s="2" t="s">
        <v>9407</v>
      </c>
      <c r="AX736" s="2" t="s">
        <v>9408</v>
      </c>
      <c r="AY736" s="2" t="s">
        <v>9409</v>
      </c>
      <c r="AZ736" s="2" t="s">
        <v>9409</v>
      </c>
      <c r="BA736" s="2" t="s">
        <v>9410</v>
      </c>
      <c r="BB736" s="2" t="s">
        <v>21</v>
      </c>
      <c r="BD736" s="2" t="s">
        <v>9411</v>
      </c>
      <c r="BE736" s="2" t="s">
        <v>9412</v>
      </c>
      <c r="BF736" s="2" t="s">
        <v>9413</v>
      </c>
    </row>
    <row r="737" spans="1:58" ht="42.75" customHeight="1" x14ac:dyDescent="0.25">
      <c r="A737" s="8" t="s">
        <v>8</v>
      </c>
      <c r="B737" s="1" t="s">
        <v>0</v>
      </c>
      <c r="C737" s="1" t="s">
        <v>1</v>
      </c>
      <c r="D737" s="1" t="s">
        <v>9414</v>
      </c>
      <c r="E737" s="1" t="s">
        <v>9415</v>
      </c>
      <c r="F737" s="1" t="s">
        <v>9416</v>
      </c>
      <c r="H737" s="2" t="s">
        <v>8</v>
      </c>
      <c r="I737" s="2" t="s">
        <v>7</v>
      </c>
      <c r="J737" s="2" t="s">
        <v>8</v>
      </c>
      <c r="K737" s="2" t="s">
        <v>8</v>
      </c>
      <c r="L737" s="2" t="s">
        <v>9</v>
      </c>
      <c r="N737" s="1" t="s">
        <v>9417</v>
      </c>
      <c r="O737" s="2" t="s">
        <v>657</v>
      </c>
      <c r="Q737" s="2" t="s">
        <v>12</v>
      </c>
      <c r="R737" s="2" t="s">
        <v>13</v>
      </c>
      <c r="T737" s="2" t="s">
        <v>14</v>
      </c>
      <c r="U737" s="3">
        <v>5</v>
      </c>
      <c r="V737" s="3">
        <v>5</v>
      </c>
      <c r="W737" s="4" t="s">
        <v>9418</v>
      </c>
      <c r="X737" s="4" t="s">
        <v>9418</v>
      </c>
      <c r="Y737" s="4" t="s">
        <v>9419</v>
      </c>
      <c r="Z737" s="4" t="s">
        <v>9419</v>
      </c>
      <c r="AA737" s="3">
        <v>188</v>
      </c>
      <c r="AB737" s="3">
        <v>148</v>
      </c>
      <c r="AC737" s="3">
        <v>934</v>
      </c>
      <c r="AD737" s="3">
        <v>1</v>
      </c>
      <c r="AE737" s="3">
        <v>2</v>
      </c>
      <c r="AF737" s="3">
        <v>8</v>
      </c>
      <c r="AG737" s="3">
        <v>22</v>
      </c>
      <c r="AH737" s="3">
        <v>2</v>
      </c>
      <c r="AI737" s="3">
        <v>8</v>
      </c>
      <c r="AJ737" s="3">
        <v>3</v>
      </c>
      <c r="AK737" s="3">
        <v>6</v>
      </c>
      <c r="AL737" s="3">
        <v>5</v>
      </c>
      <c r="AM737" s="3">
        <v>11</v>
      </c>
      <c r="AN737" s="3">
        <v>0</v>
      </c>
      <c r="AO737" s="3">
        <v>1</v>
      </c>
      <c r="AP737" s="3">
        <v>0</v>
      </c>
      <c r="AQ737" s="3">
        <v>0</v>
      </c>
      <c r="AR737" s="2" t="s">
        <v>8</v>
      </c>
      <c r="AS737" s="2" t="s">
        <v>8</v>
      </c>
      <c r="AU737" s="5" t="str">
        <f>HYPERLINK("https://creighton-primo.hosted.exlibrisgroup.com/primo-explore/search?tab=default_tab&amp;search_scope=EVERYTHING&amp;vid=01CRU&amp;lang=en_US&amp;offset=0&amp;query=any,contains,991000371149702656","Catalog Record")</f>
        <v>Catalog Record</v>
      </c>
      <c r="AV737" s="5" t="str">
        <f>HYPERLINK("http://www.worldcat.org/oclc/46384114","WorldCat Record")</f>
        <v>WorldCat Record</v>
      </c>
      <c r="AW737" s="2" t="s">
        <v>9420</v>
      </c>
      <c r="AX737" s="2" t="s">
        <v>9421</v>
      </c>
      <c r="AY737" s="2" t="s">
        <v>9422</v>
      </c>
      <c r="AZ737" s="2" t="s">
        <v>9422</v>
      </c>
      <c r="BA737" s="2" t="s">
        <v>9423</v>
      </c>
      <c r="BB737" s="2" t="s">
        <v>21</v>
      </c>
      <c r="BD737" s="2" t="s">
        <v>9424</v>
      </c>
      <c r="BE737" s="2" t="s">
        <v>9425</v>
      </c>
      <c r="BF737" s="2" t="s">
        <v>9426</v>
      </c>
    </row>
    <row r="738" spans="1:58" ht="42.75" customHeight="1" x14ac:dyDescent="0.25">
      <c r="A738" s="8" t="s">
        <v>8</v>
      </c>
      <c r="B738" s="1" t="s">
        <v>0</v>
      </c>
      <c r="C738" s="1" t="s">
        <v>1</v>
      </c>
      <c r="D738" s="1" t="s">
        <v>9427</v>
      </c>
      <c r="E738" s="1" t="s">
        <v>9428</v>
      </c>
      <c r="F738" s="1" t="s">
        <v>9429</v>
      </c>
      <c r="H738" s="2" t="s">
        <v>8</v>
      </c>
      <c r="I738" s="2" t="s">
        <v>7</v>
      </c>
      <c r="J738" s="2" t="s">
        <v>8</v>
      </c>
      <c r="K738" s="2" t="s">
        <v>8</v>
      </c>
      <c r="L738" s="2" t="s">
        <v>9</v>
      </c>
      <c r="M738" s="1" t="s">
        <v>9430</v>
      </c>
      <c r="N738" s="1" t="s">
        <v>9431</v>
      </c>
      <c r="O738" s="2" t="s">
        <v>1060</v>
      </c>
      <c r="Q738" s="2" t="s">
        <v>12</v>
      </c>
      <c r="R738" s="2" t="s">
        <v>658</v>
      </c>
      <c r="T738" s="2" t="s">
        <v>14</v>
      </c>
      <c r="U738" s="3">
        <v>5</v>
      </c>
      <c r="V738" s="3">
        <v>5</v>
      </c>
      <c r="W738" s="4" t="s">
        <v>9354</v>
      </c>
      <c r="X738" s="4" t="s">
        <v>9354</v>
      </c>
      <c r="Y738" s="4" t="s">
        <v>9432</v>
      </c>
      <c r="Z738" s="4" t="s">
        <v>9432</v>
      </c>
      <c r="AA738" s="3">
        <v>87</v>
      </c>
      <c r="AB738" s="3">
        <v>76</v>
      </c>
      <c r="AC738" s="3">
        <v>146</v>
      </c>
      <c r="AD738" s="3">
        <v>2</v>
      </c>
      <c r="AE738" s="3">
        <v>2</v>
      </c>
      <c r="AF738" s="3">
        <v>8</v>
      </c>
      <c r="AG738" s="3">
        <v>12</v>
      </c>
      <c r="AH738" s="3">
        <v>4</v>
      </c>
      <c r="AI738" s="3">
        <v>4</v>
      </c>
      <c r="AJ738" s="3">
        <v>0</v>
      </c>
      <c r="AK738" s="3">
        <v>4</v>
      </c>
      <c r="AL738" s="3">
        <v>4</v>
      </c>
      <c r="AM738" s="3">
        <v>6</v>
      </c>
      <c r="AN738" s="3">
        <v>1</v>
      </c>
      <c r="AO738" s="3">
        <v>1</v>
      </c>
      <c r="AP738" s="3">
        <v>0</v>
      </c>
      <c r="AQ738" s="3">
        <v>0</v>
      </c>
      <c r="AR738" s="2" t="s">
        <v>8</v>
      </c>
      <c r="AS738" s="2" t="s">
        <v>8</v>
      </c>
      <c r="AU738" s="5" t="str">
        <f>HYPERLINK("https://creighton-primo.hosted.exlibrisgroup.com/primo-explore/search?tab=default_tab&amp;search_scope=EVERYTHING&amp;vid=01CRU&amp;lang=en_US&amp;offset=0&amp;query=any,contains,991001562369702656","Catalog Record")</f>
        <v>Catalog Record</v>
      </c>
      <c r="AV738" s="5" t="str">
        <f>HYPERLINK("http://www.worldcat.org/oclc/34586844","WorldCat Record")</f>
        <v>WorldCat Record</v>
      </c>
      <c r="AW738" s="2" t="s">
        <v>9433</v>
      </c>
      <c r="AX738" s="2" t="s">
        <v>9434</v>
      </c>
      <c r="AY738" s="2" t="s">
        <v>9435</v>
      </c>
      <c r="AZ738" s="2" t="s">
        <v>9435</v>
      </c>
      <c r="BA738" s="2" t="s">
        <v>9436</v>
      </c>
      <c r="BB738" s="2" t="s">
        <v>21</v>
      </c>
      <c r="BD738" s="2" t="s">
        <v>9437</v>
      </c>
      <c r="BE738" s="2" t="s">
        <v>9438</v>
      </c>
      <c r="BF738" s="2" t="s">
        <v>9439</v>
      </c>
    </row>
    <row r="739" spans="1:58" ht="42.75" customHeight="1" x14ac:dyDescent="0.25">
      <c r="A739" s="8" t="s">
        <v>8</v>
      </c>
      <c r="B739" s="1" t="s">
        <v>0</v>
      </c>
      <c r="C739" s="1" t="s">
        <v>1</v>
      </c>
      <c r="D739" s="1" t="s">
        <v>9440</v>
      </c>
      <c r="E739" s="1" t="s">
        <v>9441</v>
      </c>
      <c r="F739" s="1" t="s">
        <v>9442</v>
      </c>
      <c r="H739" s="2" t="s">
        <v>8</v>
      </c>
      <c r="I739" s="2" t="s">
        <v>7</v>
      </c>
      <c r="J739" s="2" t="s">
        <v>8</v>
      </c>
      <c r="K739" s="2" t="s">
        <v>8</v>
      </c>
      <c r="L739" s="2" t="s">
        <v>9</v>
      </c>
      <c r="M739" s="1" t="s">
        <v>9443</v>
      </c>
      <c r="N739" s="1" t="s">
        <v>9444</v>
      </c>
      <c r="O739" s="2" t="s">
        <v>907</v>
      </c>
      <c r="Q739" s="2" t="s">
        <v>12</v>
      </c>
      <c r="R739" s="2" t="s">
        <v>520</v>
      </c>
      <c r="S739" s="1" t="s">
        <v>9445</v>
      </c>
      <c r="T739" s="2" t="s">
        <v>14</v>
      </c>
      <c r="U739" s="3">
        <v>2</v>
      </c>
      <c r="V739" s="3">
        <v>2</v>
      </c>
      <c r="W739" s="4" t="s">
        <v>9446</v>
      </c>
      <c r="X739" s="4" t="s">
        <v>9446</v>
      </c>
      <c r="Y739" s="4" t="s">
        <v>6817</v>
      </c>
      <c r="Z739" s="4" t="s">
        <v>6817</v>
      </c>
      <c r="AA739" s="3">
        <v>111</v>
      </c>
      <c r="AB739" s="3">
        <v>100</v>
      </c>
      <c r="AC739" s="3">
        <v>136</v>
      </c>
      <c r="AD739" s="3">
        <v>1</v>
      </c>
      <c r="AE739" s="3">
        <v>1</v>
      </c>
      <c r="AF739" s="3">
        <v>6</v>
      </c>
      <c r="AG739" s="3">
        <v>7</v>
      </c>
      <c r="AH739" s="3">
        <v>3</v>
      </c>
      <c r="AI739" s="3">
        <v>3</v>
      </c>
      <c r="AJ739" s="3">
        <v>0</v>
      </c>
      <c r="AK739" s="3">
        <v>0</v>
      </c>
      <c r="AL739" s="3">
        <v>4</v>
      </c>
      <c r="AM739" s="3">
        <v>5</v>
      </c>
      <c r="AN739" s="3">
        <v>0</v>
      </c>
      <c r="AO739" s="3">
        <v>0</v>
      </c>
      <c r="AP739" s="3">
        <v>0</v>
      </c>
      <c r="AQ739" s="3">
        <v>0</v>
      </c>
      <c r="AR739" s="2" t="s">
        <v>8</v>
      </c>
      <c r="AS739" s="2" t="s">
        <v>6</v>
      </c>
      <c r="AT739" s="5" t="str">
        <f>HYPERLINK("http://catalog.hathitrust.org/Record/004134797","HathiTrust Record")</f>
        <v>HathiTrust Record</v>
      </c>
      <c r="AU739" s="5" t="str">
        <f>HYPERLINK("https://creighton-primo.hosted.exlibrisgroup.com/primo-explore/search?tab=default_tab&amp;search_scope=EVERYTHING&amp;vid=01CRU&amp;lang=en_US&amp;offset=0&amp;query=any,contains,991000379909702656","Catalog Record")</f>
        <v>Catalog Record</v>
      </c>
      <c r="AV739" s="5" t="str">
        <f>HYPERLINK("http://www.worldcat.org/oclc/43569591","WorldCat Record")</f>
        <v>WorldCat Record</v>
      </c>
      <c r="AW739" s="2" t="s">
        <v>9447</v>
      </c>
      <c r="AX739" s="2" t="s">
        <v>9448</v>
      </c>
      <c r="AY739" s="2" t="s">
        <v>9449</v>
      </c>
      <c r="AZ739" s="2" t="s">
        <v>9449</v>
      </c>
      <c r="BA739" s="2" t="s">
        <v>9450</v>
      </c>
      <c r="BB739" s="2" t="s">
        <v>21</v>
      </c>
      <c r="BD739" s="2" t="s">
        <v>9451</v>
      </c>
      <c r="BE739" s="2" t="s">
        <v>9452</v>
      </c>
      <c r="BF739" s="2" t="s">
        <v>9453</v>
      </c>
    </row>
    <row r="740" spans="1:58" ht="42.75" customHeight="1" x14ac:dyDescent="0.25">
      <c r="A740" s="8" t="s">
        <v>8</v>
      </c>
      <c r="B740" s="1" t="s">
        <v>0</v>
      </c>
      <c r="C740" s="1" t="s">
        <v>1</v>
      </c>
      <c r="D740" s="1" t="s">
        <v>9454</v>
      </c>
      <c r="E740" s="1" t="s">
        <v>9455</v>
      </c>
      <c r="F740" s="1" t="s">
        <v>9456</v>
      </c>
      <c r="H740" s="2" t="s">
        <v>8</v>
      </c>
      <c r="I740" s="2" t="s">
        <v>7</v>
      </c>
      <c r="J740" s="2" t="s">
        <v>8</v>
      </c>
      <c r="K740" s="2" t="s">
        <v>8</v>
      </c>
      <c r="L740" s="2" t="s">
        <v>9</v>
      </c>
      <c r="N740" s="1" t="s">
        <v>9457</v>
      </c>
      <c r="O740" s="2" t="s">
        <v>128</v>
      </c>
      <c r="Q740" s="2" t="s">
        <v>12</v>
      </c>
      <c r="R740" s="2" t="s">
        <v>13</v>
      </c>
      <c r="T740" s="2" t="s">
        <v>14</v>
      </c>
      <c r="U740" s="3">
        <v>1</v>
      </c>
      <c r="V740" s="3">
        <v>1</v>
      </c>
      <c r="W740" s="4" t="s">
        <v>1392</v>
      </c>
      <c r="X740" s="4" t="s">
        <v>1392</v>
      </c>
      <c r="Y740" s="4" t="s">
        <v>9123</v>
      </c>
      <c r="Z740" s="4" t="s">
        <v>9123</v>
      </c>
      <c r="AA740" s="3">
        <v>170</v>
      </c>
      <c r="AB740" s="3">
        <v>122</v>
      </c>
      <c r="AC740" s="3">
        <v>124</v>
      </c>
      <c r="AD740" s="3">
        <v>1</v>
      </c>
      <c r="AE740" s="3">
        <v>1</v>
      </c>
      <c r="AF740" s="3">
        <v>0</v>
      </c>
      <c r="AG740" s="3">
        <v>0</v>
      </c>
      <c r="AH740" s="3">
        <v>0</v>
      </c>
      <c r="AI740" s="3">
        <v>0</v>
      </c>
      <c r="AJ740" s="3">
        <v>0</v>
      </c>
      <c r="AK740" s="3">
        <v>0</v>
      </c>
      <c r="AL740" s="3">
        <v>0</v>
      </c>
      <c r="AM740" s="3">
        <v>0</v>
      </c>
      <c r="AN740" s="3">
        <v>0</v>
      </c>
      <c r="AO740" s="3">
        <v>0</v>
      </c>
      <c r="AP740" s="3">
        <v>0</v>
      </c>
      <c r="AQ740" s="3">
        <v>0</v>
      </c>
      <c r="AR740" s="2" t="s">
        <v>8</v>
      </c>
      <c r="AS740" s="2" t="s">
        <v>6</v>
      </c>
      <c r="AT740" s="5" t="str">
        <f>HYPERLINK("http://catalog.hathitrust.org/Record/000089455","HathiTrust Record")</f>
        <v>HathiTrust Record</v>
      </c>
      <c r="AU740" s="5" t="str">
        <f>HYPERLINK("https://creighton-primo.hosted.exlibrisgroup.com/primo-explore/search?tab=default_tab&amp;search_scope=EVERYTHING&amp;vid=01CRU&amp;lang=en_US&amp;offset=0&amp;query=any,contains,991000655159702656","Catalog Record")</f>
        <v>Catalog Record</v>
      </c>
      <c r="AV740" s="5" t="str">
        <f>HYPERLINK("http://www.worldcat.org/oclc/3541417","WorldCat Record")</f>
        <v>WorldCat Record</v>
      </c>
      <c r="AW740" s="2" t="s">
        <v>9458</v>
      </c>
      <c r="AX740" s="2" t="s">
        <v>9459</v>
      </c>
      <c r="AY740" s="2" t="s">
        <v>9460</v>
      </c>
      <c r="AZ740" s="2" t="s">
        <v>9460</v>
      </c>
      <c r="BA740" s="2" t="s">
        <v>9461</v>
      </c>
      <c r="BB740" s="2" t="s">
        <v>21</v>
      </c>
      <c r="BD740" s="2" t="s">
        <v>9462</v>
      </c>
      <c r="BE740" s="2" t="s">
        <v>9463</v>
      </c>
      <c r="BF740" s="2" t="s">
        <v>9464</v>
      </c>
    </row>
    <row r="741" spans="1:58" ht="42.75" customHeight="1" x14ac:dyDescent="0.25">
      <c r="A741" s="8" t="s">
        <v>8</v>
      </c>
      <c r="B741" s="1" t="s">
        <v>0</v>
      </c>
      <c r="C741" s="1" t="s">
        <v>1</v>
      </c>
      <c r="D741" s="1" t="s">
        <v>9465</v>
      </c>
      <c r="E741" s="1" t="s">
        <v>9466</v>
      </c>
      <c r="F741" s="1" t="s">
        <v>9467</v>
      </c>
      <c r="H741" s="2" t="s">
        <v>8</v>
      </c>
      <c r="I741" s="2" t="s">
        <v>7</v>
      </c>
      <c r="J741" s="2" t="s">
        <v>8</v>
      </c>
      <c r="K741" s="2" t="s">
        <v>8</v>
      </c>
      <c r="L741" s="2" t="s">
        <v>9</v>
      </c>
      <c r="M741" s="1" t="s">
        <v>9443</v>
      </c>
      <c r="N741" s="1" t="s">
        <v>9468</v>
      </c>
      <c r="O741" s="2" t="s">
        <v>410</v>
      </c>
      <c r="Q741" s="2" t="s">
        <v>12</v>
      </c>
      <c r="R741" s="2" t="s">
        <v>590</v>
      </c>
      <c r="S741" s="1" t="s">
        <v>4519</v>
      </c>
      <c r="T741" s="2" t="s">
        <v>14</v>
      </c>
      <c r="U741" s="3">
        <v>7</v>
      </c>
      <c r="V741" s="3">
        <v>7</v>
      </c>
      <c r="W741" s="4" t="s">
        <v>9469</v>
      </c>
      <c r="X741" s="4" t="s">
        <v>9469</v>
      </c>
      <c r="Y741" s="4" t="s">
        <v>9470</v>
      </c>
      <c r="Z741" s="4" t="s">
        <v>9470</v>
      </c>
      <c r="AA741" s="3">
        <v>72</v>
      </c>
      <c r="AB741" s="3">
        <v>72</v>
      </c>
      <c r="AC741" s="3">
        <v>73</v>
      </c>
      <c r="AD741" s="3">
        <v>1</v>
      </c>
      <c r="AE741" s="3">
        <v>1</v>
      </c>
      <c r="AF741" s="3">
        <v>0</v>
      </c>
      <c r="AG741" s="3">
        <v>0</v>
      </c>
      <c r="AH741" s="3">
        <v>0</v>
      </c>
      <c r="AI741" s="3">
        <v>0</v>
      </c>
      <c r="AJ741" s="3">
        <v>0</v>
      </c>
      <c r="AK741" s="3">
        <v>0</v>
      </c>
      <c r="AL741" s="3">
        <v>0</v>
      </c>
      <c r="AM741" s="3">
        <v>0</v>
      </c>
      <c r="AN741" s="3">
        <v>0</v>
      </c>
      <c r="AO741" s="3">
        <v>0</v>
      </c>
      <c r="AP741" s="3">
        <v>0</v>
      </c>
      <c r="AQ741" s="3">
        <v>0</v>
      </c>
      <c r="AR741" s="2" t="s">
        <v>8</v>
      </c>
      <c r="AS741" s="2" t="s">
        <v>8</v>
      </c>
      <c r="AU741" s="5" t="str">
        <f>HYPERLINK("https://creighton-primo.hosted.exlibrisgroup.com/primo-explore/search?tab=default_tab&amp;search_scope=EVERYTHING&amp;vid=01CRU&amp;lang=en_US&amp;offset=0&amp;query=any,contains,991000668059702656","Catalog Record")</f>
        <v>Catalog Record</v>
      </c>
      <c r="AV741" s="5" t="str">
        <f>HYPERLINK("http://www.worldcat.org/oclc/29986998","WorldCat Record")</f>
        <v>WorldCat Record</v>
      </c>
      <c r="AW741" s="2" t="s">
        <v>9471</v>
      </c>
      <c r="AX741" s="2" t="s">
        <v>9472</v>
      </c>
      <c r="AY741" s="2" t="s">
        <v>9473</v>
      </c>
      <c r="AZ741" s="2" t="s">
        <v>9473</v>
      </c>
      <c r="BA741" s="2" t="s">
        <v>9474</v>
      </c>
      <c r="BB741" s="2" t="s">
        <v>21</v>
      </c>
      <c r="BD741" s="2" t="s">
        <v>9475</v>
      </c>
      <c r="BE741" s="2" t="s">
        <v>9476</v>
      </c>
      <c r="BF741" s="2" t="s">
        <v>9477</v>
      </c>
    </row>
    <row r="742" spans="1:58" ht="42.75" customHeight="1" x14ac:dyDescent="0.25">
      <c r="A742" s="8" t="s">
        <v>8</v>
      </c>
      <c r="B742" s="1" t="s">
        <v>0</v>
      </c>
      <c r="C742" s="1" t="s">
        <v>1</v>
      </c>
      <c r="D742" s="1" t="s">
        <v>9478</v>
      </c>
      <c r="E742" s="1" t="s">
        <v>9479</v>
      </c>
      <c r="F742" s="1" t="s">
        <v>9480</v>
      </c>
      <c r="H742" s="2" t="s">
        <v>8</v>
      </c>
      <c r="I742" s="2" t="s">
        <v>7</v>
      </c>
      <c r="J742" s="2" t="s">
        <v>8</v>
      </c>
      <c r="K742" s="2" t="s">
        <v>8</v>
      </c>
      <c r="L742" s="2" t="s">
        <v>9</v>
      </c>
      <c r="N742" s="1" t="s">
        <v>9481</v>
      </c>
      <c r="O742" s="2" t="s">
        <v>589</v>
      </c>
      <c r="P742" s="1" t="s">
        <v>1225</v>
      </c>
      <c r="Q742" s="2" t="s">
        <v>12</v>
      </c>
      <c r="R742" s="2" t="s">
        <v>1170</v>
      </c>
      <c r="S742" s="1" t="s">
        <v>9482</v>
      </c>
      <c r="T742" s="2" t="s">
        <v>14</v>
      </c>
      <c r="U742" s="3">
        <v>5</v>
      </c>
      <c r="V742" s="3">
        <v>5</v>
      </c>
      <c r="W742" s="4" t="s">
        <v>9483</v>
      </c>
      <c r="X742" s="4" t="s">
        <v>9483</v>
      </c>
      <c r="Y742" s="4" t="s">
        <v>6045</v>
      </c>
      <c r="Z742" s="4" t="s">
        <v>6045</v>
      </c>
      <c r="AA742" s="3">
        <v>490</v>
      </c>
      <c r="AB742" s="3">
        <v>443</v>
      </c>
      <c r="AC742" s="3">
        <v>459</v>
      </c>
      <c r="AD742" s="3">
        <v>1</v>
      </c>
      <c r="AE742" s="3">
        <v>1</v>
      </c>
      <c r="AF742" s="3">
        <v>19</v>
      </c>
      <c r="AG742" s="3">
        <v>20</v>
      </c>
      <c r="AH742" s="3">
        <v>6</v>
      </c>
      <c r="AI742" s="3">
        <v>6</v>
      </c>
      <c r="AJ742" s="3">
        <v>6</v>
      </c>
      <c r="AK742" s="3">
        <v>7</v>
      </c>
      <c r="AL742" s="3">
        <v>9</v>
      </c>
      <c r="AM742" s="3">
        <v>10</v>
      </c>
      <c r="AN742" s="3">
        <v>0</v>
      </c>
      <c r="AO742" s="3">
        <v>0</v>
      </c>
      <c r="AP742" s="3">
        <v>2</v>
      </c>
      <c r="AQ742" s="3">
        <v>2</v>
      </c>
      <c r="AR742" s="2" t="s">
        <v>8</v>
      </c>
      <c r="AS742" s="2" t="s">
        <v>6</v>
      </c>
      <c r="AT742" s="5" t="str">
        <f>HYPERLINK("http://catalog.hathitrust.org/Record/002372263","HathiTrust Record")</f>
        <v>HathiTrust Record</v>
      </c>
      <c r="AU742" s="5" t="str">
        <f>HYPERLINK("https://creighton-primo.hosted.exlibrisgroup.com/primo-explore/search?tab=default_tab&amp;search_scope=EVERYTHING&amp;vid=01CRU&amp;lang=en_US&amp;offset=0&amp;query=any,contains,991000945399702656","Catalog Record")</f>
        <v>Catalog Record</v>
      </c>
      <c r="AV742" s="5" t="str">
        <f>HYPERLINK("http://www.worldcat.org/oclc/21950416","WorldCat Record")</f>
        <v>WorldCat Record</v>
      </c>
      <c r="AW742" s="2" t="s">
        <v>9484</v>
      </c>
      <c r="AX742" s="2" t="s">
        <v>9485</v>
      </c>
      <c r="AY742" s="2" t="s">
        <v>9486</v>
      </c>
      <c r="AZ742" s="2" t="s">
        <v>9486</v>
      </c>
      <c r="BA742" s="2" t="s">
        <v>9487</v>
      </c>
      <c r="BB742" s="2" t="s">
        <v>21</v>
      </c>
      <c r="BD742" s="2" t="s">
        <v>9488</v>
      </c>
      <c r="BE742" s="2" t="s">
        <v>9489</v>
      </c>
      <c r="BF742" s="2" t="s">
        <v>9490</v>
      </c>
    </row>
    <row r="743" spans="1:58" ht="42.75" customHeight="1" x14ac:dyDescent="0.25">
      <c r="A743" s="8" t="s">
        <v>8</v>
      </c>
      <c r="B743" s="1" t="s">
        <v>0</v>
      </c>
      <c r="C743" s="1" t="s">
        <v>1</v>
      </c>
      <c r="D743" s="1" t="s">
        <v>9491</v>
      </c>
      <c r="E743" s="1" t="s">
        <v>9492</v>
      </c>
      <c r="F743" s="1" t="s">
        <v>9493</v>
      </c>
      <c r="H743" s="2" t="s">
        <v>8</v>
      </c>
      <c r="I743" s="2" t="s">
        <v>7</v>
      </c>
      <c r="J743" s="2" t="s">
        <v>8</v>
      </c>
      <c r="K743" s="2" t="s">
        <v>8</v>
      </c>
      <c r="L743" s="2" t="s">
        <v>9</v>
      </c>
      <c r="N743" s="1" t="s">
        <v>9494</v>
      </c>
      <c r="O743" s="2" t="s">
        <v>51</v>
      </c>
      <c r="Q743" s="2" t="s">
        <v>12</v>
      </c>
      <c r="R743" s="2" t="s">
        <v>1211</v>
      </c>
      <c r="T743" s="2" t="s">
        <v>14</v>
      </c>
      <c r="U743" s="3">
        <v>4</v>
      </c>
      <c r="V743" s="3">
        <v>4</v>
      </c>
      <c r="W743" s="4" t="s">
        <v>6293</v>
      </c>
      <c r="X743" s="4" t="s">
        <v>6293</v>
      </c>
      <c r="Y743" s="4" t="s">
        <v>7799</v>
      </c>
      <c r="Z743" s="4" t="s">
        <v>7799</v>
      </c>
      <c r="AA743" s="3">
        <v>24</v>
      </c>
      <c r="AB743" s="3">
        <v>24</v>
      </c>
      <c r="AC743" s="3">
        <v>24</v>
      </c>
      <c r="AD743" s="3">
        <v>1</v>
      </c>
      <c r="AE743" s="3">
        <v>1</v>
      </c>
      <c r="AF743" s="3">
        <v>1</v>
      </c>
      <c r="AG743" s="3">
        <v>1</v>
      </c>
      <c r="AH743" s="3">
        <v>0</v>
      </c>
      <c r="AI743" s="3">
        <v>0</v>
      </c>
      <c r="AJ743" s="3">
        <v>0</v>
      </c>
      <c r="AK743" s="3">
        <v>0</v>
      </c>
      <c r="AL743" s="3">
        <v>1</v>
      </c>
      <c r="AM743" s="3">
        <v>1</v>
      </c>
      <c r="AN743" s="3">
        <v>0</v>
      </c>
      <c r="AO743" s="3">
        <v>0</v>
      </c>
      <c r="AP743" s="3">
        <v>0</v>
      </c>
      <c r="AQ743" s="3">
        <v>0</v>
      </c>
      <c r="AR743" s="2" t="s">
        <v>8</v>
      </c>
      <c r="AS743" s="2" t="s">
        <v>8</v>
      </c>
      <c r="AU743" s="5" t="str">
        <f>HYPERLINK("https://creighton-primo.hosted.exlibrisgroup.com/primo-explore/search?tab=default_tab&amp;search_scope=EVERYTHING&amp;vid=01CRU&amp;lang=en_US&amp;offset=0&amp;query=any,contains,991001415569702656","Catalog Record")</f>
        <v>Catalog Record</v>
      </c>
      <c r="AV743" s="5" t="str">
        <f>HYPERLINK("http://www.worldcat.org/oclc/17884392","WorldCat Record")</f>
        <v>WorldCat Record</v>
      </c>
      <c r="AW743" s="2" t="s">
        <v>9495</v>
      </c>
      <c r="AX743" s="2" t="s">
        <v>9496</v>
      </c>
      <c r="AY743" s="2" t="s">
        <v>9497</v>
      </c>
      <c r="AZ743" s="2" t="s">
        <v>9497</v>
      </c>
      <c r="BA743" s="2" t="s">
        <v>9498</v>
      </c>
      <c r="BB743" s="2" t="s">
        <v>21</v>
      </c>
      <c r="BE743" s="2" t="s">
        <v>9499</v>
      </c>
      <c r="BF743" s="2" t="s">
        <v>9500</v>
      </c>
    </row>
    <row r="744" spans="1:58" ht="42.75" customHeight="1" x14ac:dyDescent="0.25">
      <c r="A744" s="8" t="s">
        <v>8</v>
      </c>
      <c r="B744" s="1" t="s">
        <v>0</v>
      </c>
      <c r="C744" s="1" t="s">
        <v>1</v>
      </c>
      <c r="D744" s="1" t="s">
        <v>9501</v>
      </c>
      <c r="E744" s="1" t="s">
        <v>9502</v>
      </c>
      <c r="F744" s="1" t="s">
        <v>9503</v>
      </c>
      <c r="H744" s="2" t="s">
        <v>8</v>
      </c>
      <c r="I744" s="2" t="s">
        <v>885</v>
      </c>
      <c r="J744" s="2" t="s">
        <v>6</v>
      </c>
      <c r="K744" s="2" t="s">
        <v>8</v>
      </c>
      <c r="L744" s="2" t="s">
        <v>9</v>
      </c>
      <c r="N744" s="1" t="s">
        <v>9504</v>
      </c>
      <c r="O744" s="2" t="s">
        <v>814</v>
      </c>
      <c r="Q744" s="2" t="s">
        <v>12</v>
      </c>
      <c r="R744" s="2" t="s">
        <v>520</v>
      </c>
      <c r="T744" s="2" t="s">
        <v>14</v>
      </c>
      <c r="U744" s="3">
        <v>0</v>
      </c>
      <c r="V744" s="3">
        <v>0</v>
      </c>
      <c r="X744" s="4" t="s">
        <v>9505</v>
      </c>
      <c r="Y744" s="4" t="s">
        <v>9506</v>
      </c>
      <c r="Z744" s="4" t="s">
        <v>9506</v>
      </c>
      <c r="AA744" s="3">
        <v>136</v>
      </c>
      <c r="AB744" s="3">
        <v>126</v>
      </c>
      <c r="AC744" s="3">
        <v>128</v>
      </c>
      <c r="AD744" s="3">
        <v>1</v>
      </c>
      <c r="AE744" s="3">
        <v>1</v>
      </c>
      <c r="AF744" s="3">
        <v>3</v>
      </c>
      <c r="AG744" s="3">
        <v>3</v>
      </c>
      <c r="AH744" s="3">
        <v>0</v>
      </c>
      <c r="AI744" s="3">
        <v>0</v>
      </c>
      <c r="AJ744" s="3">
        <v>1</v>
      </c>
      <c r="AK744" s="3">
        <v>1</v>
      </c>
      <c r="AL744" s="3">
        <v>2</v>
      </c>
      <c r="AM744" s="3">
        <v>2</v>
      </c>
      <c r="AN744" s="3">
        <v>0</v>
      </c>
      <c r="AO744" s="3">
        <v>0</v>
      </c>
      <c r="AP744" s="3">
        <v>0</v>
      </c>
      <c r="AQ744" s="3">
        <v>0</v>
      </c>
      <c r="AR744" s="2" t="s">
        <v>8</v>
      </c>
      <c r="AS744" s="2" t="s">
        <v>6</v>
      </c>
      <c r="AT744" s="5" t="str">
        <f>HYPERLINK("http://catalog.hathitrust.org/Record/004061839","HathiTrust Record")</f>
        <v>HathiTrust Record</v>
      </c>
      <c r="AU744" s="5" t="str">
        <f>HYPERLINK("https://creighton-primo.hosted.exlibrisgroup.com/primo-explore/search?tab=default_tab&amp;search_scope=EVERYTHING&amp;vid=01CRU&amp;lang=en_US&amp;offset=0&amp;query=any,contains,991000324509702656","Catalog Record")</f>
        <v>Catalog Record</v>
      </c>
      <c r="AV744" s="5" t="str">
        <f>HYPERLINK("http://www.worldcat.org/oclc/45094036","WorldCat Record")</f>
        <v>WorldCat Record</v>
      </c>
      <c r="AW744" s="2" t="s">
        <v>9507</v>
      </c>
      <c r="AX744" s="2" t="s">
        <v>9508</v>
      </c>
      <c r="AY744" s="2" t="s">
        <v>9509</v>
      </c>
      <c r="AZ744" s="2" t="s">
        <v>9509</v>
      </c>
      <c r="BA744" s="2" t="s">
        <v>9510</v>
      </c>
      <c r="BB744" s="2" t="s">
        <v>21</v>
      </c>
      <c r="BD744" s="2" t="s">
        <v>9511</v>
      </c>
      <c r="BE744" s="2" t="s">
        <v>9512</v>
      </c>
      <c r="BF744" s="2" t="s">
        <v>9513</v>
      </c>
    </row>
    <row r="745" spans="1:58" ht="42.75" customHeight="1" x14ac:dyDescent="0.25">
      <c r="A745" s="8" t="s">
        <v>8</v>
      </c>
      <c r="B745" s="1" t="s">
        <v>0</v>
      </c>
      <c r="C745" s="1" t="s">
        <v>1</v>
      </c>
      <c r="D745" s="1" t="s">
        <v>9501</v>
      </c>
      <c r="E745" s="1" t="s">
        <v>9502</v>
      </c>
      <c r="F745" s="1" t="s">
        <v>9503</v>
      </c>
      <c r="H745" s="2" t="s">
        <v>8</v>
      </c>
      <c r="I745" s="2" t="s">
        <v>7</v>
      </c>
      <c r="J745" s="2" t="s">
        <v>6</v>
      </c>
      <c r="K745" s="2" t="s">
        <v>8</v>
      </c>
      <c r="L745" s="2" t="s">
        <v>9</v>
      </c>
      <c r="N745" s="1" t="s">
        <v>9504</v>
      </c>
      <c r="O745" s="2" t="s">
        <v>814</v>
      </c>
      <c r="Q745" s="2" t="s">
        <v>12</v>
      </c>
      <c r="R745" s="2" t="s">
        <v>520</v>
      </c>
      <c r="T745" s="2" t="s">
        <v>14</v>
      </c>
      <c r="U745" s="3">
        <v>0</v>
      </c>
      <c r="V745" s="3">
        <v>0</v>
      </c>
      <c r="W745" s="4" t="s">
        <v>9505</v>
      </c>
      <c r="X745" s="4" t="s">
        <v>9505</v>
      </c>
      <c r="Y745" s="4" t="s">
        <v>8890</v>
      </c>
      <c r="Z745" s="4" t="s">
        <v>9506</v>
      </c>
      <c r="AA745" s="3">
        <v>136</v>
      </c>
      <c r="AB745" s="3">
        <v>126</v>
      </c>
      <c r="AC745" s="3">
        <v>128</v>
      </c>
      <c r="AD745" s="3">
        <v>1</v>
      </c>
      <c r="AE745" s="3">
        <v>1</v>
      </c>
      <c r="AF745" s="3">
        <v>3</v>
      </c>
      <c r="AG745" s="3">
        <v>3</v>
      </c>
      <c r="AH745" s="3">
        <v>0</v>
      </c>
      <c r="AI745" s="3">
        <v>0</v>
      </c>
      <c r="AJ745" s="3">
        <v>1</v>
      </c>
      <c r="AK745" s="3">
        <v>1</v>
      </c>
      <c r="AL745" s="3">
        <v>2</v>
      </c>
      <c r="AM745" s="3">
        <v>2</v>
      </c>
      <c r="AN745" s="3">
        <v>0</v>
      </c>
      <c r="AO745" s="3">
        <v>0</v>
      </c>
      <c r="AP745" s="3">
        <v>0</v>
      </c>
      <c r="AQ745" s="3">
        <v>0</v>
      </c>
      <c r="AR745" s="2" t="s">
        <v>8</v>
      </c>
      <c r="AS745" s="2" t="s">
        <v>6</v>
      </c>
      <c r="AT745" s="5" t="str">
        <f>HYPERLINK("http://catalog.hathitrust.org/Record/004061839","HathiTrust Record")</f>
        <v>HathiTrust Record</v>
      </c>
      <c r="AU745" s="5" t="str">
        <f>HYPERLINK("https://creighton-primo.hosted.exlibrisgroup.com/primo-explore/search?tab=default_tab&amp;search_scope=EVERYTHING&amp;vid=01CRU&amp;lang=en_US&amp;offset=0&amp;query=any,contains,991000324509702656","Catalog Record")</f>
        <v>Catalog Record</v>
      </c>
      <c r="AV745" s="5" t="str">
        <f>HYPERLINK("http://www.worldcat.org/oclc/45094036","WorldCat Record")</f>
        <v>WorldCat Record</v>
      </c>
      <c r="AW745" s="2" t="s">
        <v>9507</v>
      </c>
      <c r="AX745" s="2" t="s">
        <v>9508</v>
      </c>
      <c r="AY745" s="2" t="s">
        <v>9509</v>
      </c>
      <c r="AZ745" s="2" t="s">
        <v>9509</v>
      </c>
      <c r="BA745" s="2" t="s">
        <v>9510</v>
      </c>
      <c r="BB745" s="2" t="s">
        <v>21</v>
      </c>
      <c r="BD745" s="2" t="s">
        <v>9511</v>
      </c>
      <c r="BE745" s="2" t="s">
        <v>9514</v>
      </c>
      <c r="BF745" s="2" t="s">
        <v>9515</v>
      </c>
    </row>
    <row r="746" spans="1:58" ht="42.75" customHeight="1" x14ac:dyDescent="0.25">
      <c r="A746" s="8" t="s">
        <v>8</v>
      </c>
      <c r="B746" s="1" t="s">
        <v>0</v>
      </c>
      <c r="C746" s="1" t="s">
        <v>1</v>
      </c>
      <c r="D746" s="1" t="s">
        <v>9516</v>
      </c>
      <c r="E746" s="1" t="s">
        <v>9517</v>
      </c>
      <c r="F746" s="1" t="s">
        <v>9518</v>
      </c>
      <c r="H746" s="2" t="s">
        <v>8</v>
      </c>
      <c r="I746" s="2" t="s">
        <v>7</v>
      </c>
      <c r="J746" s="2" t="s">
        <v>8</v>
      </c>
      <c r="K746" s="2" t="s">
        <v>8</v>
      </c>
      <c r="L746" s="2" t="s">
        <v>9</v>
      </c>
      <c r="M746" s="1" t="s">
        <v>9519</v>
      </c>
      <c r="N746" s="1" t="s">
        <v>9520</v>
      </c>
      <c r="O746" s="2" t="s">
        <v>642</v>
      </c>
      <c r="P746" s="1" t="s">
        <v>1225</v>
      </c>
      <c r="Q746" s="2" t="s">
        <v>12</v>
      </c>
      <c r="R746" s="2" t="s">
        <v>1170</v>
      </c>
      <c r="T746" s="2" t="s">
        <v>14</v>
      </c>
      <c r="U746" s="3">
        <v>5</v>
      </c>
      <c r="V746" s="3">
        <v>5</v>
      </c>
      <c r="W746" s="4" t="s">
        <v>9521</v>
      </c>
      <c r="X746" s="4" t="s">
        <v>9521</v>
      </c>
      <c r="Y746" s="4" t="s">
        <v>7511</v>
      </c>
      <c r="Z746" s="4" t="s">
        <v>7511</v>
      </c>
      <c r="AA746" s="3">
        <v>250</v>
      </c>
      <c r="AB746" s="3">
        <v>208</v>
      </c>
      <c r="AC746" s="3">
        <v>210</v>
      </c>
      <c r="AD746" s="3">
        <v>2</v>
      </c>
      <c r="AE746" s="3">
        <v>2</v>
      </c>
      <c r="AF746" s="3">
        <v>10</v>
      </c>
      <c r="AG746" s="3">
        <v>10</v>
      </c>
      <c r="AH746" s="3">
        <v>3</v>
      </c>
      <c r="AI746" s="3">
        <v>3</v>
      </c>
      <c r="AJ746" s="3">
        <v>2</v>
      </c>
      <c r="AK746" s="3">
        <v>2</v>
      </c>
      <c r="AL746" s="3">
        <v>6</v>
      </c>
      <c r="AM746" s="3">
        <v>6</v>
      </c>
      <c r="AN746" s="3">
        <v>1</v>
      </c>
      <c r="AO746" s="3">
        <v>1</v>
      </c>
      <c r="AP746" s="3">
        <v>0</v>
      </c>
      <c r="AQ746" s="3">
        <v>0</v>
      </c>
      <c r="AR746" s="2" t="s">
        <v>8</v>
      </c>
      <c r="AS746" s="2" t="s">
        <v>6</v>
      </c>
      <c r="AT746" s="5" t="str">
        <f>HYPERLINK("http://catalog.hathitrust.org/Record/004379323","HathiTrust Record")</f>
        <v>HathiTrust Record</v>
      </c>
      <c r="AU746" s="5" t="str">
        <f>HYPERLINK("https://creighton-primo.hosted.exlibrisgroup.com/primo-explore/search?tab=default_tab&amp;search_scope=EVERYTHING&amp;vid=01CRU&amp;lang=en_US&amp;offset=0&amp;query=any,contains,991001730899702656","Catalog Record")</f>
        <v>Catalog Record</v>
      </c>
      <c r="AV746" s="5" t="str">
        <f>HYPERLINK("http://www.worldcat.org/oclc/52937977","WorldCat Record")</f>
        <v>WorldCat Record</v>
      </c>
      <c r="AW746" s="2" t="s">
        <v>9522</v>
      </c>
      <c r="AX746" s="2" t="s">
        <v>9523</v>
      </c>
      <c r="AY746" s="2" t="s">
        <v>9524</v>
      </c>
      <c r="AZ746" s="2" t="s">
        <v>9524</v>
      </c>
      <c r="BA746" s="2" t="s">
        <v>9525</v>
      </c>
      <c r="BB746" s="2" t="s">
        <v>21</v>
      </c>
      <c r="BD746" s="2" t="s">
        <v>9526</v>
      </c>
      <c r="BE746" s="2" t="s">
        <v>9527</v>
      </c>
      <c r="BF746" s="2" t="s">
        <v>9528</v>
      </c>
    </row>
    <row r="747" spans="1:58" ht="42.75" customHeight="1" x14ac:dyDescent="0.25">
      <c r="A747" s="8" t="s">
        <v>8</v>
      </c>
      <c r="B747" s="1" t="s">
        <v>0</v>
      </c>
      <c r="C747" s="1" t="s">
        <v>1</v>
      </c>
      <c r="D747" s="1" t="s">
        <v>9529</v>
      </c>
      <c r="E747" s="1" t="s">
        <v>9530</v>
      </c>
      <c r="F747" s="1" t="s">
        <v>9531</v>
      </c>
      <c r="H747" s="2" t="s">
        <v>8</v>
      </c>
      <c r="I747" s="2" t="s">
        <v>7</v>
      </c>
      <c r="J747" s="2" t="s">
        <v>6</v>
      </c>
      <c r="K747" s="2" t="s">
        <v>8</v>
      </c>
      <c r="L747" s="2" t="s">
        <v>885</v>
      </c>
      <c r="N747" s="1" t="s">
        <v>9532</v>
      </c>
      <c r="O747" s="2" t="s">
        <v>2089</v>
      </c>
      <c r="Q747" s="2" t="s">
        <v>12</v>
      </c>
      <c r="R747" s="2" t="s">
        <v>1211</v>
      </c>
      <c r="T747" s="2" t="s">
        <v>14</v>
      </c>
      <c r="U747" s="3">
        <v>2</v>
      </c>
      <c r="V747" s="3">
        <v>8</v>
      </c>
      <c r="W747" s="4" t="s">
        <v>5023</v>
      </c>
      <c r="X747" s="4" t="s">
        <v>5023</v>
      </c>
      <c r="Y747" s="4" t="s">
        <v>9533</v>
      </c>
      <c r="Z747" s="4" t="s">
        <v>9534</v>
      </c>
      <c r="AA747" s="3">
        <v>182</v>
      </c>
      <c r="AB747" s="3">
        <v>166</v>
      </c>
      <c r="AC747" s="3">
        <v>1173</v>
      </c>
      <c r="AD747" s="3">
        <v>3</v>
      </c>
      <c r="AE747" s="3">
        <v>16</v>
      </c>
      <c r="AF747" s="3">
        <v>5</v>
      </c>
      <c r="AG747" s="3">
        <v>44</v>
      </c>
      <c r="AH747" s="3">
        <v>1</v>
      </c>
      <c r="AI747" s="3">
        <v>13</v>
      </c>
      <c r="AJ747" s="3">
        <v>1</v>
      </c>
      <c r="AK747" s="3">
        <v>9</v>
      </c>
      <c r="AL747" s="3">
        <v>2</v>
      </c>
      <c r="AM747" s="3">
        <v>13</v>
      </c>
      <c r="AN747" s="3">
        <v>2</v>
      </c>
      <c r="AO747" s="3">
        <v>14</v>
      </c>
      <c r="AP747" s="3">
        <v>0</v>
      </c>
      <c r="AQ747" s="3">
        <v>2</v>
      </c>
      <c r="AR747" s="2" t="s">
        <v>8</v>
      </c>
      <c r="AS747" s="2" t="s">
        <v>8</v>
      </c>
      <c r="AU747" s="5" t="str">
        <f>HYPERLINK("https://creighton-primo.hosted.exlibrisgroup.com/primo-explore/search?tab=default_tab&amp;search_scope=EVERYTHING&amp;vid=01CRU&amp;lang=en_US&amp;offset=0&amp;query=any,contains,991000604959702656","Catalog Record")</f>
        <v>Catalog Record</v>
      </c>
      <c r="AV747" s="5" t="str">
        <f>HYPERLINK("http://www.worldcat.org/oclc/65617478","WorldCat Record")</f>
        <v>WorldCat Record</v>
      </c>
      <c r="AW747" s="2" t="s">
        <v>9535</v>
      </c>
      <c r="AX747" s="2" t="s">
        <v>9536</v>
      </c>
      <c r="AY747" s="2" t="s">
        <v>9537</v>
      </c>
      <c r="AZ747" s="2" t="s">
        <v>9537</v>
      </c>
      <c r="BA747" s="2" t="s">
        <v>9538</v>
      </c>
      <c r="BB747" s="2" t="s">
        <v>21</v>
      </c>
      <c r="BD747" s="2" t="s">
        <v>9539</v>
      </c>
      <c r="BE747" s="2" t="s">
        <v>9540</v>
      </c>
      <c r="BF747" s="2" t="s">
        <v>9541</v>
      </c>
    </row>
    <row r="748" spans="1:58" ht="42.75" customHeight="1" x14ac:dyDescent="0.25">
      <c r="A748" s="8" t="s">
        <v>8</v>
      </c>
      <c r="B748" s="1" t="s">
        <v>0</v>
      </c>
      <c r="C748" s="1" t="s">
        <v>1</v>
      </c>
      <c r="D748" s="1" t="s">
        <v>9529</v>
      </c>
      <c r="E748" s="1" t="s">
        <v>9530</v>
      </c>
      <c r="F748" s="1" t="s">
        <v>9531</v>
      </c>
      <c r="H748" s="2" t="s">
        <v>8</v>
      </c>
      <c r="I748" s="2" t="s">
        <v>7</v>
      </c>
      <c r="J748" s="2" t="s">
        <v>6</v>
      </c>
      <c r="K748" s="2" t="s">
        <v>8</v>
      </c>
      <c r="L748" s="2" t="s">
        <v>885</v>
      </c>
      <c r="N748" s="1" t="s">
        <v>9532</v>
      </c>
      <c r="O748" s="2" t="s">
        <v>2089</v>
      </c>
      <c r="Q748" s="2" t="s">
        <v>12</v>
      </c>
      <c r="R748" s="2" t="s">
        <v>1211</v>
      </c>
      <c r="T748" s="2" t="s">
        <v>14</v>
      </c>
      <c r="U748" s="3">
        <v>4</v>
      </c>
      <c r="V748" s="3">
        <v>8</v>
      </c>
      <c r="W748" s="4" t="s">
        <v>5023</v>
      </c>
      <c r="X748" s="4" t="s">
        <v>5023</v>
      </c>
      <c r="Y748" s="4" t="s">
        <v>9542</v>
      </c>
      <c r="Z748" s="4" t="s">
        <v>9534</v>
      </c>
      <c r="AA748" s="3">
        <v>182</v>
      </c>
      <c r="AB748" s="3">
        <v>166</v>
      </c>
      <c r="AC748" s="3">
        <v>1173</v>
      </c>
      <c r="AD748" s="3">
        <v>3</v>
      </c>
      <c r="AE748" s="3">
        <v>16</v>
      </c>
      <c r="AF748" s="3">
        <v>5</v>
      </c>
      <c r="AG748" s="3">
        <v>44</v>
      </c>
      <c r="AH748" s="3">
        <v>1</v>
      </c>
      <c r="AI748" s="3">
        <v>13</v>
      </c>
      <c r="AJ748" s="3">
        <v>1</v>
      </c>
      <c r="AK748" s="3">
        <v>9</v>
      </c>
      <c r="AL748" s="3">
        <v>2</v>
      </c>
      <c r="AM748" s="3">
        <v>13</v>
      </c>
      <c r="AN748" s="3">
        <v>2</v>
      </c>
      <c r="AO748" s="3">
        <v>14</v>
      </c>
      <c r="AP748" s="3">
        <v>0</v>
      </c>
      <c r="AQ748" s="3">
        <v>2</v>
      </c>
      <c r="AR748" s="2" t="s">
        <v>8</v>
      </c>
      <c r="AS748" s="2" t="s">
        <v>8</v>
      </c>
      <c r="AU748" s="5" t="str">
        <f>HYPERLINK("https://creighton-primo.hosted.exlibrisgroup.com/primo-explore/search?tab=default_tab&amp;search_scope=EVERYTHING&amp;vid=01CRU&amp;lang=en_US&amp;offset=0&amp;query=any,contains,991000604959702656","Catalog Record")</f>
        <v>Catalog Record</v>
      </c>
      <c r="AV748" s="5" t="str">
        <f>HYPERLINK("http://www.worldcat.org/oclc/65617478","WorldCat Record")</f>
        <v>WorldCat Record</v>
      </c>
      <c r="AW748" s="2" t="s">
        <v>9535</v>
      </c>
      <c r="AX748" s="2" t="s">
        <v>9536</v>
      </c>
      <c r="AY748" s="2" t="s">
        <v>9537</v>
      </c>
      <c r="AZ748" s="2" t="s">
        <v>9537</v>
      </c>
      <c r="BA748" s="2" t="s">
        <v>9538</v>
      </c>
      <c r="BB748" s="2" t="s">
        <v>21</v>
      </c>
      <c r="BD748" s="2" t="s">
        <v>9539</v>
      </c>
      <c r="BE748" s="2" t="s">
        <v>9543</v>
      </c>
      <c r="BF748" s="2" t="s">
        <v>9544</v>
      </c>
    </row>
    <row r="749" spans="1:58" ht="42.75" customHeight="1" x14ac:dyDescent="0.25">
      <c r="A749" s="8" t="s">
        <v>8</v>
      </c>
      <c r="B749" s="1" t="s">
        <v>0</v>
      </c>
      <c r="C749" s="1" t="s">
        <v>1</v>
      </c>
      <c r="D749" s="1" t="s">
        <v>9529</v>
      </c>
      <c r="E749" s="1" t="s">
        <v>9530</v>
      </c>
      <c r="F749" s="1" t="s">
        <v>9531</v>
      </c>
      <c r="H749" s="2" t="s">
        <v>8</v>
      </c>
      <c r="I749" s="2" t="s">
        <v>7</v>
      </c>
      <c r="J749" s="2" t="s">
        <v>6</v>
      </c>
      <c r="K749" s="2" t="s">
        <v>8</v>
      </c>
      <c r="L749" s="2" t="s">
        <v>885</v>
      </c>
      <c r="N749" s="1" t="s">
        <v>9532</v>
      </c>
      <c r="O749" s="2" t="s">
        <v>2089</v>
      </c>
      <c r="Q749" s="2" t="s">
        <v>12</v>
      </c>
      <c r="R749" s="2" t="s">
        <v>1211</v>
      </c>
      <c r="T749" s="2" t="s">
        <v>14</v>
      </c>
      <c r="U749" s="3">
        <v>2</v>
      </c>
      <c r="V749" s="3">
        <v>8</v>
      </c>
      <c r="W749" s="4" t="s">
        <v>5023</v>
      </c>
      <c r="X749" s="4" t="s">
        <v>5023</v>
      </c>
      <c r="Y749" s="4" t="s">
        <v>9534</v>
      </c>
      <c r="Z749" s="4" t="s">
        <v>9534</v>
      </c>
      <c r="AA749" s="3">
        <v>182</v>
      </c>
      <c r="AB749" s="3">
        <v>166</v>
      </c>
      <c r="AC749" s="3">
        <v>1173</v>
      </c>
      <c r="AD749" s="3">
        <v>3</v>
      </c>
      <c r="AE749" s="3">
        <v>16</v>
      </c>
      <c r="AF749" s="3">
        <v>5</v>
      </c>
      <c r="AG749" s="3">
        <v>44</v>
      </c>
      <c r="AH749" s="3">
        <v>1</v>
      </c>
      <c r="AI749" s="3">
        <v>13</v>
      </c>
      <c r="AJ749" s="3">
        <v>1</v>
      </c>
      <c r="AK749" s="3">
        <v>9</v>
      </c>
      <c r="AL749" s="3">
        <v>2</v>
      </c>
      <c r="AM749" s="3">
        <v>13</v>
      </c>
      <c r="AN749" s="3">
        <v>2</v>
      </c>
      <c r="AO749" s="3">
        <v>14</v>
      </c>
      <c r="AP749" s="3">
        <v>0</v>
      </c>
      <c r="AQ749" s="3">
        <v>2</v>
      </c>
      <c r="AR749" s="2" t="s">
        <v>8</v>
      </c>
      <c r="AS749" s="2" t="s">
        <v>8</v>
      </c>
      <c r="AU749" s="5" t="str">
        <f>HYPERLINK("https://creighton-primo.hosted.exlibrisgroup.com/primo-explore/search?tab=default_tab&amp;search_scope=EVERYTHING&amp;vid=01CRU&amp;lang=en_US&amp;offset=0&amp;query=any,contains,991000604959702656","Catalog Record")</f>
        <v>Catalog Record</v>
      </c>
      <c r="AV749" s="5" t="str">
        <f>HYPERLINK("http://www.worldcat.org/oclc/65617478","WorldCat Record")</f>
        <v>WorldCat Record</v>
      </c>
      <c r="AW749" s="2" t="s">
        <v>9535</v>
      </c>
      <c r="AX749" s="2" t="s">
        <v>9536</v>
      </c>
      <c r="AY749" s="2" t="s">
        <v>9537</v>
      </c>
      <c r="AZ749" s="2" t="s">
        <v>9537</v>
      </c>
      <c r="BA749" s="2" t="s">
        <v>9538</v>
      </c>
      <c r="BB749" s="2" t="s">
        <v>21</v>
      </c>
      <c r="BD749" s="2" t="s">
        <v>9539</v>
      </c>
      <c r="BE749" s="2" t="s">
        <v>9545</v>
      </c>
      <c r="BF749" s="2" t="s">
        <v>9546</v>
      </c>
    </row>
    <row r="750" spans="1:58" ht="42.75" customHeight="1" x14ac:dyDescent="0.25">
      <c r="A750" s="8" t="s">
        <v>8</v>
      </c>
      <c r="B750" s="1" t="s">
        <v>0</v>
      </c>
      <c r="C750" s="1" t="s">
        <v>1</v>
      </c>
      <c r="D750" s="1" t="s">
        <v>9547</v>
      </c>
      <c r="E750" s="1" t="s">
        <v>9548</v>
      </c>
      <c r="F750" s="1" t="s">
        <v>9549</v>
      </c>
      <c r="H750" s="2" t="s">
        <v>8</v>
      </c>
      <c r="I750" s="2" t="s">
        <v>7</v>
      </c>
      <c r="J750" s="2" t="s">
        <v>8</v>
      </c>
      <c r="K750" s="2" t="s">
        <v>8</v>
      </c>
      <c r="L750" s="2" t="s">
        <v>9</v>
      </c>
      <c r="N750" s="1" t="s">
        <v>9550</v>
      </c>
      <c r="O750" s="2" t="s">
        <v>298</v>
      </c>
      <c r="Q750" s="2" t="s">
        <v>12</v>
      </c>
      <c r="R750" s="2" t="s">
        <v>520</v>
      </c>
      <c r="T750" s="2" t="s">
        <v>14</v>
      </c>
      <c r="U750" s="3">
        <v>13</v>
      </c>
      <c r="V750" s="3">
        <v>13</v>
      </c>
      <c r="W750" s="4" t="s">
        <v>9551</v>
      </c>
      <c r="X750" s="4" t="s">
        <v>9551</v>
      </c>
      <c r="Y750" s="4" t="s">
        <v>4981</v>
      </c>
      <c r="Z750" s="4" t="s">
        <v>4981</v>
      </c>
      <c r="AA750" s="3">
        <v>79</v>
      </c>
      <c r="AB750" s="3">
        <v>73</v>
      </c>
      <c r="AC750" s="3">
        <v>103</v>
      </c>
      <c r="AD750" s="3">
        <v>1</v>
      </c>
      <c r="AE750" s="3">
        <v>1</v>
      </c>
      <c r="AF750" s="3">
        <v>3</v>
      </c>
      <c r="AG750" s="3">
        <v>6</v>
      </c>
      <c r="AH750" s="3">
        <v>0</v>
      </c>
      <c r="AI750" s="3">
        <v>2</v>
      </c>
      <c r="AJ750" s="3">
        <v>1</v>
      </c>
      <c r="AK750" s="3">
        <v>1</v>
      </c>
      <c r="AL750" s="3">
        <v>0</v>
      </c>
      <c r="AM750" s="3">
        <v>2</v>
      </c>
      <c r="AN750" s="3">
        <v>0</v>
      </c>
      <c r="AO750" s="3">
        <v>0</v>
      </c>
      <c r="AP750" s="3">
        <v>2</v>
      </c>
      <c r="AQ750" s="3">
        <v>2</v>
      </c>
      <c r="AR750" s="2" t="s">
        <v>8</v>
      </c>
      <c r="AS750" s="2" t="s">
        <v>8</v>
      </c>
      <c r="AU750" s="5" t="str">
        <f>HYPERLINK("https://creighton-primo.hosted.exlibrisgroup.com/primo-explore/search?tab=default_tab&amp;search_scope=EVERYTHING&amp;vid=01CRU&amp;lang=en_US&amp;offset=0&amp;query=any,contains,991001105259702656","Catalog Record")</f>
        <v>Catalog Record</v>
      </c>
      <c r="AV750" s="5" t="str">
        <f>HYPERLINK("http://www.worldcat.org/oclc/29033708","WorldCat Record")</f>
        <v>WorldCat Record</v>
      </c>
      <c r="AW750" s="2" t="s">
        <v>9552</v>
      </c>
      <c r="AX750" s="2" t="s">
        <v>9553</v>
      </c>
      <c r="AY750" s="2" t="s">
        <v>9554</v>
      </c>
      <c r="AZ750" s="2" t="s">
        <v>9554</v>
      </c>
      <c r="BA750" s="2" t="s">
        <v>9555</v>
      </c>
      <c r="BB750" s="2" t="s">
        <v>21</v>
      </c>
      <c r="BE750" s="2" t="s">
        <v>9556</v>
      </c>
      <c r="BF750" s="2" t="s">
        <v>9557</v>
      </c>
    </row>
    <row r="751" spans="1:58" ht="42.75" customHeight="1" x14ac:dyDescent="0.25">
      <c r="A751" s="8" t="s">
        <v>8</v>
      </c>
      <c r="B751" s="1" t="s">
        <v>0</v>
      </c>
      <c r="C751" s="1" t="s">
        <v>1</v>
      </c>
      <c r="D751" s="1" t="s">
        <v>9558</v>
      </c>
      <c r="E751" s="1" t="s">
        <v>9559</v>
      </c>
      <c r="F751" s="1" t="s">
        <v>9560</v>
      </c>
      <c r="H751" s="2" t="s">
        <v>8</v>
      </c>
      <c r="I751" s="2" t="s">
        <v>7</v>
      </c>
      <c r="J751" s="2" t="s">
        <v>8</v>
      </c>
      <c r="K751" s="2" t="s">
        <v>8</v>
      </c>
      <c r="L751" s="2" t="s">
        <v>9</v>
      </c>
      <c r="N751" s="1" t="s">
        <v>9561</v>
      </c>
      <c r="O751" s="2" t="s">
        <v>731</v>
      </c>
      <c r="Q751" s="2" t="s">
        <v>12</v>
      </c>
      <c r="R751" s="2" t="s">
        <v>1211</v>
      </c>
      <c r="S751" s="1" t="s">
        <v>9562</v>
      </c>
      <c r="T751" s="2" t="s">
        <v>14</v>
      </c>
      <c r="U751" s="3">
        <v>3</v>
      </c>
      <c r="V751" s="3">
        <v>3</v>
      </c>
      <c r="W751" s="4" t="s">
        <v>9563</v>
      </c>
      <c r="X751" s="4" t="s">
        <v>9563</v>
      </c>
      <c r="Y751" s="4" t="s">
        <v>9563</v>
      </c>
      <c r="Z751" s="4" t="s">
        <v>9563</v>
      </c>
      <c r="AA751" s="3">
        <v>207</v>
      </c>
      <c r="AB751" s="3">
        <v>174</v>
      </c>
      <c r="AC751" s="3">
        <v>206</v>
      </c>
      <c r="AD751" s="3">
        <v>1</v>
      </c>
      <c r="AE751" s="3">
        <v>1</v>
      </c>
      <c r="AF751" s="3">
        <v>13</v>
      </c>
      <c r="AG751" s="3">
        <v>15</v>
      </c>
      <c r="AH751" s="3">
        <v>3</v>
      </c>
      <c r="AI751" s="3">
        <v>4</v>
      </c>
      <c r="AJ751" s="3">
        <v>2</v>
      </c>
      <c r="AK751" s="3">
        <v>2</v>
      </c>
      <c r="AL751" s="3">
        <v>9</v>
      </c>
      <c r="AM751" s="3">
        <v>11</v>
      </c>
      <c r="AN751" s="3">
        <v>0</v>
      </c>
      <c r="AO751" s="3">
        <v>0</v>
      </c>
      <c r="AP751" s="3">
        <v>2</v>
      </c>
      <c r="AQ751" s="3">
        <v>2</v>
      </c>
      <c r="AR751" s="2" t="s">
        <v>8</v>
      </c>
      <c r="AS751" s="2" t="s">
        <v>6</v>
      </c>
      <c r="AT751" s="5" t="str">
        <f>HYPERLINK("http://catalog.hathitrust.org/Record/003297003","HathiTrust Record")</f>
        <v>HathiTrust Record</v>
      </c>
      <c r="AU751" s="5" t="str">
        <f>HYPERLINK("https://creighton-primo.hosted.exlibrisgroup.com/primo-explore/search?tab=default_tab&amp;search_scope=EVERYTHING&amp;vid=01CRU&amp;lang=en_US&amp;offset=0&amp;query=any,contains,991001568069702656","Catalog Record")</f>
        <v>Catalog Record</v>
      </c>
      <c r="AV751" s="5" t="str">
        <f>HYPERLINK("http://www.worldcat.org/oclc/36501355","WorldCat Record")</f>
        <v>WorldCat Record</v>
      </c>
      <c r="AW751" s="2" t="s">
        <v>9564</v>
      </c>
      <c r="AX751" s="2" t="s">
        <v>9565</v>
      </c>
      <c r="AY751" s="2" t="s">
        <v>9566</v>
      </c>
      <c r="AZ751" s="2" t="s">
        <v>9566</v>
      </c>
      <c r="BA751" s="2" t="s">
        <v>9567</v>
      </c>
      <c r="BB751" s="2" t="s">
        <v>21</v>
      </c>
      <c r="BD751" s="2" t="s">
        <v>9568</v>
      </c>
      <c r="BE751" s="2" t="s">
        <v>9569</v>
      </c>
      <c r="BF751" s="2" t="s">
        <v>9570</v>
      </c>
    </row>
    <row r="752" spans="1:58" ht="42.75" customHeight="1" x14ac:dyDescent="0.25">
      <c r="A752" s="8" t="s">
        <v>8</v>
      </c>
      <c r="B752" s="1" t="s">
        <v>0</v>
      </c>
      <c r="C752" s="1" t="s">
        <v>1</v>
      </c>
      <c r="D752" s="1" t="s">
        <v>9571</v>
      </c>
      <c r="E752" s="1" t="s">
        <v>9572</v>
      </c>
      <c r="F752" s="1" t="s">
        <v>9573</v>
      </c>
      <c r="H752" s="2" t="s">
        <v>8</v>
      </c>
      <c r="I752" s="2" t="s">
        <v>7</v>
      </c>
      <c r="J752" s="2" t="s">
        <v>6</v>
      </c>
      <c r="K752" s="2" t="s">
        <v>8</v>
      </c>
      <c r="L752" s="2" t="s">
        <v>9</v>
      </c>
      <c r="M752" s="1" t="s">
        <v>9574</v>
      </c>
      <c r="N752" s="1" t="s">
        <v>9575</v>
      </c>
      <c r="O752" s="2" t="s">
        <v>589</v>
      </c>
      <c r="Q752" s="2" t="s">
        <v>12</v>
      </c>
      <c r="R752" s="2" t="s">
        <v>34</v>
      </c>
      <c r="T752" s="2" t="s">
        <v>14</v>
      </c>
      <c r="U752" s="3">
        <v>7</v>
      </c>
      <c r="V752" s="3">
        <v>7</v>
      </c>
      <c r="W752" s="4" t="s">
        <v>9576</v>
      </c>
      <c r="X752" s="4" t="s">
        <v>9576</v>
      </c>
      <c r="Y752" s="4" t="s">
        <v>2755</v>
      </c>
      <c r="Z752" s="4" t="s">
        <v>2755</v>
      </c>
      <c r="AA752" s="3">
        <v>675</v>
      </c>
      <c r="AB752" s="3">
        <v>594</v>
      </c>
      <c r="AC752" s="3">
        <v>599</v>
      </c>
      <c r="AD752" s="3">
        <v>4</v>
      </c>
      <c r="AE752" s="3">
        <v>4</v>
      </c>
      <c r="AF752" s="3">
        <v>27</v>
      </c>
      <c r="AG752" s="3">
        <v>27</v>
      </c>
      <c r="AH752" s="3">
        <v>8</v>
      </c>
      <c r="AI752" s="3">
        <v>8</v>
      </c>
      <c r="AJ752" s="3">
        <v>6</v>
      </c>
      <c r="AK752" s="3">
        <v>6</v>
      </c>
      <c r="AL752" s="3">
        <v>12</v>
      </c>
      <c r="AM752" s="3">
        <v>12</v>
      </c>
      <c r="AN752" s="3">
        <v>2</v>
      </c>
      <c r="AO752" s="3">
        <v>2</v>
      </c>
      <c r="AP752" s="3">
        <v>7</v>
      </c>
      <c r="AQ752" s="3">
        <v>7</v>
      </c>
      <c r="AR752" s="2" t="s">
        <v>8</v>
      </c>
      <c r="AS752" s="2" t="s">
        <v>8</v>
      </c>
      <c r="AU752" s="5" t="str">
        <f>HYPERLINK("https://creighton-primo.hosted.exlibrisgroup.com/primo-explore/search?tab=default_tab&amp;search_scope=EVERYTHING&amp;vid=01CRU&amp;lang=en_US&amp;offset=0&amp;query=any,contains,991001449109702656","Catalog Record")</f>
        <v>Catalog Record</v>
      </c>
      <c r="AV752" s="5" t="str">
        <f>HYPERLINK("http://www.worldcat.org/oclc/20492239","WorldCat Record")</f>
        <v>WorldCat Record</v>
      </c>
      <c r="AW752" s="2" t="s">
        <v>9577</v>
      </c>
      <c r="AX752" s="2" t="s">
        <v>9578</v>
      </c>
      <c r="AY752" s="2" t="s">
        <v>9579</v>
      </c>
      <c r="AZ752" s="2" t="s">
        <v>9579</v>
      </c>
      <c r="BA752" s="2" t="s">
        <v>9580</v>
      </c>
      <c r="BB752" s="2" t="s">
        <v>21</v>
      </c>
      <c r="BD752" s="2" t="s">
        <v>9581</v>
      </c>
      <c r="BE752" s="2" t="s">
        <v>9582</v>
      </c>
      <c r="BF752" s="2" t="s">
        <v>9583</v>
      </c>
    </row>
    <row r="753" spans="1:58" ht="42.75" customHeight="1" x14ac:dyDescent="0.25">
      <c r="A753" s="8" t="s">
        <v>8</v>
      </c>
      <c r="B753" s="1" t="s">
        <v>0</v>
      </c>
      <c r="C753" s="1" t="s">
        <v>1</v>
      </c>
      <c r="D753" s="1" t="s">
        <v>9584</v>
      </c>
      <c r="E753" s="1" t="s">
        <v>9585</v>
      </c>
      <c r="F753" s="1" t="s">
        <v>9586</v>
      </c>
      <c r="H753" s="2" t="s">
        <v>8</v>
      </c>
      <c r="I753" s="2" t="s">
        <v>7</v>
      </c>
      <c r="J753" s="2" t="s">
        <v>8</v>
      </c>
      <c r="K753" s="2" t="s">
        <v>8</v>
      </c>
      <c r="L753" s="2" t="s">
        <v>9</v>
      </c>
      <c r="M753" s="1" t="s">
        <v>9587</v>
      </c>
      <c r="N753" s="1" t="s">
        <v>9588</v>
      </c>
      <c r="O753" s="2" t="s">
        <v>731</v>
      </c>
      <c r="Q753" s="2" t="s">
        <v>12</v>
      </c>
      <c r="R753" s="2" t="s">
        <v>1170</v>
      </c>
      <c r="T753" s="2" t="s">
        <v>14</v>
      </c>
      <c r="U753" s="3">
        <v>1</v>
      </c>
      <c r="V753" s="3">
        <v>1</v>
      </c>
      <c r="W753" s="4" t="s">
        <v>1643</v>
      </c>
      <c r="X753" s="4" t="s">
        <v>1643</v>
      </c>
      <c r="Y753" s="4" t="s">
        <v>1643</v>
      </c>
      <c r="Z753" s="4" t="s">
        <v>1643</v>
      </c>
      <c r="AA753" s="3">
        <v>49</v>
      </c>
      <c r="AB753" s="3">
        <v>43</v>
      </c>
      <c r="AC753" s="3">
        <v>48</v>
      </c>
      <c r="AD753" s="3">
        <v>1</v>
      </c>
      <c r="AE753" s="3">
        <v>1</v>
      </c>
      <c r="AF753" s="3">
        <v>0</v>
      </c>
      <c r="AG753" s="3">
        <v>0</v>
      </c>
      <c r="AH753" s="3">
        <v>0</v>
      </c>
      <c r="AI753" s="3">
        <v>0</v>
      </c>
      <c r="AJ753" s="3">
        <v>0</v>
      </c>
      <c r="AK753" s="3">
        <v>0</v>
      </c>
      <c r="AL753" s="3">
        <v>0</v>
      </c>
      <c r="AM753" s="3">
        <v>0</v>
      </c>
      <c r="AN753" s="3">
        <v>0</v>
      </c>
      <c r="AO753" s="3">
        <v>0</v>
      </c>
      <c r="AP753" s="3">
        <v>0</v>
      </c>
      <c r="AQ753" s="3">
        <v>0</v>
      </c>
      <c r="AR753" s="2" t="s">
        <v>8</v>
      </c>
      <c r="AS753" s="2" t="s">
        <v>8</v>
      </c>
      <c r="AU753" s="5" t="str">
        <f>HYPERLINK("https://creighton-primo.hosted.exlibrisgroup.com/primo-explore/search?tab=default_tab&amp;search_scope=EVERYTHING&amp;vid=01CRU&amp;lang=en_US&amp;offset=0&amp;query=any,contains,991000396899702656","Catalog Record")</f>
        <v>Catalog Record</v>
      </c>
      <c r="AV753" s="5" t="str">
        <f>HYPERLINK("http://www.worldcat.org/oclc/37806142","WorldCat Record")</f>
        <v>WorldCat Record</v>
      </c>
      <c r="AW753" s="2" t="s">
        <v>9589</v>
      </c>
      <c r="AX753" s="2" t="s">
        <v>9590</v>
      </c>
      <c r="AY753" s="2" t="s">
        <v>9591</v>
      </c>
      <c r="AZ753" s="2" t="s">
        <v>9591</v>
      </c>
      <c r="BA753" s="2" t="s">
        <v>9592</v>
      </c>
      <c r="BB753" s="2" t="s">
        <v>21</v>
      </c>
      <c r="BD753" s="2" t="s">
        <v>9593</v>
      </c>
      <c r="BE753" s="2" t="s">
        <v>9594</v>
      </c>
      <c r="BF753" s="2" t="s">
        <v>9595</v>
      </c>
    </row>
    <row r="754" spans="1:58" ht="42.75" customHeight="1" x14ac:dyDescent="0.25">
      <c r="A754" s="8" t="s">
        <v>8</v>
      </c>
      <c r="B754" s="1" t="s">
        <v>0</v>
      </c>
      <c r="C754" s="1" t="s">
        <v>1</v>
      </c>
      <c r="D754" s="1" t="s">
        <v>9596</v>
      </c>
      <c r="E754" s="1" t="s">
        <v>9597</v>
      </c>
      <c r="F754" s="1" t="s">
        <v>9598</v>
      </c>
      <c r="H754" s="2" t="s">
        <v>8</v>
      </c>
      <c r="I754" s="2" t="s">
        <v>7</v>
      </c>
      <c r="J754" s="2" t="s">
        <v>8</v>
      </c>
      <c r="K754" s="2" t="s">
        <v>8</v>
      </c>
      <c r="L754" s="2" t="s">
        <v>7</v>
      </c>
      <c r="M754" s="1" t="s">
        <v>9599</v>
      </c>
      <c r="N754" s="1" t="s">
        <v>3134</v>
      </c>
      <c r="O754" s="2" t="s">
        <v>731</v>
      </c>
      <c r="Q754" s="2" t="s">
        <v>12</v>
      </c>
      <c r="R754" s="2" t="s">
        <v>520</v>
      </c>
      <c r="T754" s="2" t="s">
        <v>14</v>
      </c>
      <c r="U754" s="3">
        <v>7</v>
      </c>
      <c r="V754" s="3">
        <v>7</v>
      </c>
      <c r="W754" s="4" t="s">
        <v>9600</v>
      </c>
      <c r="X754" s="4" t="s">
        <v>9600</v>
      </c>
      <c r="Y754" s="4" t="s">
        <v>9601</v>
      </c>
      <c r="Z754" s="4" t="s">
        <v>9601</v>
      </c>
      <c r="AA754" s="3">
        <v>140</v>
      </c>
      <c r="AB754" s="3">
        <v>131</v>
      </c>
      <c r="AC754" s="3">
        <v>1149</v>
      </c>
      <c r="AD754" s="3">
        <v>3</v>
      </c>
      <c r="AE754" s="3">
        <v>30</v>
      </c>
      <c r="AF754" s="3">
        <v>11</v>
      </c>
      <c r="AG754" s="3">
        <v>39</v>
      </c>
      <c r="AH754" s="3">
        <v>2</v>
      </c>
      <c r="AI754" s="3">
        <v>11</v>
      </c>
      <c r="AJ754" s="3">
        <v>3</v>
      </c>
      <c r="AK754" s="3">
        <v>6</v>
      </c>
      <c r="AL754" s="3">
        <v>7</v>
      </c>
      <c r="AM754" s="3">
        <v>13</v>
      </c>
      <c r="AN754" s="3">
        <v>2</v>
      </c>
      <c r="AO754" s="3">
        <v>15</v>
      </c>
      <c r="AP754" s="3">
        <v>0</v>
      </c>
      <c r="AQ754" s="3">
        <v>0</v>
      </c>
      <c r="AR754" s="2" t="s">
        <v>8</v>
      </c>
      <c r="AS754" s="2" t="s">
        <v>6</v>
      </c>
      <c r="AT754" s="5" t="str">
        <f>HYPERLINK("http://catalog.hathitrust.org/Record/004010871","HathiTrust Record")</f>
        <v>HathiTrust Record</v>
      </c>
      <c r="AU754" s="5" t="str">
        <f>HYPERLINK("https://creighton-primo.hosted.exlibrisgroup.com/primo-explore/search?tab=default_tab&amp;search_scope=EVERYTHING&amp;vid=01CRU&amp;lang=en_US&amp;offset=0&amp;query=any,contains,991000876899702656","Catalog Record")</f>
        <v>Catalog Record</v>
      </c>
      <c r="AV754" s="5" t="str">
        <f>HYPERLINK("http://www.worldcat.org/oclc/38898909","WorldCat Record")</f>
        <v>WorldCat Record</v>
      </c>
      <c r="AW754" s="2" t="s">
        <v>9602</v>
      </c>
      <c r="AX754" s="2" t="s">
        <v>9603</v>
      </c>
      <c r="AY754" s="2" t="s">
        <v>9604</v>
      </c>
      <c r="AZ754" s="2" t="s">
        <v>9604</v>
      </c>
      <c r="BA754" s="2" t="s">
        <v>9605</v>
      </c>
      <c r="BB754" s="2" t="s">
        <v>21</v>
      </c>
      <c r="BD754" s="2" t="s">
        <v>9606</v>
      </c>
      <c r="BE754" s="2" t="s">
        <v>9607</v>
      </c>
      <c r="BF754" s="2" t="s">
        <v>9608</v>
      </c>
    </row>
    <row r="755" spans="1:58" ht="42.75" customHeight="1" x14ac:dyDescent="0.25">
      <c r="A755" s="8" t="s">
        <v>8</v>
      </c>
      <c r="B755" s="1" t="s">
        <v>0</v>
      </c>
      <c r="C755" s="1" t="s">
        <v>1</v>
      </c>
      <c r="D755" s="1" t="s">
        <v>9609</v>
      </c>
      <c r="E755" s="1" t="s">
        <v>9610</v>
      </c>
      <c r="F755" s="1" t="s">
        <v>9611</v>
      </c>
      <c r="H755" s="2" t="s">
        <v>8</v>
      </c>
      <c r="I755" s="2" t="s">
        <v>7</v>
      </c>
      <c r="J755" s="2" t="s">
        <v>8</v>
      </c>
      <c r="K755" s="2" t="s">
        <v>6</v>
      </c>
      <c r="L755" s="2" t="s">
        <v>9612</v>
      </c>
      <c r="M755" s="1" t="s">
        <v>9599</v>
      </c>
      <c r="N755" s="1" t="s">
        <v>9613</v>
      </c>
      <c r="O755" s="2" t="s">
        <v>2044</v>
      </c>
      <c r="P755" s="1" t="s">
        <v>2031</v>
      </c>
      <c r="Q755" s="2" t="s">
        <v>12</v>
      </c>
      <c r="R755" s="2" t="s">
        <v>520</v>
      </c>
      <c r="T755" s="2" t="s">
        <v>14</v>
      </c>
      <c r="U755" s="3">
        <v>3</v>
      </c>
      <c r="V755" s="3">
        <v>3</v>
      </c>
      <c r="W755" s="4" t="s">
        <v>4689</v>
      </c>
      <c r="X755" s="4" t="s">
        <v>4689</v>
      </c>
      <c r="Y755" s="4" t="s">
        <v>9614</v>
      </c>
      <c r="Z755" s="4" t="s">
        <v>9614</v>
      </c>
      <c r="AA755" s="3">
        <v>116</v>
      </c>
      <c r="AB755" s="3">
        <v>103</v>
      </c>
      <c r="AC755" s="3">
        <v>2149</v>
      </c>
      <c r="AD755" s="3">
        <v>2</v>
      </c>
      <c r="AE755" s="3">
        <v>42</v>
      </c>
      <c r="AF755" s="3">
        <v>6</v>
      </c>
      <c r="AG755" s="3">
        <v>64</v>
      </c>
      <c r="AH755" s="3">
        <v>1</v>
      </c>
      <c r="AI755" s="3">
        <v>22</v>
      </c>
      <c r="AJ755" s="3">
        <v>2</v>
      </c>
      <c r="AK755" s="3">
        <v>11</v>
      </c>
      <c r="AL755" s="3">
        <v>6</v>
      </c>
      <c r="AM755" s="3">
        <v>21</v>
      </c>
      <c r="AN755" s="3">
        <v>0</v>
      </c>
      <c r="AO755" s="3">
        <v>18</v>
      </c>
      <c r="AP755" s="3">
        <v>0</v>
      </c>
      <c r="AQ755" s="3">
        <v>3</v>
      </c>
      <c r="AR755" s="2" t="s">
        <v>8</v>
      </c>
      <c r="AS755" s="2" t="s">
        <v>8</v>
      </c>
      <c r="AU755" s="5" t="str">
        <f>HYPERLINK("https://creighton-primo.hosted.exlibrisgroup.com/primo-explore/search?tab=default_tab&amp;search_scope=EVERYTHING&amp;vid=01CRU&amp;lang=en_US&amp;offset=0&amp;query=any,contains,991001343929702656","Catalog Record")</f>
        <v>Catalog Record</v>
      </c>
      <c r="AV755" s="5" t="str">
        <f>HYPERLINK("http://www.worldcat.org/oclc/49250232","WorldCat Record")</f>
        <v>WorldCat Record</v>
      </c>
      <c r="AW755" s="2" t="s">
        <v>9615</v>
      </c>
      <c r="AX755" s="2" t="s">
        <v>9616</v>
      </c>
      <c r="AY755" s="2" t="s">
        <v>9617</v>
      </c>
      <c r="AZ755" s="2" t="s">
        <v>9617</v>
      </c>
      <c r="BA755" s="2" t="s">
        <v>9618</v>
      </c>
      <c r="BB755" s="2" t="s">
        <v>21</v>
      </c>
      <c r="BD755" s="2" t="s">
        <v>9619</v>
      </c>
      <c r="BE755" s="2" t="s">
        <v>9620</v>
      </c>
      <c r="BF755" s="2" t="s">
        <v>9621</v>
      </c>
    </row>
    <row r="756" spans="1:58" ht="42.75" customHeight="1" x14ac:dyDescent="0.25">
      <c r="A756" s="8" t="s">
        <v>8</v>
      </c>
      <c r="B756" s="1" t="s">
        <v>0</v>
      </c>
      <c r="C756" s="1" t="s">
        <v>1</v>
      </c>
      <c r="D756" s="1" t="s">
        <v>9622</v>
      </c>
      <c r="E756" s="1" t="s">
        <v>9623</v>
      </c>
      <c r="F756" s="1" t="s">
        <v>9624</v>
      </c>
      <c r="H756" s="2" t="s">
        <v>8</v>
      </c>
      <c r="I756" s="2" t="s">
        <v>7</v>
      </c>
      <c r="J756" s="2" t="s">
        <v>8</v>
      </c>
      <c r="K756" s="2" t="s">
        <v>8</v>
      </c>
      <c r="L756" s="2" t="s">
        <v>885</v>
      </c>
      <c r="N756" s="1" t="s">
        <v>9625</v>
      </c>
      <c r="O756" s="2" t="s">
        <v>2044</v>
      </c>
      <c r="Q756" s="2" t="s">
        <v>12</v>
      </c>
      <c r="R756" s="2" t="s">
        <v>1211</v>
      </c>
      <c r="T756" s="2" t="s">
        <v>14</v>
      </c>
      <c r="U756" s="3">
        <v>2</v>
      </c>
      <c r="V756" s="3">
        <v>2</v>
      </c>
      <c r="W756" s="4" t="s">
        <v>9626</v>
      </c>
      <c r="X756" s="4" t="s">
        <v>9626</v>
      </c>
      <c r="Y756" s="4" t="s">
        <v>9627</v>
      </c>
      <c r="Z756" s="4" t="s">
        <v>9627</v>
      </c>
      <c r="AA756" s="3">
        <v>164</v>
      </c>
      <c r="AB756" s="3">
        <v>150</v>
      </c>
      <c r="AC756" s="3">
        <v>1167</v>
      </c>
      <c r="AD756" s="3">
        <v>1</v>
      </c>
      <c r="AE756" s="3">
        <v>14</v>
      </c>
      <c r="AF756" s="3">
        <v>2</v>
      </c>
      <c r="AG756" s="3">
        <v>44</v>
      </c>
      <c r="AH756" s="3">
        <v>0</v>
      </c>
      <c r="AI756" s="3">
        <v>13</v>
      </c>
      <c r="AJ756" s="3">
        <v>0</v>
      </c>
      <c r="AK756" s="3">
        <v>9</v>
      </c>
      <c r="AL756" s="3">
        <v>2</v>
      </c>
      <c r="AM756" s="3">
        <v>14</v>
      </c>
      <c r="AN756" s="3">
        <v>0</v>
      </c>
      <c r="AO756" s="3">
        <v>12</v>
      </c>
      <c r="AP756" s="3">
        <v>0</v>
      </c>
      <c r="AQ756" s="3">
        <v>2</v>
      </c>
      <c r="AR756" s="2" t="s">
        <v>8</v>
      </c>
      <c r="AS756" s="2" t="s">
        <v>6</v>
      </c>
      <c r="AT756" s="5" t="str">
        <f>HYPERLINK("http://catalog.hathitrust.org/Record/004293240","HathiTrust Record")</f>
        <v>HathiTrust Record</v>
      </c>
      <c r="AU756" s="5" t="str">
        <f>HYPERLINK("https://creighton-primo.hosted.exlibrisgroup.com/primo-explore/search?tab=default_tab&amp;search_scope=EVERYTHING&amp;vid=01CRU&amp;lang=en_US&amp;offset=0&amp;query=any,contains,991000439669702656","Catalog Record")</f>
        <v>Catalog Record</v>
      </c>
      <c r="AV756" s="5" t="str">
        <f>HYPERLINK("http://www.worldcat.org/oclc/50805588","WorldCat Record")</f>
        <v>WorldCat Record</v>
      </c>
      <c r="AW756" s="2" t="s">
        <v>9628</v>
      </c>
      <c r="AX756" s="2" t="s">
        <v>9629</v>
      </c>
      <c r="AY756" s="2" t="s">
        <v>9630</v>
      </c>
      <c r="AZ756" s="2" t="s">
        <v>9630</v>
      </c>
      <c r="BA756" s="2" t="s">
        <v>9631</v>
      </c>
      <c r="BB756" s="2" t="s">
        <v>21</v>
      </c>
      <c r="BD756" s="2" t="s">
        <v>9632</v>
      </c>
      <c r="BE756" s="2" t="s">
        <v>9633</v>
      </c>
      <c r="BF756" s="2" t="s">
        <v>9634</v>
      </c>
    </row>
    <row r="757" spans="1:58" ht="42.75" customHeight="1" x14ac:dyDescent="0.25">
      <c r="A757" s="8" t="s">
        <v>8</v>
      </c>
      <c r="B757" s="1" t="s">
        <v>0</v>
      </c>
      <c r="C757" s="1" t="s">
        <v>1</v>
      </c>
      <c r="D757" s="1" t="s">
        <v>9635</v>
      </c>
      <c r="E757" s="1" t="s">
        <v>9636</v>
      </c>
      <c r="F757" s="1" t="s">
        <v>9637</v>
      </c>
      <c r="H757" s="2" t="s">
        <v>8</v>
      </c>
      <c r="I757" s="2" t="s">
        <v>7</v>
      </c>
      <c r="J757" s="2" t="s">
        <v>8</v>
      </c>
      <c r="K757" s="2" t="s">
        <v>8</v>
      </c>
      <c r="L757" s="2" t="s">
        <v>9</v>
      </c>
      <c r="N757" s="1" t="s">
        <v>9638</v>
      </c>
      <c r="O757" s="2" t="s">
        <v>266</v>
      </c>
      <c r="Q757" s="2" t="s">
        <v>12</v>
      </c>
      <c r="R757" s="2" t="s">
        <v>34</v>
      </c>
      <c r="T757" s="2" t="s">
        <v>14</v>
      </c>
      <c r="U757" s="3">
        <v>14</v>
      </c>
      <c r="V757" s="3">
        <v>14</v>
      </c>
      <c r="W757" s="4" t="s">
        <v>8692</v>
      </c>
      <c r="X757" s="4" t="s">
        <v>8692</v>
      </c>
      <c r="Y757" s="4" t="s">
        <v>9123</v>
      </c>
      <c r="Z757" s="4" t="s">
        <v>9123</v>
      </c>
      <c r="AA757" s="3">
        <v>518</v>
      </c>
      <c r="AB757" s="3">
        <v>416</v>
      </c>
      <c r="AC757" s="3">
        <v>423</v>
      </c>
      <c r="AD757" s="3">
        <v>1</v>
      </c>
      <c r="AE757" s="3">
        <v>1</v>
      </c>
      <c r="AF757" s="3">
        <v>20</v>
      </c>
      <c r="AG757" s="3">
        <v>20</v>
      </c>
      <c r="AH757" s="3">
        <v>8</v>
      </c>
      <c r="AI757" s="3">
        <v>8</v>
      </c>
      <c r="AJ757" s="3">
        <v>5</v>
      </c>
      <c r="AK757" s="3">
        <v>5</v>
      </c>
      <c r="AL757" s="3">
        <v>13</v>
      </c>
      <c r="AM757" s="3">
        <v>13</v>
      </c>
      <c r="AN757" s="3">
        <v>0</v>
      </c>
      <c r="AO757" s="3">
        <v>0</v>
      </c>
      <c r="AP757" s="3">
        <v>1</v>
      </c>
      <c r="AQ757" s="3">
        <v>1</v>
      </c>
      <c r="AR757" s="2" t="s">
        <v>8</v>
      </c>
      <c r="AS757" s="2" t="s">
        <v>6</v>
      </c>
      <c r="AT757" s="5" t="str">
        <f>HYPERLINK("http://catalog.hathitrust.org/Record/000190999","HathiTrust Record")</f>
        <v>HathiTrust Record</v>
      </c>
      <c r="AU757" s="5" t="str">
        <f>HYPERLINK("https://creighton-primo.hosted.exlibrisgroup.com/primo-explore/search?tab=default_tab&amp;search_scope=EVERYTHING&amp;vid=01CRU&amp;lang=en_US&amp;offset=0&amp;query=any,contains,991000655409702656","Catalog Record")</f>
        <v>Catalog Record</v>
      </c>
      <c r="AV757" s="5" t="str">
        <f>HYPERLINK("http://www.worldcat.org/oclc/8533525","WorldCat Record")</f>
        <v>WorldCat Record</v>
      </c>
      <c r="AW757" s="2" t="s">
        <v>9639</v>
      </c>
      <c r="AX757" s="2" t="s">
        <v>9640</v>
      </c>
      <c r="AY757" s="2" t="s">
        <v>9641</v>
      </c>
      <c r="AZ757" s="2" t="s">
        <v>9641</v>
      </c>
      <c r="BA757" s="2" t="s">
        <v>9642</v>
      </c>
      <c r="BB757" s="2" t="s">
        <v>21</v>
      </c>
      <c r="BD757" s="2" t="s">
        <v>9643</v>
      </c>
      <c r="BE757" s="2" t="s">
        <v>9644</v>
      </c>
      <c r="BF757" s="2" t="s">
        <v>9645</v>
      </c>
    </row>
    <row r="758" spans="1:58" ht="42.75" customHeight="1" x14ac:dyDescent="0.25">
      <c r="A758" s="8" t="s">
        <v>8</v>
      </c>
      <c r="B758" s="1" t="s">
        <v>0</v>
      </c>
      <c r="C758" s="1" t="s">
        <v>1</v>
      </c>
      <c r="D758" s="1" t="s">
        <v>9646</v>
      </c>
      <c r="E758" s="1" t="s">
        <v>9647</v>
      </c>
      <c r="F758" s="1" t="s">
        <v>9648</v>
      </c>
      <c r="H758" s="2" t="s">
        <v>8</v>
      </c>
      <c r="I758" s="2" t="s">
        <v>7</v>
      </c>
      <c r="J758" s="2" t="s">
        <v>8</v>
      </c>
      <c r="K758" s="2" t="s">
        <v>8</v>
      </c>
      <c r="L758" s="2" t="s">
        <v>9</v>
      </c>
      <c r="N758" s="1" t="s">
        <v>9649</v>
      </c>
      <c r="O758" s="2" t="s">
        <v>874</v>
      </c>
      <c r="P758" s="1" t="s">
        <v>9650</v>
      </c>
      <c r="Q758" s="2" t="s">
        <v>12</v>
      </c>
      <c r="R758" s="2" t="s">
        <v>13</v>
      </c>
      <c r="T758" s="2" t="s">
        <v>14</v>
      </c>
      <c r="U758" s="3">
        <v>1</v>
      </c>
      <c r="V758" s="3">
        <v>1</v>
      </c>
      <c r="W758" s="4" t="s">
        <v>9651</v>
      </c>
      <c r="X758" s="4" t="s">
        <v>9651</v>
      </c>
      <c r="Y758" s="4" t="s">
        <v>1643</v>
      </c>
      <c r="Z758" s="4" t="s">
        <v>1643</v>
      </c>
      <c r="AA758" s="3">
        <v>202</v>
      </c>
      <c r="AB758" s="3">
        <v>195</v>
      </c>
      <c r="AC758" s="3">
        <v>405</v>
      </c>
      <c r="AD758" s="3">
        <v>2</v>
      </c>
      <c r="AE758" s="3">
        <v>2</v>
      </c>
      <c r="AF758" s="3">
        <v>1</v>
      </c>
      <c r="AG758" s="3">
        <v>6</v>
      </c>
      <c r="AH758" s="3">
        <v>0</v>
      </c>
      <c r="AI758" s="3">
        <v>1</v>
      </c>
      <c r="AJ758" s="3">
        <v>0</v>
      </c>
      <c r="AK758" s="3">
        <v>2</v>
      </c>
      <c r="AL758" s="3">
        <v>0</v>
      </c>
      <c r="AM758" s="3">
        <v>1</v>
      </c>
      <c r="AN758" s="3">
        <v>1</v>
      </c>
      <c r="AO758" s="3">
        <v>1</v>
      </c>
      <c r="AP758" s="3">
        <v>0</v>
      </c>
      <c r="AQ758" s="3">
        <v>2</v>
      </c>
      <c r="AR758" s="2" t="s">
        <v>8</v>
      </c>
      <c r="AS758" s="2" t="s">
        <v>8</v>
      </c>
      <c r="AU758" s="5" t="str">
        <f>HYPERLINK("https://creighton-primo.hosted.exlibrisgroup.com/primo-explore/search?tab=default_tab&amp;search_scope=EVERYTHING&amp;vid=01CRU&amp;lang=en_US&amp;offset=0&amp;query=any,contains,991000397279702656","Catalog Record")</f>
        <v>Catalog Record</v>
      </c>
      <c r="AV758" s="5" t="str">
        <f>HYPERLINK("http://www.worldcat.org/oclc/35566015","WorldCat Record")</f>
        <v>WorldCat Record</v>
      </c>
      <c r="AW758" s="2" t="s">
        <v>9652</v>
      </c>
      <c r="AX758" s="2" t="s">
        <v>9653</v>
      </c>
      <c r="AY758" s="2" t="s">
        <v>9654</v>
      </c>
      <c r="AZ758" s="2" t="s">
        <v>9654</v>
      </c>
      <c r="BA758" s="2" t="s">
        <v>9655</v>
      </c>
      <c r="BB758" s="2" t="s">
        <v>21</v>
      </c>
      <c r="BD758" s="2" t="s">
        <v>9656</v>
      </c>
      <c r="BE758" s="2" t="s">
        <v>9657</v>
      </c>
      <c r="BF758" s="2" t="s">
        <v>9658</v>
      </c>
    </row>
    <row r="759" spans="1:58" ht="42.75" customHeight="1" x14ac:dyDescent="0.25">
      <c r="A759" s="8" t="s">
        <v>8</v>
      </c>
      <c r="B759" s="1" t="s">
        <v>0</v>
      </c>
      <c r="C759" s="1" t="s">
        <v>1</v>
      </c>
      <c r="D759" s="1" t="s">
        <v>9659</v>
      </c>
      <c r="E759" s="1" t="s">
        <v>9660</v>
      </c>
      <c r="F759" s="1" t="s">
        <v>9661</v>
      </c>
      <c r="H759" s="2" t="s">
        <v>8</v>
      </c>
      <c r="I759" s="2" t="s">
        <v>7</v>
      </c>
      <c r="J759" s="2" t="s">
        <v>8</v>
      </c>
      <c r="K759" s="2" t="s">
        <v>6</v>
      </c>
      <c r="L759" s="2" t="s">
        <v>9</v>
      </c>
      <c r="N759" s="1" t="s">
        <v>9662</v>
      </c>
      <c r="O759" s="2" t="s">
        <v>589</v>
      </c>
      <c r="P759" s="1" t="s">
        <v>761</v>
      </c>
      <c r="Q759" s="2" t="s">
        <v>12</v>
      </c>
      <c r="R759" s="2" t="s">
        <v>34</v>
      </c>
      <c r="T759" s="2" t="s">
        <v>14</v>
      </c>
      <c r="U759" s="3">
        <v>15</v>
      </c>
      <c r="V759" s="3">
        <v>15</v>
      </c>
      <c r="W759" s="4" t="s">
        <v>4588</v>
      </c>
      <c r="X759" s="4" t="s">
        <v>4588</v>
      </c>
      <c r="Y759" s="4" t="s">
        <v>2755</v>
      </c>
      <c r="Z759" s="4" t="s">
        <v>2755</v>
      </c>
      <c r="AA759" s="3">
        <v>285</v>
      </c>
      <c r="AB759" s="3">
        <v>264</v>
      </c>
      <c r="AC759" s="3">
        <v>631</v>
      </c>
      <c r="AD759" s="3">
        <v>2</v>
      </c>
      <c r="AE759" s="3">
        <v>4</v>
      </c>
      <c r="AF759" s="3">
        <v>10</v>
      </c>
      <c r="AG759" s="3">
        <v>24</v>
      </c>
      <c r="AH759" s="3">
        <v>3</v>
      </c>
      <c r="AI759" s="3">
        <v>7</v>
      </c>
      <c r="AJ759" s="3">
        <v>2</v>
      </c>
      <c r="AK759" s="3">
        <v>6</v>
      </c>
      <c r="AL759" s="3">
        <v>5</v>
      </c>
      <c r="AM759" s="3">
        <v>11</v>
      </c>
      <c r="AN759" s="3">
        <v>1</v>
      </c>
      <c r="AO759" s="3">
        <v>3</v>
      </c>
      <c r="AP759" s="3">
        <v>1</v>
      </c>
      <c r="AQ759" s="3">
        <v>2</v>
      </c>
      <c r="AR759" s="2" t="s">
        <v>8</v>
      </c>
      <c r="AS759" s="2" t="s">
        <v>6</v>
      </c>
      <c r="AT759" s="5" t="str">
        <f>HYPERLINK("http://catalog.hathitrust.org/Record/002441209","HathiTrust Record")</f>
        <v>HathiTrust Record</v>
      </c>
      <c r="AU759" s="5" t="str">
        <f>HYPERLINK("https://creighton-primo.hosted.exlibrisgroup.com/primo-explore/search?tab=default_tab&amp;search_scope=EVERYTHING&amp;vid=01CRU&amp;lang=en_US&amp;offset=0&amp;query=any,contains,991001449489702656","Catalog Record")</f>
        <v>Catalog Record</v>
      </c>
      <c r="AV759" s="5" t="str">
        <f>HYPERLINK("http://www.worldcat.org/oclc/20995256","WorldCat Record")</f>
        <v>WorldCat Record</v>
      </c>
      <c r="AW759" s="2" t="s">
        <v>9663</v>
      </c>
      <c r="AX759" s="2" t="s">
        <v>9664</v>
      </c>
      <c r="AY759" s="2" t="s">
        <v>9665</v>
      </c>
      <c r="AZ759" s="2" t="s">
        <v>9665</v>
      </c>
      <c r="BA759" s="2" t="s">
        <v>9666</v>
      </c>
      <c r="BB759" s="2" t="s">
        <v>21</v>
      </c>
      <c r="BD759" s="2" t="s">
        <v>9667</v>
      </c>
      <c r="BE759" s="2" t="s">
        <v>9668</v>
      </c>
      <c r="BF759" s="2" t="s">
        <v>9669</v>
      </c>
    </row>
    <row r="760" spans="1:58" ht="42.75" customHeight="1" x14ac:dyDescent="0.25">
      <c r="A760" s="8" t="s">
        <v>8</v>
      </c>
      <c r="B760" s="1" t="s">
        <v>0</v>
      </c>
      <c r="C760" s="1" t="s">
        <v>1</v>
      </c>
      <c r="D760" s="1" t="s">
        <v>9670</v>
      </c>
      <c r="E760" s="1" t="s">
        <v>9671</v>
      </c>
      <c r="F760" s="1" t="s">
        <v>9672</v>
      </c>
      <c r="H760" s="2" t="s">
        <v>8</v>
      </c>
      <c r="I760" s="2" t="s">
        <v>7</v>
      </c>
      <c r="J760" s="2" t="s">
        <v>8</v>
      </c>
      <c r="K760" s="2" t="s">
        <v>8</v>
      </c>
      <c r="L760" s="2" t="s">
        <v>9</v>
      </c>
      <c r="M760" s="1" t="s">
        <v>9673</v>
      </c>
      <c r="N760" s="1" t="s">
        <v>9674</v>
      </c>
      <c r="O760" s="2" t="s">
        <v>67</v>
      </c>
      <c r="P760" s="1" t="s">
        <v>83</v>
      </c>
      <c r="Q760" s="2" t="s">
        <v>12</v>
      </c>
      <c r="R760" s="2" t="s">
        <v>13</v>
      </c>
      <c r="T760" s="2" t="s">
        <v>14</v>
      </c>
      <c r="U760" s="3">
        <v>1</v>
      </c>
      <c r="V760" s="3">
        <v>1</v>
      </c>
      <c r="W760" s="4" t="s">
        <v>4507</v>
      </c>
      <c r="X760" s="4" t="s">
        <v>4507</v>
      </c>
      <c r="Y760" s="4" t="s">
        <v>4507</v>
      </c>
      <c r="Z760" s="4" t="s">
        <v>4507</v>
      </c>
      <c r="AA760" s="3">
        <v>54</v>
      </c>
      <c r="AB760" s="3">
        <v>43</v>
      </c>
      <c r="AC760" s="3">
        <v>212</v>
      </c>
      <c r="AD760" s="3">
        <v>1</v>
      </c>
      <c r="AE760" s="3">
        <v>1</v>
      </c>
      <c r="AF760" s="3">
        <v>3</v>
      </c>
      <c r="AG760" s="3">
        <v>13</v>
      </c>
      <c r="AH760" s="3">
        <v>1</v>
      </c>
      <c r="AI760" s="3">
        <v>6</v>
      </c>
      <c r="AJ760" s="3">
        <v>1</v>
      </c>
      <c r="AK760" s="3">
        <v>1</v>
      </c>
      <c r="AL760" s="3">
        <v>3</v>
      </c>
      <c r="AM760" s="3">
        <v>11</v>
      </c>
      <c r="AN760" s="3">
        <v>0</v>
      </c>
      <c r="AO760" s="3">
        <v>0</v>
      </c>
      <c r="AP760" s="3">
        <v>0</v>
      </c>
      <c r="AQ760" s="3">
        <v>0</v>
      </c>
      <c r="AR760" s="2" t="s">
        <v>8</v>
      </c>
      <c r="AS760" s="2" t="s">
        <v>6</v>
      </c>
      <c r="AT760" s="5" t="str">
        <f>HYPERLINK("http://catalog.hathitrust.org/Record/000360989","HathiTrust Record")</f>
        <v>HathiTrust Record</v>
      </c>
      <c r="AU760" s="5" t="str">
        <f>HYPERLINK("https://creighton-primo.hosted.exlibrisgroup.com/primo-explore/search?tab=default_tab&amp;search_scope=EVERYTHING&amp;vid=01CRU&amp;lang=en_US&amp;offset=0&amp;query=any,contains,991000771449702656","Catalog Record")</f>
        <v>Catalog Record</v>
      </c>
      <c r="AV760" s="5" t="str">
        <f>HYPERLINK("http://www.worldcat.org/oclc/12055046","WorldCat Record")</f>
        <v>WorldCat Record</v>
      </c>
      <c r="AW760" s="2" t="s">
        <v>9675</v>
      </c>
      <c r="AX760" s="2" t="s">
        <v>9676</v>
      </c>
      <c r="AY760" s="2" t="s">
        <v>9677</v>
      </c>
      <c r="AZ760" s="2" t="s">
        <v>9677</v>
      </c>
      <c r="BA760" s="2" t="s">
        <v>9678</v>
      </c>
      <c r="BB760" s="2" t="s">
        <v>21</v>
      </c>
      <c r="BD760" s="2" t="s">
        <v>9679</v>
      </c>
      <c r="BE760" s="2" t="s">
        <v>9680</v>
      </c>
      <c r="BF760" s="2" t="s">
        <v>9681</v>
      </c>
    </row>
    <row r="761" spans="1:58" ht="42.75" customHeight="1" x14ac:dyDescent="0.25">
      <c r="A761" s="8" t="s">
        <v>8</v>
      </c>
      <c r="B761" s="1" t="s">
        <v>0</v>
      </c>
      <c r="C761" s="1" t="s">
        <v>1</v>
      </c>
      <c r="D761" s="1" t="s">
        <v>9682</v>
      </c>
      <c r="E761" s="1" t="s">
        <v>9683</v>
      </c>
      <c r="F761" s="1" t="s">
        <v>9684</v>
      </c>
      <c r="H761" s="2" t="s">
        <v>8</v>
      </c>
      <c r="I761" s="2" t="s">
        <v>7</v>
      </c>
      <c r="J761" s="2" t="s">
        <v>8</v>
      </c>
      <c r="K761" s="2" t="s">
        <v>8</v>
      </c>
      <c r="L761" s="2" t="s">
        <v>9</v>
      </c>
      <c r="N761" s="1" t="s">
        <v>9685</v>
      </c>
      <c r="O761" s="2" t="s">
        <v>657</v>
      </c>
      <c r="Q761" s="2" t="s">
        <v>12</v>
      </c>
      <c r="R761" s="2" t="s">
        <v>1170</v>
      </c>
      <c r="S761" s="1" t="s">
        <v>9686</v>
      </c>
      <c r="T761" s="2" t="s">
        <v>14</v>
      </c>
      <c r="U761" s="3">
        <v>0</v>
      </c>
      <c r="V761" s="3">
        <v>0</v>
      </c>
      <c r="W761" s="4" t="s">
        <v>9687</v>
      </c>
      <c r="X761" s="4" t="s">
        <v>9687</v>
      </c>
      <c r="Y761" s="4" t="s">
        <v>9688</v>
      </c>
      <c r="Z761" s="4" t="s">
        <v>9688</v>
      </c>
      <c r="AA761" s="3">
        <v>509</v>
      </c>
      <c r="AB761" s="3">
        <v>499</v>
      </c>
      <c r="AC761" s="3">
        <v>1200</v>
      </c>
      <c r="AD761" s="3">
        <v>4</v>
      </c>
      <c r="AE761" s="3">
        <v>6</v>
      </c>
      <c r="AF761" s="3">
        <v>22</v>
      </c>
      <c r="AG761" s="3">
        <v>30</v>
      </c>
      <c r="AH761" s="3">
        <v>6</v>
      </c>
      <c r="AI761" s="3">
        <v>12</v>
      </c>
      <c r="AJ761" s="3">
        <v>6</v>
      </c>
      <c r="AK761" s="3">
        <v>6</v>
      </c>
      <c r="AL761" s="3">
        <v>11</v>
      </c>
      <c r="AM761" s="3">
        <v>13</v>
      </c>
      <c r="AN761" s="3">
        <v>3</v>
      </c>
      <c r="AO761" s="3">
        <v>4</v>
      </c>
      <c r="AP761" s="3">
        <v>0</v>
      </c>
      <c r="AQ761" s="3">
        <v>0</v>
      </c>
      <c r="AR761" s="2" t="s">
        <v>8</v>
      </c>
      <c r="AS761" s="2" t="s">
        <v>6</v>
      </c>
      <c r="AT761" s="5" t="str">
        <f>HYPERLINK("http://catalog.hathitrust.org/Record/004173092","HathiTrust Record")</f>
        <v>HathiTrust Record</v>
      </c>
      <c r="AU761" s="5" t="str">
        <f>HYPERLINK("https://creighton-primo.hosted.exlibrisgroup.com/primo-explore/search?tab=default_tab&amp;search_scope=EVERYTHING&amp;vid=01CRU&amp;lang=en_US&amp;offset=0&amp;query=any,contains,991000386499702656","Catalog Record")</f>
        <v>Catalog Record</v>
      </c>
      <c r="AV761" s="5" t="str">
        <f>HYPERLINK("http://www.worldcat.org/oclc/45835637","WorldCat Record")</f>
        <v>WorldCat Record</v>
      </c>
      <c r="AW761" s="2" t="s">
        <v>9689</v>
      </c>
      <c r="AX761" s="2" t="s">
        <v>9690</v>
      </c>
      <c r="AY761" s="2" t="s">
        <v>9691</v>
      </c>
      <c r="AZ761" s="2" t="s">
        <v>9691</v>
      </c>
      <c r="BA761" s="2" t="s">
        <v>9692</v>
      </c>
      <c r="BB761" s="2" t="s">
        <v>21</v>
      </c>
      <c r="BD761" s="2" t="s">
        <v>9693</v>
      </c>
      <c r="BE761" s="2" t="s">
        <v>9694</v>
      </c>
      <c r="BF761" s="2" t="s">
        <v>9695</v>
      </c>
    </row>
    <row r="762" spans="1:58" ht="42.75" customHeight="1" x14ac:dyDescent="0.25">
      <c r="A762" s="8" t="s">
        <v>8</v>
      </c>
      <c r="B762" s="1" t="s">
        <v>0</v>
      </c>
      <c r="C762" s="1" t="s">
        <v>1</v>
      </c>
      <c r="D762" s="1" t="s">
        <v>9696</v>
      </c>
      <c r="E762" s="1" t="s">
        <v>9697</v>
      </c>
      <c r="F762" s="1" t="s">
        <v>9698</v>
      </c>
      <c r="H762" s="2" t="s">
        <v>8</v>
      </c>
      <c r="I762" s="2" t="s">
        <v>7</v>
      </c>
      <c r="J762" s="2" t="s">
        <v>8</v>
      </c>
      <c r="K762" s="2" t="s">
        <v>6</v>
      </c>
      <c r="L762" s="2" t="s">
        <v>9</v>
      </c>
      <c r="N762" s="1" t="s">
        <v>9699</v>
      </c>
      <c r="O762" s="2" t="s">
        <v>657</v>
      </c>
      <c r="P762" s="1" t="s">
        <v>732</v>
      </c>
      <c r="Q762" s="2" t="s">
        <v>12</v>
      </c>
      <c r="R762" s="2" t="s">
        <v>1340</v>
      </c>
      <c r="S762" s="1" t="s">
        <v>9700</v>
      </c>
      <c r="T762" s="2" t="s">
        <v>14</v>
      </c>
      <c r="U762" s="3">
        <v>4</v>
      </c>
      <c r="V762" s="3">
        <v>4</v>
      </c>
      <c r="W762" s="4" t="s">
        <v>9701</v>
      </c>
      <c r="X762" s="4" t="s">
        <v>9701</v>
      </c>
      <c r="Y762" s="4" t="s">
        <v>1447</v>
      </c>
      <c r="Z762" s="4" t="s">
        <v>1447</v>
      </c>
      <c r="AA762" s="3">
        <v>172</v>
      </c>
      <c r="AB762" s="3">
        <v>159</v>
      </c>
      <c r="AC762" s="3">
        <v>569</v>
      </c>
      <c r="AD762" s="3">
        <v>1</v>
      </c>
      <c r="AE762" s="3">
        <v>3</v>
      </c>
      <c r="AF762" s="3">
        <v>7</v>
      </c>
      <c r="AG762" s="3">
        <v>27</v>
      </c>
      <c r="AH762" s="3">
        <v>4</v>
      </c>
      <c r="AI762" s="3">
        <v>11</v>
      </c>
      <c r="AJ762" s="3">
        <v>2</v>
      </c>
      <c r="AK762" s="3">
        <v>6</v>
      </c>
      <c r="AL762" s="3">
        <v>2</v>
      </c>
      <c r="AM762" s="3">
        <v>12</v>
      </c>
      <c r="AN762" s="3">
        <v>0</v>
      </c>
      <c r="AO762" s="3">
        <v>2</v>
      </c>
      <c r="AP762" s="3">
        <v>0</v>
      </c>
      <c r="AQ762" s="3">
        <v>1</v>
      </c>
      <c r="AR762" s="2" t="s">
        <v>8</v>
      </c>
      <c r="AS762" s="2" t="s">
        <v>8</v>
      </c>
      <c r="AU762" s="5" t="str">
        <f>HYPERLINK("https://creighton-primo.hosted.exlibrisgroup.com/primo-explore/search?tab=default_tab&amp;search_scope=EVERYTHING&amp;vid=01CRU&amp;lang=en_US&amp;offset=0&amp;query=any,contains,991000340259702656","Catalog Record")</f>
        <v>Catalog Record</v>
      </c>
      <c r="AV762" s="5" t="str">
        <f>HYPERLINK("http://www.worldcat.org/oclc/44681708","WorldCat Record")</f>
        <v>WorldCat Record</v>
      </c>
      <c r="AW762" s="2" t="s">
        <v>9702</v>
      </c>
      <c r="AX762" s="2" t="s">
        <v>9703</v>
      </c>
      <c r="AY762" s="2" t="s">
        <v>9704</v>
      </c>
      <c r="AZ762" s="2" t="s">
        <v>9704</v>
      </c>
      <c r="BA762" s="2" t="s">
        <v>9705</v>
      </c>
      <c r="BB762" s="2" t="s">
        <v>21</v>
      </c>
      <c r="BD762" s="2" t="s">
        <v>9706</v>
      </c>
      <c r="BE762" s="2" t="s">
        <v>9707</v>
      </c>
      <c r="BF762" s="2" t="s">
        <v>9708</v>
      </c>
    </row>
    <row r="763" spans="1:58" ht="42.75" customHeight="1" x14ac:dyDescent="0.25">
      <c r="A763" s="8" t="s">
        <v>8</v>
      </c>
      <c r="B763" s="1" t="s">
        <v>0</v>
      </c>
      <c r="C763" s="1" t="s">
        <v>1</v>
      </c>
      <c r="D763" s="1" t="s">
        <v>9709</v>
      </c>
      <c r="E763" s="1" t="s">
        <v>9710</v>
      </c>
      <c r="F763" s="1" t="s">
        <v>9711</v>
      </c>
      <c r="H763" s="2" t="s">
        <v>8</v>
      </c>
      <c r="I763" s="2" t="s">
        <v>7</v>
      </c>
      <c r="J763" s="2" t="s">
        <v>8</v>
      </c>
      <c r="K763" s="2" t="s">
        <v>6</v>
      </c>
      <c r="L763" s="2" t="s">
        <v>9</v>
      </c>
      <c r="N763" s="1" t="s">
        <v>9712</v>
      </c>
      <c r="O763" s="2" t="s">
        <v>642</v>
      </c>
      <c r="P763" s="1" t="s">
        <v>761</v>
      </c>
      <c r="Q763" s="2" t="s">
        <v>12</v>
      </c>
      <c r="R763" s="2" t="s">
        <v>1340</v>
      </c>
      <c r="T763" s="2" t="s">
        <v>14</v>
      </c>
      <c r="U763" s="3">
        <v>4</v>
      </c>
      <c r="V763" s="3">
        <v>4</v>
      </c>
      <c r="W763" s="4" t="s">
        <v>9713</v>
      </c>
      <c r="X763" s="4" t="s">
        <v>9713</v>
      </c>
      <c r="Y763" s="4" t="s">
        <v>9714</v>
      </c>
      <c r="Z763" s="4" t="s">
        <v>9714</v>
      </c>
      <c r="AA763" s="3">
        <v>340</v>
      </c>
      <c r="AB763" s="3">
        <v>309</v>
      </c>
      <c r="AC763" s="3">
        <v>569</v>
      </c>
      <c r="AD763" s="3">
        <v>1</v>
      </c>
      <c r="AE763" s="3">
        <v>3</v>
      </c>
      <c r="AF763" s="3">
        <v>11</v>
      </c>
      <c r="AG763" s="3">
        <v>27</v>
      </c>
      <c r="AH763" s="3">
        <v>3</v>
      </c>
      <c r="AI763" s="3">
        <v>11</v>
      </c>
      <c r="AJ763" s="3">
        <v>2</v>
      </c>
      <c r="AK763" s="3">
        <v>6</v>
      </c>
      <c r="AL763" s="3">
        <v>6</v>
      </c>
      <c r="AM763" s="3">
        <v>12</v>
      </c>
      <c r="AN763" s="3">
        <v>0</v>
      </c>
      <c r="AO763" s="3">
        <v>2</v>
      </c>
      <c r="AP763" s="3">
        <v>1</v>
      </c>
      <c r="AQ763" s="3">
        <v>1</v>
      </c>
      <c r="AR763" s="2" t="s">
        <v>8</v>
      </c>
      <c r="AS763" s="2" t="s">
        <v>8</v>
      </c>
      <c r="AU763" s="5" t="str">
        <f>HYPERLINK("https://creighton-primo.hosted.exlibrisgroup.com/primo-explore/search?tab=default_tab&amp;search_scope=EVERYTHING&amp;vid=01CRU&amp;lang=en_US&amp;offset=0&amp;query=any,contains,991000472859702656","Catalog Record")</f>
        <v>Catalog Record</v>
      </c>
      <c r="AV763" s="5" t="str">
        <f>HYPERLINK("http://www.worldcat.org/oclc/53138750","WorldCat Record")</f>
        <v>WorldCat Record</v>
      </c>
      <c r="AW763" s="2" t="s">
        <v>9702</v>
      </c>
      <c r="AX763" s="2" t="s">
        <v>9715</v>
      </c>
      <c r="AY763" s="2" t="s">
        <v>9716</v>
      </c>
      <c r="AZ763" s="2" t="s">
        <v>9716</v>
      </c>
      <c r="BA763" s="2" t="s">
        <v>9717</v>
      </c>
      <c r="BB763" s="2" t="s">
        <v>21</v>
      </c>
      <c r="BD763" s="2" t="s">
        <v>9718</v>
      </c>
      <c r="BE763" s="2" t="s">
        <v>9719</v>
      </c>
      <c r="BF763" s="2" t="s">
        <v>9720</v>
      </c>
    </row>
    <row r="764" spans="1:58" ht="42.75" customHeight="1" x14ac:dyDescent="0.25">
      <c r="A764" s="8" t="s">
        <v>8</v>
      </c>
      <c r="B764" s="1" t="s">
        <v>0</v>
      </c>
      <c r="C764" s="1" t="s">
        <v>1</v>
      </c>
      <c r="D764" s="1" t="s">
        <v>9721</v>
      </c>
      <c r="E764" s="1" t="s">
        <v>9722</v>
      </c>
      <c r="F764" s="1" t="s">
        <v>9723</v>
      </c>
      <c r="H764" s="2" t="s">
        <v>8</v>
      </c>
      <c r="I764" s="2" t="s">
        <v>7</v>
      </c>
      <c r="J764" s="2" t="s">
        <v>8</v>
      </c>
      <c r="K764" s="2" t="s">
        <v>8</v>
      </c>
      <c r="L764" s="2" t="s">
        <v>9</v>
      </c>
      <c r="M764" s="1" t="s">
        <v>9724</v>
      </c>
      <c r="N764" s="1" t="s">
        <v>9725</v>
      </c>
      <c r="O764" s="2" t="s">
        <v>987</v>
      </c>
      <c r="Q764" s="2" t="s">
        <v>12</v>
      </c>
      <c r="R764" s="2" t="s">
        <v>267</v>
      </c>
      <c r="T764" s="2" t="s">
        <v>14</v>
      </c>
      <c r="U764" s="3">
        <v>2</v>
      </c>
      <c r="V764" s="3">
        <v>2</v>
      </c>
      <c r="W764" s="4" t="s">
        <v>9726</v>
      </c>
      <c r="X764" s="4" t="s">
        <v>9726</v>
      </c>
      <c r="Y764" s="4" t="s">
        <v>7647</v>
      </c>
      <c r="Z764" s="4" t="s">
        <v>7647</v>
      </c>
      <c r="AA764" s="3">
        <v>28</v>
      </c>
      <c r="AB764" s="3">
        <v>24</v>
      </c>
      <c r="AC764" s="3">
        <v>24</v>
      </c>
      <c r="AD764" s="3">
        <v>1</v>
      </c>
      <c r="AE764" s="3">
        <v>1</v>
      </c>
      <c r="AF764" s="3">
        <v>1</v>
      </c>
      <c r="AG764" s="3">
        <v>1</v>
      </c>
      <c r="AH764" s="3">
        <v>1</v>
      </c>
      <c r="AI764" s="3">
        <v>1</v>
      </c>
      <c r="AJ764" s="3">
        <v>0</v>
      </c>
      <c r="AK764" s="3">
        <v>0</v>
      </c>
      <c r="AL764" s="3">
        <v>0</v>
      </c>
      <c r="AM764" s="3">
        <v>0</v>
      </c>
      <c r="AN764" s="3">
        <v>0</v>
      </c>
      <c r="AO764" s="3">
        <v>0</v>
      </c>
      <c r="AP764" s="3">
        <v>0</v>
      </c>
      <c r="AQ764" s="3">
        <v>0</v>
      </c>
      <c r="AR764" s="2" t="s">
        <v>8</v>
      </c>
      <c r="AS764" s="2" t="s">
        <v>8</v>
      </c>
      <c r="AU764" s="5" t="str">
        <f>HYPERLINK("https://creighton-primo.hosted.exlibrisgroup.com/primo-explore/search?tab=default_tab&amp;search_scope=EVERYTHING&amp;vid=01CRU&amp;lang=en_US&amp;offset=0&amp;query=any,contains,991001466189702656","Catalog Record")</f>
        <v>Catalog Record</v>
      </c>
      <c r="AV764" s="5" t="str">
        <f>HYPERLINK("http://www.worldcat.org/oclc/230204802","WorldCat Record")</f>
        <v>WorldCat Record</v>
      </c>
      <c r="AW764" s="2" t="s">
        <v>9727</v>
      </c>
      <c r="AX764" s="2" t="s">
        <v>9728</v>
      </c>
      <c r="AY764" s="2" t="s">
        <v>9729</v>
      </c>
      <c r="AZ764" s="2" t="s">
        <v>9729</v>
      </c>
      <c r="BA764" s="2" t="s">
        <v>9730</v>
      </c>
      <c r="BB764" s="2" t="s">
        <v>21</v>
      </c>
      <c r="BD764" s="2" t="s">
        <v>9731</v>
      </c>
      <c r="BE764" s="2" t="s">
        <v>9732</v>
      </c>
      <c r="BF764" s="2" t="s">
        <v>9733</v>
      </c>
    </row>
    <row r="765" spans="1:58" ht="42.75" customHeight="1" x14ac:dyDescent="0.25">
      <c r="A765" s="8" t="s">
        <v>8</v>
      </c>
      <c r="B765" s="1" t="s">
        <v>0</v>
      </c>
      <c r="C765" s="1" t="s">
        <v>1</v>
      </c>
      <c r="D765" s="1" t="s">
        <v>9734</v>
      </c>
      <c r="E765" s="1" t="s">
        <v>9735</v>
      </c>
      <c r="F765" s="1" t="s">
        <v>9736</v>
      </c>
      <c r="H765" s="2" t="s">
        <v>8</v>
      </c>
      <c r="I765" s="2" t="s">
        <v>7</v>
      </c>
      <c r="J765" s="2" t="s">
        <v>8</v>
      </c>
      <c r="K765" s="2" t="s">
        <v>6</v>
      </c>
      <c r="L765" s="2" t="s">
        <v>9</v>
      </c>
      <c r="N765" s="1" t="s">
        <v>9737</v>
      </c>
      <c r="O765" s="2" t="s">
        <v>874</v>
      </c>
      <c r="P765" s="1" t="s">
        <v>83</v>
      </c>
      <c r="Q765" s="2" t="s">
        <v>12</v>
      </c>
      <c r="R765" s="2" t="s">
        <v>815</v>
      </c>
      <c r="T765" s="2" t="s">
        <v>14</v>
      </c>
      <c r="U765" s="3">
        <v>4</v>
      </c>
      <c r="V765" s="3">
        <v>4</v>
      </c>
      <c r="W765" s="4" t="s">
        <v>9738</v>
      </c>
      <c r="X765" s="4" t="s">
        <v>9738</v>
      </c>
      <c r="Y765" s="4" t="s">
        <v>9739</v>
      </c>
      <c r="Z765" s="4" t="s">
        <v>9739</v>
      </c>
      <c r="AA765" s="3">
        <v>225</v>
      </c>
      <c r="AB765" s="3">
        <v>190</v>
      </c>
      <c r="AC765" s="3">
        <v>382</v>
      </c>
      <c r="AD765" s="3">
        <v>2</v>
      </c>
      <c r="AE765" s="3">
        <v>2</v>
      </c>
      <c r="AF765" s="3">
        <v>8</v>
      </c>
      <c r="AG765" s="3">
        <v>16</v>
      </c>
      <c r="AH765" s="3">
        <v>3</v>
      </c>
      <c r="AI765" s="3">
        <v>7</v>
      </c>
      <c r="AJ765" s="3">
        <v>0</v>
      </c>
      <c r="AK765" s="3">
        <v>3</v>
      </c>
      <c r="AL765" s="3">
        <v>6</v>
      </c>
      <c r="AM765" s="3">
        <v>10</v>
      </c>
      <c r="AN765" s="3">
        <v>1</v>
      </c>
      <c r="AO765" s="3">
        <v>1</v>
      </c>
      <c r="AP765" s="3">
        <v>0</v>
      </c>
      <c r="AQ765" s="3">
        <v>0</v>
      </c>
      <c r="AR765" s="2" t="s">
        <v>8</v>
      </c>
      <c r="AS765" s="2" t="s">
        <v>6</v>
      </c>
      <c r="AT765" s="5" t="str">
        <f>HYPERLINK("http://catalog.hathitrust.org/Record/003152534","HathiTrust Record")</f>
        <v>HathiTrust Record</v>
      </c>
      <c r="AU765" s="5" t="str">
        <f>HYPERLINK("https://creighton-primo.hosted.exlibrisgroup.com/primo-explore/search?tab=default_tab&amp;search_scope=EVERYTHING&amp;vid=01CRU&amp;lang=en_US&amp;offset=0&amp;query=any,contains,991001566199702656","Catalog Record")</f>
        <v>Catalog Record</v>
      </c>
      <c r="AV765" s="5" t="str">
        <f>HYPERLINK("http://www.worldcat.org/oclc/36252892","WorldCat Record")</f>
        <v>WorldCat Record</v>
      </c>
      <c r="AW765" s="2" t="s">
        <v>9740</v>
      </c>
      <c r="AX765" s="2" t="s">
        <v>9741</v>
      </c>
      <c r="AY765" s="2" t="s">
        <v>9742</v>
      </c>
      <c r="AZ765" s="2" t="s">
        <v>9742</v>
      </c>
      <c r="BA765" s="2" t="s">
        <v>9743</v>
      </c>
      <c r="BB765" s="2" t="s">
        <v>21</v>
      </c>
      <c r="BD765" s="2" t="s">
        <v>9744</v>
      </c>
      <c r="BE765" s="2" t="s">
        <v>9745</v>
      </c>
      <c r="BF765" s="2" t="s">
        <v>9746</v>
      </c>
    </row>
    <row r="766" spans="1:58" ht="42.75" customHeight="1" x14ac:dyDescent="0.25">
      <c r="A766" s="8" t="s">
        <v>8</v>
      </c>
      <c r="B766" s="1" t="s">
        <v>0</v>
      </c>
      <c r="C766" s="1" t="s">
        <v>1</v>
      </c>
      <c r="D766" s="1" t="s">
        <v>9747</v>
      </c>
      <c r="E766" s="1" t="s">
        <v>9748</v>
      </c>
      <c r="F766" s="1" t="s">
        <v>9749</v>
      </c>
      <c r="H766" s="2" t="s">
        <v>8</v>
      </c>
      <c r="I766" s="2" t="s">
        <v>7</v>
      </c>
      <c r="J766" s="2" t="s">
        <v>6</v>
      </c>
      <c r="K766" s="2" t="s">
        <v>8</v>
      </c>
      <c r="L766" s="2" t="s">
        <v>858</v>
      </c>
      <c r="M766" s="1" t="s">
        <v>9750</v>
      </c>
      <c r="N766" s="1" t="s">
        <v>9751</v>
      </c>
      <c r="O766" s="2" t="s">
        <v>51</v>
      </c>
      <c r="Q766" s="2" t="s">
        <v>12</v>
      </c>
      <c r="R766" s="2" t="s">
        <v>1211</v>
      </c>
      <c r="T766" s="2" t="s">
        <v>14</v>
      </c>
      <c r="U766" s="3">
        <v>19</v>
      </c>
      <c r="V766" s="3">
        <v>19</v>
      </c>
      <c r="W766" s="4" t="s">
        <v>9752</v>
      </c>
      <c r="X766" s="4" t="s">
        <v>9752</v>
      </c>
      <c r="Y766" s="4" t="s">
        <v>7634</v>
      </c>
      <c r="Z766" s="4" t="s">
        <v>7634</v>
      </c>
      <c r="AA766" s="3">
        <v>556</v>
      </c>
      <c r="AB766" s="3">
        <v>500</v>
      </c>
      <c r="AC766" s="3">
        <v>1332</v>
      </c>
      <c r="AD766" s="3">
        <v>2</v>
      </c>
      <c r="AE766" s="3">
        <v>14</v>
      </c>
      <c r="AF766" s="3">
        <v>17</v>
      </c>
      <c r="AG766" s="3">
        <v>47</v>
      </c>
      <c r="AH766" s="3">
        <v>6</v>
      </c>
      <c r="AI766" s="3">
        <v>15</v>
      </c>
      <c r="AJ766" s="3">
        <v>4</v>
      </c>
      <c r="AK766" s="3">
        <v>10</v>
      </c>
      <c r="AL766" s="3">
        <v>8</v>
      </c>
      <c r="AM766" s="3">
        <v>13</v>
      </c>
      <c r="AN766" s="3">
        <v>0</v>
      </c>
      <c r="AO766" s="3">
        <v>12</v>
      </c>
      <c r="AP766" s="3">
        <v>3</v>
      </c>
      <c r="AQ766" s="3">
        <v>4</v>
      </c>
      <c r="AR766" s="2" t="s">
        <v>8</v>
      </c>
      <c r="AS766" s="2" t="s">
        <v>8</v>
      </c>
      <c r="AU766" s="5" t="str">
        <f>HYPERLINK("https://creighton-primo.hosted.exlibrisgroup.com/primo-explore/search?tab=default_tab&amp;search_scope=EVERYTHING&amp;vid=01CRU&amp;lang=en_US&amp;offset=0&amp;query=any,contains,991000763839702656","Catalog Record")</f>
        <v>Catalog Record</v>
      </c>
      <c r="AV766" s="5" t="str">
        <f>HYPERLINK("http://www.worldcat.org/oclc/18464873","WorldCat Record")</f>
        <v>WorldCat Record</v>
      </c>
      <c r="AW766" s="2" t="s">
        <v>9753</v>
      </c>
      <c r="AX766" s="2" t="s">
        <v>9754</v>
      </c>
      <c r="AY766" s="2" t="s">
        <v>9755</v>
      </c>
      <c r="AZ766" s="2" t="s">
        <v>9755</v>
      </c>
      <c r="BA766" s="2" t="s">
        <v>9756</v>
      </c>
      <c r="BB766" s="2" t="s">
        <v>21</v>
      </c>
      <c r="BD766" s="2" t="s">
        <v>9757</v>
      </c>
      <c r="BE766" s="2" t="s">
        <v>9758</v>
      </c>
      <c r="BF766" s="2" t="s">
        <v>9759</v>
      </c>
    </row>
    <row r="767" spans="1:58" ht="42.75" customHeight="1" x14ac:dyDescent="0.25">
      <c r="A767" s="8" t="s">
        <v>8</v>
      </c>
      <c r="B767" s="1" t="s">
        <v>0</v>
      </c>
      <c r="C767" s="1" t="s">
        <v>1</v>
      </c>
      <c r="D767" s="1" t="s">
        <v>9760</v>
      </c>
      <c r="E767" s="1" t="s">
        <v>9761</v>
      </c>
      <c r="F767" s="1" t="s">
        <v>9762</v>
      </c>
      <c r="H767" s="2" t="s">
        <v>8</v>
      </c>
      <c r="I767" s="2" t="s">
        <v>7</v>
      </c>
      <c r="J767" s="2" t="s">
        <v>8</v>
      </c>
      <c r="K767" s="2" t="s">
        <v>6</v>
      </c>
      <c r="L767" s="2" t="s">
        <v>7</v>
      </c>
      <c r="N767" s="1" t="s">
        <v>9712</v>
      </c>
      <c r="O767" s="2" t="s">
        <v>642</v>
      </c>
      <c r="P767" s="1" t="s">
        <v>732</v>
      </c>
      <c r="Q767" s="2" t="s">
        <v>12</v>
      </c>
      <c r="R767" s="2" t="s">
        <v>1340</v>
      </c>
      <c r="T767" s="2" t="s">
        <v>14</v>
      </c>
      <c r="U767" s="3">
        <v>65</v>
      </c>
      <c r="V767" s="3">
        <v>65</v>
      </c>
      <c r="W767" s="4" t="s">
        <v>9763</v>
      </c>
      <c r="X767" s="4" t="s">
        <v>9763</v>
      </c>
      <c r="Y767" s="4" t="s">
        <v>4327</v>
      </c>
      <c r="Z767" s="4" t="s">
        <v>4327</v>
      </c>
      <c r="AA767" s="3">
        <v>70</v>
      </c>
      <c r="AB767" s="3">
        <v>60</v>
      </c>
      <c r="AC767" s="3">
        <v>232</v>
      </c>
      <c r="AD767" s="3">
        <v>1</v>
      </c>
      <c r="AE767" s="3">
        <v>2</v>
      </c>
      <c r="AF767" s="3">
        <v>4</v>
      </c>
      <c r="AG767" s="3">
        <v>11</v>
      </c>
      <c r="AH767" s="3">
        <v>2</v>
      </c>
      <c r="AI767" s="3">
        <v>5</v>
      </c>
      <c r="AJ767" s="3">
        <v>2</v>
      </c>
      <c r="AK767" s="3">
        <v>3</v>
      </c>
      <c r="AL767" s="3">
        <v>0</v>
      </c>
      <c r="AM767" s="3">
        <v>4</v>
      </c>
      <c r="AN767" s="3">
        <v>0</v>
      </c>
      <c r="AO767" s="3">
        <v>1</v>
      </c>
      <c r="AP767" s="3">
        <v>0</v>
      </c>
      <c r="AQ767" s="3">
        <v>0</v>
      </c>
      <c r="AR767" s="2" t="s">
        <v>8</v>
      </c>
      <c r="AS767" s="2" t="s">
        <v>6</v>
      </c>
      <c r="AT767" s="5" t="str">
        <f>HYPERLINK("http://catalog.hathitrust.org/Record/004737976","HathiTrust Record")</f>
        <v>HathiTrust Record</v>
      </c>
      <c r="AU767" s="5" t="str">
        <f>HYPERLINK("https://creighton-primo.hosted.exlibrisgroup.com/primo-explore/search?tab=default_tab&amp;search_scope=EVERYTHING&amp;vid=01CRU&amp;lang=en_US&amp;offset=0&amp;query=any,contains,991000381779702656","Catalog Record")</f>
        <v>Catalog Record</v>
      </c>
      <c r="AV767" s="5" t="str">
        <f>HYPERLINK("http://www.worldcat.org/oclc/53802093","WorldCat Record")</f>
        <v>WorldCat Record</v>
      </c>
      <c r="AW767" s="2" t="s">
        <v>9764</v>
      </c>
      <c r="AX767" s="2" t="s">
        <v>9765</v>
      </c>
      <c r="AY767" s="2" t="s">
        <v>9766</v>
      </c>
      <c r="AZ767" s="2" t="s">
        <v>9766</v>
      </c>
      <c r="BA767" s="2" t="s">
        <v>9767</v>
      </c>
      <c r="BB767" s="2" t="s">
        <v>21</v>
      </c>
      <c r="BD767" s="2" t="s">
        <v>9768</v>
      </c>
      <c r="BE767" s="2" t="s">
        <v>9769</v>
      </c>
      <c r="BF767" s="2" t="s">
        <v>9770</v>
      </c>
    </row>
    <row r="768" spans="1:58" ht="42.75" customHeight="1" x14ac:dyDescent="0.25">
      <c r="A768" s="8" t="s">
        <v>8</v>
      </c>
      <c r="B768" s="1" t="s">
        <v>0</v>
      </c>
      <c r="C768" s="1" t="s">
        <v>1</v>
      </c>
      <c r="D768" s="1" t="s">
        <v>9771</v>
      </c>
      <c r="E768" s="1" t="s">
        <v>9772</v>
      </c>
      <c r="F768" s="1" t="s">
        <v>9773</v>
      </c>
      <c r="H768" s="2" t="s">
        <v>8</v>
      </c>
      <c r="I768" s="2" t="s">
        <v>7</v>
      </c>
      <c r="J768" s="2" t="s">
        <v>8</v>
      </c>
      <c r="K768" s="2" t="s">
        <v>6</v>
      </c>
      <c r="L768" s="2" t="s">
        <v>858</v>
      </c>
      <c r="N768" s="1" t="s">
        <v>9774</v>
      </c>
      <c r="O768" s="2" t="s">
        <v>814</v>
      </c>
      <c r="P768" s="1" t="s">
        <v>1537</v>
      </c>
      <c r="Q768" s="2" t="s">
        <v>12</v>
      </c>
      <c r="R768" s="2" t="s">
        <v>13</v>
      </c>
      <c r="T768" s="2" t="s">
        <v>14</v>
      </c>
      <c r="U768" s="3">
        <v>13</v>
      </c>
      <c r="V768" s="3">
        <v>13</v>
      </c>
      <c r="W768" s="4" t="s">
        <v>9775</v>
      </c>
      <c r="X768" s="4" t="s">
        <v>9775</v>
      </c>
      <c r="Y768" s="4" t="s">
        <v>6526</v>
      </c>
      <c r="Z768" s="4" t="s">
        <v>6526</v>
      </c>
      <c r="AA768" s="3">
        <v>304</v>
      </c>
      <c r="AB768" s="3">
        <v>291</v>
      </c>
      <c r="AC768" s="3">
        <v>1708</v>
      </c>
      <c r="AD768" s="3">
        <v>1</v>
      </c>
      <c r="AE768" s="3">
        <v>15</v>
      </c>
      <c r="AF768" s="3">
        <v>5</v>
      </c>
      <c r="AG768" s="3">
        <v>65</v>
      </c>
      <c r="AH768" s="3">
        <v>1</v>
      </c>
      <c r="AI768" s="3">
        <v>24</v>
      </c>
      <c r="AJ768" s="3">
        <v>1</v>
      </c>
      <c r="AK768" s="3">
        <v>12</v>
      </c>
      <c r="AL768" s="3">
        <v>4</v>
      </c>
      <c r="AM768" s="3">
        <v>23</v>
      </c>
      <c r="AN768" s="3">
        <v>0</v>
      </c>
      <c r="AO768" s="3">
        <v>13</v>
      </c>
      <c r="AP768" s="3">
        <v>0</v>
      </c>
      <c r="AQ768" s="3">
        <v>4</v>
      </c>
      <c r="AR768" s="2" t="s">
        <v>8</v>
      </c>
      <c r="AS768" s="2" t="s">
        <v>6</v>
      </c>
      <c r="AT768" s="5" t="str">
        <f>HYPERLINK("http://catalog.hathitrust.org/Record/003997996","HathiTrust Record")</f>
        <v>HathiTrust Record</v>
      </c>
      <c r="AU768" s="5" t="str">
        <f>HYPERLINK("https://creighton-primo.hosted.exlibrisgroup.com/primo-explore/search?tab=default_tab&amp;search_scope=EVERYTHING&amp;vid=01CRU&amp;lang=en_US&amp;offset=0&amp;query=any,contains,991000689879702656","Catalog Record")</f>
        <v>Catalog Record</v>
      </c>
      <c r="AV768" s="5" t="str">
        <f>HYPERLINK("http://www.worldcat.org/oclc/39275837","WorldCat Record")</f>
        <v>WorldCat Record</v>
      </c>
      <c r="AW768" s="2" t="s">
        <v>9776</v>
      </c>
      <c r="AX768" s="2" t="s">
        <v>9777</v>
      </c>
      <c r="AY768" s="2" t="s">
        <v>9778</v>
      </c>
      <c r="AZ768" s="2" t="s">
        <v>9778</v>
      </c>
      <c r="BA768" s="2" t="s">
        <v>9779</v>
      </c>
      <c r="BB768" s="2" t="s">
        <v>21</v>
      </c>
      <c r="BD768" s="2" t="s">
        <v>9780</v>
      </c>
      <c r="BE768" s="2" t="s">
        <v>9781</v>
      </c>
      <c r="BF768" s="2" t="s">
        <v>9782</v>
      </c>
    </row>
    <row r="769" spans="1:58" ht="42.75" customHeight="1" x14ac:dyDescent="0.25">
      <c r="A769" s="8" t="s">
        <v>8</v>
      </c>
      <c r="B769" s="1" t="s">
        <v>0</v>
      </c>
      <c r="C769" s="1" t="s">
        <v>1</v>
      </c>
      <c r="D769" s="1" t="s">
        <v>9783</v>
      </c>
      <c r="E769" s="1" t="s">
        <v>9784</v>
      </c>
      <c r="F769" s="1" t="s">
        <v>9785</v>
      </c>
      <c r="H769" s="2" t="s">
        <v>8</v>
      </c>
      <c r="I769" s="2" t="s">
        <v>7</v>
      </c>
      <c r="J769" s="2" t="s">
        <v>8</v>
      </c>
      <c r="K769" s="2" t="s">
        <v>6</v>
      </c>
      <c r="L769" s="2" t="s">
        <v>858</v>
      </c>
      <c r="N769" s="1" t="s">
        <v>9786</v>
      </c>
      <c r="O769" s="2" t="s">
        <v>2044</v>
      </c>
      <c r="P769" s="1" t="s">
        <v>2090</v>
      </c>
      <c r="Q769" s="2" t="s">
        <v>12</v>
      </c>
      <c r="R769" s="2" t="s">
        <v>13</v>
      </c>
      <c r="T769" s="2" t="s">
        <v>14</v>
      </c>
      <c r="U769" s="3">
        <v>3</v>
      </c>
      <c r="V769" s="3">
        <v>3</v>
      </c>
      <c r="W769" s="4" t="s">
        <v>9787</v>
      </c>
      <c r="X769" s="4" t="s">
        <v>9787</v>
      </c>
      <c r="Y769" s="4" t="s">
        <v>196</v>
      </c>
      <c r="Z769" s="4" t="s">
        <v>196</v>
      </c>
      <c r="AA769" s="3">
        <v>314</v>
      </c>
      <c r="AB769" s="3">
        <v>293</v>
      </c>
      <c r="AC769" s="3">
        <v>1708</v>
      </c>
      <c r="AD769" s="3">
        <v>1</v>
      </c>
      <c r="AE769" s="3">
        <v>15</v>
      </c>
      <c r="AF769" s="3">
        <v>11</v>
      </c>
      <c r="AG769" s="3">
        <v>65</v>
      </c>
      <c r="AH769" s="3">
        <v>3</v>
      </c>
      <c r="AI769" s="3">
        <v>24</v>
      </c>
      <c r="AJ769" s="3">
        <v>4</v>
      </c>
      <c r="AK769" s="3">
        <v>12</v>
      </c>
      <c r="AL769" s="3">
        <v>7</v>
      </c>
      <c r="AM769" s="3">
        <v>23</v>
      </c>
      <c r="AN769" s="3">
        <v>0</v>
      </c>
      <c r="AO769" s="3">
        <v>13</v>
      </c>
      <c r="AP769" s="3">
        <v>0</v>
      </c>
      <c r="AQ769" s="3">
        <v>4</v>
      </c>
      <c r="AR769" s="2" t="s">
        <v>8</v>
      </c>
      <c r="AS769" s="2" t="s">
        <v>6</v>
      </c>
      <c r="AT769" s="5" t="str">
        <f>HYPERLINK("http://catalog.hathitrust.org/Record/004250593","HathiTrust Record")</f>
        <v>HathiTrust Record</v>
      </c>
      <c r="AU769" s="5" t="str">
        <f>HYPERLINK("https://creighton-primo.hosted.exlibrisgroup.com/primo-explore/search?tab=default_tab&amp;search_scope=EVERYTHING&amp;vid=01CRU&amp;lang=en_US&amp;offset=0&amp;query=any,contains,991000316339702656","Catalog Record")</f>
        <v>Catalog Record</v>
      </c>
      <c r="AV769" s="5" t="str">
        <f>HYPERLINK("http://www.worldcat.org/oclc/48773933","WorldCat Record")</f>
        <v>WorldCat Record</v>
      </c>
      <c r="AW769" s="2" t="s">
        <v>9776</v>
      </c>
      <c r="AX769" s="2" t="s">
        <v>9788</v>
      </c>
      <c r="AY769" s="2" t="s">
        <v>9789</v>
      </c>
      <c r="AZ769" s="2" t="s">
        <v>9789</v>
      </c>
      <c r="BA769" s="2" t="s">
        <v>9790</v>
      </c>
      <c r="BB769" s="2" t="s">
        <v>21</v>
      </c>
      <c r="BD769" s="2" t="s">
        <v>9791</v>
      </c>
      <c r="BE769" s="2" t="s">
        <v>9792</v>
      </c>
      <c r="BF769" s="2" t="s">
        <v>9793</v>
      </c>
    </row>
    <row r="770" spans="1:58" ht="42.75" customHeight="1" x14ac:dyDescent="0.25">
      <c r="A770" s="8" t="s">
        <v>8</v>
      </c>
      <c r="B770" s="1" t="s">
        <v>0</v>
      </c>
      <c r="C770" s="1" t="s">
        <v>1</v>
      </c>
      <c r="D770" s="1" t="s">
        <v>9794</v>
      </c>
      <c r="E770" s="1" t="s">
        <v>9795</v>
      </c>
      <c r="F770" s="1" t="s">
        <v>9796</v>
      </c>
      <c r="H770" s="2" t="s">
        <v>8</v>
      </c>
      <c r="I770" s="2" t="s">
        <v>7</v>
      </c>
      <c r="J770" s="2" t="s">
        <v>8</v>
      </c>
      <c r="K770" s="2" t="s">
        <v>6</v>
      </c>
      <c r="L770" s="2" t="s">
        <v>858</v>
      </c>
      <c r="N770" s="1" t="s">
        <v>9797</v>
      </c>
      <c r="O770" s="2" t="s">
        <v>959</v>
      </c>
      <c r="P770" s="1" t="s">
        <v>3563</v>
      </c>
      <c r="Q770" s="2" t="s">
        <v>12</v>
      </c>
      <c r="R770" s="2" t="s">
        <v>13</v>
      </c>
      <c r="T770" s="2" t="s">
        <v>14</v>
      </c>
      <c r="U770" s="3">
        <v>0</v>
      </c>
      <c r="V770" s="3">
        <v>0</v>
      </c>
      <c r="W770" s="4" t="s">
        <v>9798</v>
      </c>
      <c r="X770" s="4" t="s">
        <v>9798</v>
      </c>
      <c r="Y770" s="4" t="s">
        <v>3833</v>
      </c>
      <c r="Z770" s="4" t="s">
        <v>3833</v>
      </c>
      <c r="AA770" s="3">
        <v>255</v>
      </c>
      <c r="AB770" s="3">
        <v>236</v>
      </c>
      <c r="AC770" s="3">
        <v>1708</v>
      </c>
      <c r="AD770" s="3">
        <v>1</v>
      </c>
      <c r="AE770" s="3">
        <v>15</v>
      </c>
      <c r="AF770" s="3">
        <v>12</v>
      </c>
      <c r="AG770" s="3">
        <v>65</v>
      </c>
      <c r="AH770" s="3">
        <v>5</v>
      </c>
      <c r="AI770" s="3">
        <v>24</v>
      </c>
      <c r="AJ770" s="3">
        <v>4</v>
      </c>
      <c r="AK770" s="3">
        <v>12</v>
      </c>
      <c r="AL770" s="3">
        <v>5</v>
      </c>
      <c r="AM770" s="3">
        <v>23</v>
      </c>
      <c r="AN770" s="3">
        <v>0</v>
      </c>
      <c r="AO770" s="3">
        <v>13</v>
      </c>
      <c r="AP770" s="3">
        <v>0</v>
      </c>
      <c r="AQ770" s="3">
        <v>4</v>
      </c>
      <c r="AR770" s="2" t="s">
        <v>8</v>
      </c>
      <c r="AS770" s="2" t="s">
        <v>8</v>
      </c>
      <c r="AU770" s="5" t="str">
        <f>HYPERLINK("https://creighton-primo.hosted.exlibrisgroup.com/primo-explore/search?tab=default_tab&amp;search_scope=EVERYTHING&amp;vid=01CRU&amp;lang=en_US&amp;offset=0&amp;query=any,contains,991000463139702656","Catalog Record")</f>
        <v>Catalog Record</v>
      </c>
      <c r="AV770" s="5" t="str">
        <f>HYPERLINK("http://www.worldcat.org/oclc/58533857","WorldCat Record")</f>
        <v>WorldCat Record</v>
      </c>
      <c r="AW770" s="2" t="s">
        <v>9776</v>
      </c>
      <c r="AX770" s="2" t="s">
        <v>9799</v>
      </c>
      <c r="AY770" s="2" t="s">
        <v>9800</v>
      </c>
      <c r="AZ770" s="2" t="s">
        <v>9800</v>
      </c>
      <c r="BA770" s="2" t="s">
        <v>9801</v>
      </c>
      <c r="BB770" s="2" t="s">
        <v>21</v>
      </c>
      <c r="BD770" s="2" t="s">
        <v>9802</v>
      </c>
      <c r="BE770" s="2" t="s">
        <v>9803</v>
      </c>
      <c r="BF770" s="2" t="s">
        <v>9804</v>
      </c>
    </row>
    <row r="771" spans="1:58" ht="42.75" customHeight="1" x14ac:dyDescent="0.25">
      <c r="A771" s="8" t="s">
        <v>8</v>
      </c>
      <c r="B771" s="1" t="s">
        <v>0</v>
      </c>
      <c r="C771" s="1" t="s">
        <v>1</v>
      </c>
      <c r="D771" s="1" t="s">
        <v>9805</v>
      </c>
      <c r="E771" s="1" t="s">
        <v>9806</v>
      </c>
      <c r="F771" s="1" t="s">
        <v>9807</v>
      </c>
      <c r="H771" s="2" t="s">
        <v>8</v>
      </c>
      <c r="I771" s="2" t="s">
        <v>7</v>
      </c>
      <c r="J771" s="2" t="s">
        <v>8</v>
      </c>
      <c r="K771" s="2" t="s">
        <v>8</v>
      </c>
      <c r="L771" s="2" t="s">
        <v>9</v>
      </c>
      <c r="M771" s="1" t="s">
        <v>9808</v>
      </c>
      <c r="N771" s="1" t="s">
        <v>9809</v>
      </c>
      <c r="O771" s="2" t="s">
        <v>1327</v>
      </c>
      <c r="P771" s="1" t="s">
        <v>83</v>
      </c>
      <c r="Q771" s="2" t="s">
        <v>12</v>
      </c>
      <c r="R771" s="2" t="s">
        <v>34</v>
      </c>
      <c r="T771" s="2" t="s">
        <v>14</v>
      </c>
      <c r="U771" s="3">
        <v>3</v>
      </c>
      <c r="V771" s="3">
        <v>3</v>
      </c>
      <c r="W771" s="4" t="s">
        <v>9810</v>
      </c>
      <c r="X771" s="4" t="s">
        <v>9810</v>
      </c>
      <c r="Y771" s="4" t="s">
        <v>2755</v>
      </c>
      <c r="Z771" s="4" t="s">
        <v>2755</v>
      </c>
      <c r="AA771" s="3">
        <v>285</v>
      </c>
      <c r="AB771" s="3">
        <v>263</v>
      </c>
      <c r="AC771" s="3">
        <v>351</v>
      </c>
      <c r="AD771" s="3">
        <v>2</v>
      </c>
      <c r="AE771" s="3">
        <v>3</v>
      </c>
      <c r="AF771" s="3">
        <v>17</v>
      </c>
      <c r="AG771" s="3">
        <v>20</v>
      </c>
      <c r="AH771" s="3">
        <v>7</v>
      </c>
      <c r="AI771" s="3">
        <v>8</v>
      </c>
      <c r="AJ771" s="3">
        <v>2</v>
      </c>
      <c r="AK771" s="3">
        <v>2</v>
      </c>
      <c r="AL771" s="3">
        <v>9</v>
      </c>
      <c r="AM771" s="3">
        <v>10</v>
      </c>
      <c r="AN771" s="3">
        <v>1</v>
      </c>
      <c r="AO771" s="3">
        <v>2</v>
      </c>
      <c r="AP771" s="3">
        <v>3</v>
      </c>
      <c r="AQ771" s="3">
        <v>3</v>
      </c>
      <c r="AR771" s="2" t="s">
        <v>8</v>
      </c>
      <c r="AS771" s="2" t="s">
        <v>6</v>
      </c>
      <c r="AT771" s="5" t="str">
        <f>HYPERLINK("http://catalog.hathitrust.org/Record/000484840","HathiTrust Record")</f>
        <v>HathiTrust Record</v>
      </c>
      <c r="AU771" s="5" t="str">
        <f>HYPERLINK("https://creighton-primo.hosted.exlibrisgroup.com/primo-explore/search?tab=default_tab&amp;search_scope=EVERYTHING&amp;vid=01CRU&amp;lang=en_US&amp;offset=0&amp;query=any,contains,991001449449702656","Catalog Record")</f>
        <v>Catalog Record</v>
      </c>
      <c r="AV771" s="5" t="str">
        <f>HYPERLINK("http://www.worldcat.org/oclc/12749726","WorldCat Record")</f>
        <v>WorldCat Record</v>
      </c>
      <c r="AW771" s="2" t="s">
        <v>9811</v>
      </c>
      <c r="AX771" s="2" t="s">
        <v>9812</v>
      </c>
      <c r="AY771" s="2" t="s">
        <v>9813</v>
      </c>
      <c r="AZ771" s="2" t="s">
        <v>9813</v>
      </c>
      <c r="BA771" s="2" t="s">
        <v>9814</v>
      </c>
      <c r="BB771" s="2" t="s">
        <v>21</v>
      </c>
      <c r="BD771" s="2" t="s">
        <v>9815</v>
      </c>
      <c r="BE771" s="2" t="s">
        <v>9816</v>
      </c>
      <c r="BF771" s="2" t="s">
        <v>9817</v>
      </c>
    </row>
    <row r="772" spans="1:58" ht="42.75" customHeight="1" x14ac:dyDescent="0.25">
      <c r="A772" s="8" t="s">
        <v>8</v>
      </c>
      <c r="B772" s="1" t="s">
        <v>0</v>
      </c>
      <c r="C772" s="1" t="s">
        <v>1</v>
      </c>
      <c r="D772" s="1" t="s">
        <v>9818</v>
      </c>
      <c r="E772" s="1" t="s">
        <v>9819</v>
      </c>
      <c r="F772" s="1" t="s">
        <v>9820</v>
      </c>
      <c r="H772" s="2" t="s">
        <v>8</v>
      </c>
      <c r="I772" s="2" t="s">
        <v>7</v>
      </c>
      <c r="J772" s="2" t="s">
        <v>8</v>
      </c>
      <c r="K772" s="2" t="s">
        <v>6</v>
      </c>
      <c r="L772" s="2" t="s">
        <v>9</v>
      </c>
      <c r="M772" s="1" t="s">
        <v>9821</v>
      </c>
      <c r="N772" s="1" t="s">
        <v>9822</v>
      </c>
      <c r="O772" s="2" t="s">
        <v>614</v>
      </c>
      <c r="P772" s="1" t="s">
        <v>732</v>
      </c>
      <c r="Q772" s="2" t="s">
        <v>12</v>
      </c>
      <c r="R772" s="2" t="s">
        <v>13</v>
      </c>
      <c r="T772" s="2" t="s">
        <v>14</v>
      </c>
      <c r="U772" s="3">
        <v>15</v>
      </c>
      <c r="V772" s="3">
        <v>15</v>
      </c>
      <c r="W772" s="4" t="s">
        <v>9823</v>
      </c>
      <c r="X772" s="4" t="s">
        <v>9823</v>
      </c>
      <c r="Y772" s="4" t="s">
        <v>3850</v>
      </c>
      <c r="Z772" s="4" t="s">
        <v>3850</v>
      </c>
      <c r="AA772" s="3">
        <v>217</v>
      </c>
      <c r="AB772" s="3">
        <v>201</v>
      </c>
      <c r="AC772" s="3">
        <v>1011</v>
      </c>
      <c r="AD772" s="3">
        <v>1</v>
      </c>
      <c r="AE772" s="3">
        <v>7</v>
      </c>
      <c r="AF772" s="3">
        <v>5</v>
      </c>
      <c r="AG772" s="3">
        <v>40</v>
      </c>
      <c r="AH772" s="3">
        <v>2</v>
      </c>
      <c r="AI772" s="3">
        <v>18</v>
      </c>
      <c r="AJ772" s="3">
        <v>2</v>
      </c>
      <c r="AK772" s="3">
        <v>9</v>
      </c>
      <c r="AL772" s="3">
        <v>2</v>
      </c>
      <c r="AM772" s="3">
        <v>15</v>
      </c>
      <c r="AN772" s="3">
        <v>0</v>
      </c>
      <c r="AO772" s="3">
        <v>5</v>
      </c>
      <c r="AP772" s="3">
        <v>0</v>
      </c>
      <c r="AQ772" s="3">
        <v>1</v>
      </c>
      <c r="AR772" s="2" t="s">
        <v>8</v>
      </c>
      <c r="AS772" s="2" t="s">
        <v>6</v>
      </c>
      <c r="AT772" s="5" t="str">
        <f>HYPERLINK("http://catalog.hathitrust.org/Record/004513681","HathiTrust Record")</f>
        <v>HathiTrust Record</v>
      </c>
      <c r="AU772" s="5" t="str">
        <f>HYPERLINK("https://creighton-primo.hosted.exlibrisgroup.com/primo-explore/search?tab=default_tab&amp;search_scope=EVERYTHING&amp;vid=01CRU&amp;lang=en_US&amp;offset=0&amp;query=any,contains,991000946719702656","Catalog Record")</f>
        <v>Catalog Record</v>
      </c>
      <c r="AV772" s="5" t="str">
        <f>HYPERLINK("http://www.worldcat.org/oclc/23694103","WorldCat Record")</f>
        <v>WorldCat Record</v>
      </c>
      <c r="AW772" s="2" t="s">
        <v>9824</v>
      </c>
      <c r="AX772" s="2" t="s">
        <v>9825</v>
      </c>
      <c r="AY772" s="2" t="s">
        <v>9826</v>
      </c>
      <c r="AZ772" s="2" t="s">
        <v>9826</v>
      </c>
      <c r="BA772" s="2" t="s">
        <v>9827</v>
      </c>
      <c r="BB772" s="2" t="s">
        <v>21</v>
      </c>
      <c r="BD772" s="2" t="s">
        <v>9828</v>
      </c>
      <c r="BE772" s="2" t="s">
        <v>9829</v>
      </c>
      <c r="BF772" s="2" t="s">
        <v>9830</v>
      </c>
    </row>
    <row r="773" spans="1:58" ht="42.75" customHeight="1" x14ac:dyDescent="0.25">
      <c r="A773" s="8" t="s">
        <v>8</v>
      </c>
      <c r="B773" s="1" t="s">
        <v>0</v>
      </c>
      <c r="C773" s="1" t="s">
        <v>1</v>
      </c>
      <c r="D773" s="1" t="s">
        <v>9831</v>
      </c>
      <c r="E773" s="1" t="s">
        <v>9832</v>
      </c>
      <c r="F773" s="1" t="s">
        <v>9833</v>
      </c>
      <c r="H773" s="2" t="s">
        <v>8</v>
      </c>
      <c r="I773" s="2" t="s">
        <v>7</v>
      </c>
      <c r="J773" s="2" t="s">
        <v>8</v>
      </c>
      <c r="K773" s="2" t="s">
        <v>8</v>
      </c>
      <c r="L773" s="2" t="s">
        <v>9</v>
      </c>
      <c r="M773" s="1" t="s">
        <v>9834</v>
      </c>
      <c r="N773" s="1" t="s">
        <v>9835</v>
      </c>
      <c r="O773" s="2" t="s">
        <v>410</v>
      </c>
      <c r="Q773" s="2" t="s">
        <v>12</v>
      </c>
      <c r="R773" s="2" t="s">
        <v>1170</v>
      </c>
      <c r="T773" s="2" t="s">
        <v>14</v>
      </c>
      <c r="U773" s="3">
        <v>11</v>
      </c>
      <c r="V773" s="3">
        <v>11</v>
      </c>
      <c r="W773" s="4" t="s">
        <v>6728</v>
      </c>
      <c r="X773" s="4" t="s">
        <v>6728</v>
      </c>
      <c r="Y773" s="4" t="s">
        <v>2605</v>
      </c>
      <c r="Z773" s="4" t="s">
        <v>2605</v>
      </c>
      <c r="AA773" s="3">
        <v>281</v>
      </c>
      <c r="AB773" s="3">
        <v>253</v>
      </c>
      <c r="AC773" s="3">
        <v>255</v>
      </c>
      <c r="AD773" s="3">
        <v>3</v>
      </c>
      <c r="AE773" s="3">
        <v>3</v>
      </c>
      <c r="AF773" s="3">
        <v>12</v>
      </c>
      <c r="AG773" s="3">
        <v>12</v>
      </c>
      <c r="AH773" s="3">
        <v>2</v>
      </c>
      <c r="AI773" s="3">
        <v>2</v>
      </c>
      <c r="AJ773" s="3">
        <v>6</v>
      </c>
      <c r="AK773" s="3">
        <v>6</v>
      </c>
      <c r="AL773" s="3">
        <v>6</v>
      </c>
      <c r="AM773" s="3">
        <v>6</v>
      </c>
      <c r="AN773" s="3">
        <v>2</v>
      </c>
      <c r="AO773" s="3">
        <v>2</v>
      </c>
      <c r="AP773" s="3">
        <v>0</v>
      </c>
      <c r="AQ773" s="3">
        <v>0</v>
      </c>
      <c r="AR773" s="2" t="s">
        <v>8</v>
      </c>
      <c r="AS773" s="2" t="s">
        <v>8</v>
      </c>
      <c r="AU773" s="5" t="str">
        <f>HYPERLINK("https://creighton-primo.hosted.exlibrisgroup.com/primo-explore/search?tab=default_tab&amp;search_scope=EVERYTHING&amp;vid=01CRU&amp;lang=en_US&amp;offset=0&amp;query=any,contains,991001513669702656","Catalog Record")</f>
        <v>Catalog Record</v>
      </c>
      <c r="AV773" s="5" t="str">
        <f>HYPERLINK("http://www.worldcat.org/oclc/25788462","WorldCat Record")</f>
        <v>WorldCat Record</v>
      </c>
      <c r="AW773" s="2" t="s">
        <v>9836</v>
      </c>
      <c r="AX773" s="2" t="s">
        <v>9837</v>
      </c>
      <c r="AY773" s="2" t="s">
        <v>9838</v>
      </c>
      <c r="AZ773" s="2" t="s">
        <v>9838</v>
      </c>
      <c r="BA773" s="2" t="s">
        <v>9839</v>
      </c>
      <c r="BB773" s="2" t="s">
        <v>21</v>
      </c>
      <c r="BD773" s="2" t="s">
        <v>9840</v>
      </c>
      <c r="BE773" s="2" t="s">
        <v>9841</v>
      </c>
      <c r="BF773" s="2" t="s">
        <v>9842</v>
      </c>
    </row>
    <row r="774" spans="1:58" ht="42.75" customHeight="1" x14ac:dyDescent="0.25">
      <c r="A774" s="8" t="s">
        <v>8</v>
      </c>
      <c r="B774" s="1" t="s">
        <v>0</v>
      </c>
      <c r="C774" s="1" t="s">
        <v>1</v>
      </c>
      <c r="D774" s="1" t="s">
        <v>9843</v>
      </c>
      <c r="E774" s="1" t="s">
        <v>9844</v>
      </c>
      <c r="F774" s="1" t="s">
        <v>9845</v>
      </c>
      <c r="H774" s="2" t="s">
        <v>8</v>
      </c>
      <c r="I774" s="2" t="s">
        <v>7</v>
      </c>
      <c r="J774" s="2" t="s">
        <v>8</v>
      </c>
      <c r="K774" s="2" t="s">
        <v>8</v>
      </c>
      <c r="L774" s="2" t="s">
        <v>9</v>
      </c>
      <c r="M774" s="1" t="s">
        <v>9846</v>
      </c>
      <c r="N774" s="1" t="s">
        <v>9847</v>
      </c>
      <c r="O774" s="2" t="s">
        <v>410</v>
      </c>
      <c r="P774" s="1" t="s">
        <v>1225</v>
      </c>
      <c r="Q774" s="2" t="s">
        <v>12</v>
      </c>
      <c r="R774" s="2" t="s">
        <v>13</v>
      </c>
      <c r="T774" s="2" t="s">
        <v>14</v>
      </c>
      <c r="U774" s="3">
        <v>6</v>
      </c>
      <c r="V774" s="3">
        <v>6</v>
      </c>
      <c r="W774" s="4" t="s">
        <v>2351</v>
      </c>
      <c r="X774" s="4" t="s">
        <v>2351</v>
      </c>
      <c r="Y774" s="4" t="s">
        <v>9406</v>
      </c>
      <c r="Z774" s="4" t="s">
        <v>9406</v>
      </c>
      <c r="AA774" s="3">
        <v>577</v>
      </c>
      <c r="AB774" s="3">
        <v>551</v>
      </c>
      <c r="AC774" s="3">
        <v>628</v>
      </c>
      <c r="AD774" s="3">
        <v>2</v>
      </c>
      <c r="AE774" s="3">
        <v>2</v>
      </c>
      <c r="AF774" s="3">
        <v>13</v>
      </c>
      <c r="AG774" s="3">
        <v>17</v>
      </c>
      <c r="AH774" s="3">
        <v>6</v>
      </c>
      <c r="AI774" s="3">
        <v>8</v>
      </c>
      <c r="AJ774" s="3">
        <v>3</v>
      </c>
      <c r="AK774" s="3">
        <v>4</v>
      </c>
      <c r="AL774" s="3">
        <v>6</v>
      </c>
      <c r="AM774" s="3">
        <v>7</v>
      </c>
      <c r="AN774" s="3">
        <v>1</v>
      </c>
      <c r="AO774" s="3">
        <v>1</v>
      </c>
      <c r="AP774" s="3">
        <v>2</v>
      </c>
      <c r="AQ774" s="3">
        <v>2</v>
      </c>
      <c r="AR774" s="2" t="s">
        <v>8</v>
      </c>
      <c r="AS774" s="2" t="s">
        <v>6</v>
      </c>
      <c r="AT774" s="5" t="str">
        <f>HYPERLINK("http://catalog.hathitrust.org/Record/007472923","HathiTrust Record")</f>
        <v>HathiTrust Record</v>
      </c>
      <c r="AU774" s="5" t="str">
        <f>HYPERLINK("https://creighton-primo.hosted.exlibrisgroup.com/primo-explore/search?tab=default_tab&amp;search_scope=EVERYTHING&amp;vid=01CRU&amp;lang=en_US&amp;offset=0&amp;query=any,contains,991001481269702656","Catalog Record")</f>
        <v>Catalog Record</v>
      </c>
      <c r="AV774" s="5" t="str">
        <f>HYPERLINK("http://www.worldcat.org/oclc/26214003","WorldCat Record")</f>
        <v>WorldCat Record</v>
      </c>
      <c r="AW774" s="2" t="s">
        <v>9848</v>
      </c>
      <c r="AX774" s="2" t="s">
        <v>9849</v>
      </c>
      <c r="AY774" s="2" t="s">
        <v>9850</v>
      </c>
      <c r="AZ774" s="2" t="s">
        <v>9850</v>
      </c>
      <c r="BA774" s="2" t="s">
        <v>9851</v>
      </c>
      <c r="BB774" s="2" t="s">
        <v>21</v>
      </c>
      <c r="BD774" s="2" t="s">
        <v>9852</v>
      </c>
      <c r="BE774" s="2" t="s">
        <v>9853</v>
      </c>
      <c r="BF774" s="2" t="s">
        <v>9854</v>
      </c>
    </row>
    <row r="775" spans="1:58" ht="42.75" customHeight="1" x14ac:dyDescent="0.25">
      <c r="A775" s="8" t="s">
        <v>8</v>
      </c>
      <c r="B775" s="1" t="s">
        <v>0</v>
      </c>
      <c r="C775" s="1" t="s">
        <v>1</v>
      </c>
      <c r="D775" s="1" t="s">
        <v>9855</v>
      </c>
      <c r="E775" s="1" t="s">
        <v>9856</v>
      </c>
      <c r="F775" s="1" t="s">
        <v>9857</v>
      </c>
      <c r="H775" s="2" t="s">
        <v>8</v>
      </c>
      <c r="I775" s="2" t="s">
        <v>7</v>
      </c>
      <c r="J775" s="2" t="s">
        <v>8</v>
      </c>
      <c r="K775" s="2" t="s">
        <v>8</v>
      </c>
      <c r="L775" s="2" t="s">
        <v>9</v>
      </c>
      <c r="M775" s="1" t="s">
        <v>9858</v>
      </c>
      <c r="N775" s="1" t="s">
        <v>9859</v>
      </c>
      <c r="O775" s="2" t="s">
        <v>907</v>
      </c>
      <c r="Q775" s="2" t="s">
        <v>12</v>
      </c>
      <c r="R775" s="2" t="s">
        <v>13</v>
      </c>
      <c r="T775" s="2" t="s">
        <v>14</v>
      </c>
      <c r="U775" s="3">
        <v>2</v>
      </c>
      <c r="V775" s="3">
        <v>2</v>
      </c>
      <c r="W775" s="4" t="s">
        <v>6816</v>
      </c>
      <c r="X775" s="4" t="s">
        <v>6816</v>
      </c>
      <c r="Y775" s="4" t="s">
        <v>1643</v>
      </c>
      <c r="Z775" s="4" t="s">
        <v>1643</v>
      </c>
      <c r="AA775" s="3">
        <v>145</v>
      </c>
      <c r="AB775" s="3">
        <v>134</v>
      </c>
      <c r="AC775" s="3">
        <v>139</v>
      </c>
      <c r="AD775" s="3">
        <v>1</v>
      </c>
      <c r="AE775" s="3">
        <v>1</v>
      </c>
      <c r="AF775" s="3">
        <v>7</v>
      </c>
      <c r="AG775" s="3">
        <v>7</v>
      </c>
      <c r="AH775" s="3">
        <v>3</v>
      </c>
      <c r="AI775" s="3">
        <v>3</v>
      </c>
      <c r="AJ775" s="3">
        <v>2</v>
      </c>
      <c r="AK775" s="3">
        <v>2</v>
      </c>
      <c r="AL775" s="3">
        <v>3</v>
      </c>
      <c r="AM775" s="3">
        <v>3</v>
      </c>
      <c r="AN775" s="3">
        <v>0</v>
      </c>
      <c r="AO775" s="3">
        <v>0</v>
      </c>
      <c r="AP775" s="3">
        <v>0</v>
      </c>
      <c r="AQ775" s="3">
        <v>0</v>
      </c>
      <c r="AR775" s="2" t="s">
        <v>8</v>
      </c>
      <c r="AS775" s="2" t="s">
        <v>8</v>
      </c>
      <c r="AU775" s="5" t="str">
        <f>HYPERLINK("https://creighton-primo.hosted.exlibrisgroup.com/primo-explore/search?tab=default_tab&amp;search_scope=EVERYTHING&amp;vid=01CRU&amp;lang=en_US&amp;offset=0&amp;query=any,contains,991000395979702656","Catalog Record")</f>
        <v>Catalog Record</v>
      </c>
      <c r="AV775" s="5" t="str">
        <f>HYPERLINK("http://www.worldcat.org/oclc/42849691","WorldCat Record")</f>
        <v>WorldCat Record</v>
      </c>
      <c r="AW775" s="2" t="s">
        <v>9860</v>
      </c>
      <c r="AX775" s="2" t="s">
        <v>9861</v>
      </c>
      <c r="AY775" s="2" t="s">
        <v>9862</v>
      </c>
      <c r="AZ775" s="2" t="s">
        <v>9862</v>
      </c>
      <c r="BA775" s="2" t="s">
        <v>9863</v>
      </c>
      <c r="BB775" s="2" t="s">
        <v>21</v>
      </c>
      <c r="BD775" s="2" t="s">
        <v>9864</v>
      </c>
      <c r="BE775" s="2" t="s">
        <v>9865</v>
      </c>
      <c r="BF775" s="2" t="s">
        <v>9866</v>
      </c>
    </row>
    <row r="776" spans="1:58" ht="42.75" customHeight="1" x14ac:dyDescent="0.25">
      <c r="A776" s="8" t="s">
        <v>8</v>
      </c>
      <c r="B776" s="1" t="s">
        <v>0</v>
      </c>
      <c r="C776" s="1" t="s">
        <v>1</v>
      </c>
      <c r="D776" s="1" t="s">
        <v>9867</v>
      </c>
      <c r="E776" s="1" t="s">
        <v>9868</v>
      </c>
      <c r="F776" s="1" t="s">
        <v>9869</v>
      </c>
      <c r="H776" s="2" t="s">
        <v>8</v>
      </c>
      <c r="I776" s="2" t="s">
        <v>7</v>
      </c>
      <c r="J776" s="2" t="s">
        <v>8</v>
      </c>
      <c r="K776" s="2" t="s">
        <v>8</v>
      </c>
      <c r="L776" s="2" t="s">
        <v>9</v>
      </c>
      <c r="M776" s="1" t="s">
        <v>9870</v>
      </c>
      <c r="N776" s="1" t="s">
        <v>9871</v>
      </c>
      <c r="O776" s="2" t="s">
        <v>874</v>
      </c>
      <c r="Q776" s="2" t="s">
        <v>12</v>
      </c>
      <c r="R776" s="2" t="s">
        <v>13</v>
      </c>
      <c r="T776" s="2" t="s">
        <v>14</v>
      </c>
      <c r="U776" s="3">
        <v>3</v>
      </c>
      <c r="V776" s="3">
        <v>3</v>
      </c>
      <c r="W776" s="4" t="s">
        <v>9872</v>
      </c>
      <c r="X776" s="4" t="s">
        <v>9872</v>
      </c>
      <c r="Y776" s="4" t="s">
        <v>908</v>
      </c>
      <c r="Z776" s="4" t="s">
        <v>908</v>
      </c>
      <c r="AA776" s="3">
        <v>240</v>
      </c>
      <c r="AB776" s="3">
        <v>221</v>
      </c>
      <c r="AC776" s="3">
        <v>257</v>
      </c>
      <c r="AD776" s="3">
        <v>2</v>
      </c>
      <c r="AE776" s="3">
        <v>2</v>
      </c>
      <c r="AF776" s="3">
        <v>9</v>
      </c>
      <c r="AG776" s="3">
        <v>10</v>
      </c>
      <c r="AH776" s="3">
        <v>2</v>
      </c>
      <c r="AI776" s="3">
        <v>2</v>
      </c>
      <c r="AJ776" s="3">
        <v>3</v>
      </c>
      <c r="AK776" s="3">
        <v>3</v>
      </c>
      <c r="AL776" s="3">
        <v>2</v>
      </c>
      <c r="AM776" s="3">
        <v>3</v>
      </c>
      <c r="AN776" s="3">
        <v>1</v>
      </c>
      <c r="AO776" s="3">
        <v>1</v>
      </c>
      <c r="AP776" s="3">
        <v>1</v>
      </c>
      <c r="AQ776" s="3">
        <v>1</v>
      </c>
      <c r="AR776" s="2" t="s">
        <v>8</v>
      </c>
      <c r="AS776" s="2" t="s">
        <v>6</v>
      </c>
      <c r="AT776" s="5" t="str">
        <f>HYPERLINK("http://catalog.hathitrust.org/Record/003248941","HathiTrust Record")</f>
        <v>HathiTrust Record</v>
      </c>
      <c r="AU776" s="5" t="str">
        <f>HYPERLINK("https://creighton-primo.hosted.exlibrisgroup.com/primo-explore/search?tab=default_tab&amp;search_scope=EVERYTHING&amp;vid=01CRU&amp;lang=en_US&amp;offset=0&amp;query=any,contains,991000317809702656","Catalog Record")</f>
        <v>Catalog Record</v>
      </c>
      <c r="AV776" s="5" t="str">
        <f>HYPERLINK("http://www.worldcat.org/oclc/37801421","WorldCat Record")</f>
        <v>WorldCat Record</v>
      </c>
      <c r="AW776" s="2" t="s">
        <v>9873</v>
      </c>
      <c r="AX776" s="2" t="s">
        <v>9874</v>
      </c>
      <c r="AY776" s="2" t="s">
        <v>9875</v>
      </c>
      <c r="AZ776" s="2" t="s">
        <v>9875</v>
      </c>
      <c r="BA776" s="2" t="s">
        <v>9876</v>
      </c>
      <c r="BB776" s="2" t="s">
        <v>21</v>
      </c>
      <c r="BD776" s="2" t="s">
        <v>9877</v>
      </c>
      <c r="BE776" s="2" t="s">
        <v>9878</v>
      </c>
      <c r="BF776" s="2" t="s">
        <v>9879</v>
      </c>
    </row>
    <row r="777" spans="1:58" ht="42.75" customHeight="1" x14ac:dyDescent="0.25">
      <c r="A777" s="8" t="s">
        <v>8</v>
      </c>
      <c r="B777" s="1" t="s">
        <v>0</v>
      </c>
      <c r="C777" s="1" t="s">
        <v>1</v>
      </c>
      <c r="D777" s="1" t="s">
        <v>9880</v>
      </c>
      <c r="E777" s="1" t="s">
        <v>9881</v>
      </c>
      <c r="F777" s="1" t="s">
        <v>9882</v>
      </c>
      <c r="H777" s="2" t="s">
        <v>8</v>
      </c>
      <c r="I777" s="2" t="s">
        <v>7</v>
      </c>
      <c r="J777" s="2" t="s">
        <v>6</v>
      </c>
      <c r="K777" s="2" t="s">
        <v>8</v>
      </c>
      <c r="L777" s="2" t="s">
        <v>9</v>
      </c>
      <c r="M777" s="1" t="s">
        <v>9883</v>
      </c>
      <c r="N777" s="1" t="s">
        <v>9884</v>
      </c>
      <c r="O777" s="2" t="s">
        <v>1629</v>
      </c>
      <c r="P777" s="1" t="s">
        <v>9885</v>
      </c>
      <c r="Q777" s="2" t="s">
        <v>12</v>
      </c>
      <c r="R777" s="2" t="s">
        <v>34</v>
      </c>
      <c r="T777" s="2" t="s">
        <v>14</v>
      </c>
      <c r="U777" s="3">
        <v>6</v>
      </c>
      <c r="V777" s="3">
        <v>6</v>
      </c>
      <c r="W777" s="4" t="s">
        <v>9886</v>
      </c>
      <c r="X777" s="4" t="s">
        <v>9886</v>
      </c>
      <c r="Y777" s="4" t="s">
        <v>16</v>
      </c>
      <c r="Z777" s="4" t="s">
        <v>16</v>
      </c>
      <c r="AA777" s="3">
        <v>296</v>
      </c>
      <c r="AB777" s="3">
        <v>252</v>
      </c>
      <c r="AC777" s="3">
        <v>428</v>
      </c>
      <c r="AD777" s="3">
        <v>4</v>
      </c>
      <c r="AE777" s="3">
        <v>4</v>
      </c>
      <c r="AF777" s="3">
        <v>8</v>
      </c>
      <c r="AG777" s="3">
        <v>10</v>
      </c>
      <c r="AH777" s="3">
        <v>1</v>
      </c>
      <c r="AI777" s="3">
        <v>2</v>
      </c>
      <c r="AJ777" s="3">
        <v>2</v>
      </c>
      <c r="AK777" s="3">
        <v>3</v>
      </c>
      <c r="AL777" s="3">
        <v>5</v>
      </c>
      <c r="AM777" s="3">
        <v>5</v>
      </c>
      <c r="AN777" s="3">
        <v>2</v>
      </c>
      <c r="AO777" s="3">
        <v>2</v>
      </c>
      <c r="AP777" s="3">
        <v>0</v>
      </c>
      <c r="AQ777" s="3">
        <v>0</v>
      </c>
      <c r="AR777" s="2" t="s">
        <v>8</v>
      </c>
      <c r="AS777" s="2" t="s">
        <v>6</v>
      </c>
      <c r="AT777" s="5" t="str">
        <f>HYPERLINK("http://catalog.hathitrust.org/Record/000780335","HathiTrust Record")</f>
        <v>HathiTrust Record</v>
      </c>
      <c r="AU777" s="5" t="str">
        <f>HYPERLINK("https://creighton-primo.hosted.exlibrisgroup.com/primo-explore/search?tab=default_tab&amp;search_scope=EVERYTHING&amp;vid=01CRU&amp;lang=en_US&amp;offset=0&amp;query=any,contains,991000655819702656","Catalog Record")</f>
        <v>Catalog Record</v>
      </c>
      <c r="AV777" s="5" t="str">
        <f>HYPERLINK("http://www.worldcat.org/oclc/10277824","WorldCat Record")</f>
        <v>WorldCat Record</v>
      </c>
      <c r="AW777" s="2" t="s">
        <v>9887</v>
      </c>
      <c r="AX777" s="2" t="s">
        <v>9888</v>
      </c>
      <c r="AY777" s="2" t="s">
        <v>9889</v>
      </c>
      <c r="AZ777" s="2" t="s">
        <v>9889</v>
      </c>
      <c r="BA777" s="2" t="s">
        <v>9890</v>
      </c>
      <c r="BB777" s="2" t="s">
        <v>21</v>
      </c>
      <c r="BD777" s="2" t="s">
        <v>9891</v>
      </c>
      <c r="BE777" s="2" t="s">
        <v>9892</v>
      </c>
      <c r="BF777" s="2" t="s">
        <v>9893</v>
      </c>
    </row>
    <row r="778" spans="1:58" ht="42.75" customHeight="1" x14ac:dyDescent="0.25">
      <c r="A778" s="8" t="s">
        <v>8</v>
      </c>
      <c r="B778" s="1" t="s">
        <v>0</v>
      </c>
      <c r="C778" s="1" t="s">
        <v>1</v>
      </c>
      <c r="D778" s="1" t="s">
        <v>9894</v>
      </c>
      <c r="E778" s="1" t="s">
        <v>9895</v>
      </c>
      <c r="F778" s="1" t="s">
        <v>9896</v>
      </c>
      <c r="H778" s="2" t="s">
        <v>8</v>
      </c>
      <c r="I778" s="2" t="s">
        <v>7</v>
      </c>
      <c r="J778" s="2" t="s">
        <v>8</v>
      </c>
      <c r="K778" s="2" t="s">
        <v>8</v>
      </c>
      <c r="L778" s="2" t="s">
        <v>9</v>
      </c>
      <c r="M778" s="1" t="s">
        <v>9897</v>
      </c>
      <c r="N778" s="1" t="s">
        <v>9898</v>
      </c>
      <c r="O778" s="2" t="s">
        <v>814</v>
      </c>
      <c r="Q778" s="2" t="s">
        <v>12</v>
      </c>
      <c r="R778" s="2" t="s">
        <v>628</v>
      </c>
      <c r="T778" s="2" t="s">
        <v>14</v>
      </c>
      <c r="U778" s="3">
        <v>1</v>
      </c>
      <c r="V778" s="3">
        <v>1</v>
      </c>
      <c r="W778" s="4" t="s">
        <v>9899</v>
      </c>
      <c r="X778" s="4" t="s">
        <v>9899</v>
      </c>
      <c r="Y778" s="4" t="s">
        <v>1806</v>
      </c>
      <c r="Z778" s="4" t="s">
        <v>1806</v>
      </c>
      <c r="AA778" s="3">
        <v>227</v>
      </c>
      <c r="AB778" s="3">
        <v>202</v>
      </c>
      <c r="AC778" s="3">
        <v>574</v>
      </c>
      <c r="AD778" s="3">
        <v>2</v>
      </c>
      <c r="AE778" s="3">
        <v>4</v>
      </c>
      <c r="AF778" s="3">
        <v>12</v>
      </c>
      <c r="AG778" s="3">
        <v>18</v>
      </c>
      <c r="AH778" s="3">
        <v>3</v>
      </c>
      <c r="AI778" s="3">
        <v>6</v>
      </c>
      <c r="AJ778" s="3">
        <v>4</v>
      </c>
      <c r="AK778" s="3">
        <v>4</v>
      </c>
      <c r="AL778" s="3">
        <v>7</v>
      </c>
      <c r="AM778" s="3">
        <v>9</v>
      </c>
      <c r="AN778" s="3">
        <v>1</v>
      </c>
      <c r="AO778" s="3">
        <v>3</v>
      </c>
      <c r="AP778" s="3">
        <v>0</v>
      </c>
      <c r="AQ778" s="3">
        <v>0</v>
      </c>
      <c r="AR778" s="2" t="s">
        <v>8</v>
      </c>
      <c r="AS778" s="2" t="s">
        <v>8</v>
      </c>
      <c r="AU778" s="5" t="str">
        <f>HYPERLINK("https://creighton-primo.hosted.exlibrisgroup.com/primo-explore/search?tab=default_tab&amp;search_scope=EVERYTHING&amp;vid=01CRU&amp;lang=en_US&amp;offset=0&amp;query=any,contains,991000371769702656","Catalog Record")</f>
        <v>Catalog Record</v>
      </c>
      <c r="AV778" s="5" t="str">
        <f>HYPERLINK("http://www.worldcat.org/oclc/40716197","WorldCat Record")</f>
        <v>WorldCat Record</v>
      </c>
      <c r="AW778" s="2" t="s">
        <v>9900</v>
      </c>
      <c r="AX778" s="2" t="s">
        <v>9901</v>
      </c>
      <c r="AY778" s="2" t="s">
        <v>9902</v>
      </c>
      <c r="AZ778" s="2" t="s">
        <v>9902</v>
      </c>
      <c r="BA778" s="2" t="s">
        <v>9903</v>
      </c>
      <c r="BB778" s="2" t="s">
        <v>21</v>
      </c>
      <c r="BD778" s="2" t="s">
        <v>9904</v>
      </c>
      <c r="BE778" s="2" t="s">
        <v>9905</v>
      </c>
      <c r="BF778" s="2" t="s">
        <v>9906</v>
      </c>
    </row>
    <row r="779" spans="1:58" ht="42.75" customHeight="1" x14ac:dyDescent="0.25">
      <c r="A779" s="8" t="s">
        <v>8</v>
      </c>
      <c r="B779" s="1" t="s">
        <v>0</v>
      </c>
      <c r="C779" s="1" t="s">
        <v>1</v>
      </c>
      <c r="D779" s="1" t="s">
        <v>9907</v>
      </c>
      <c r="E779" s="1" t="s">
        <v>9908</v>
      </c>
      <c r="F779" s="1" t="s">
        <v>9909</v>
      </c>
      <c r="H779" s="2" t="s">
        <v>8</v>
      </c>
      <c r="I779" s="2" t="s">
        <v>7</v>
      </c>
      <c r="J779" s="2" t="s">
        <v>8</v>
      </c>
      <c r="K779" s="2" t="s">
        <v>6</v>
      </c>
      <c r="L779" s="2" t="s">
        <v>7</v>
      </c>
      <c r="N779" s="1" t="s">
        <v>4232</v>
      </c>
      <c r="O779" s="2" t="s">
        <v>731</v>
      </c>
      <c r="Q779" s="2" t="s">
        <v>12</v>
      </c>
      <c r="R779" s="2" t="s">
        <v>815</v>
      </c>
      <c r="T779" s="2" t="s">
        <v>14</v>
      </c>
      <c r="U779" s="3">
        <v>28</v>
      </c>
      <c r="V779" s="3">
        <v>28</v>
      </c>
      <c r="W779" s="4" t="s">
        <v>7608</v>
      </c>
      <c r="X779" s="4" t="s">
        <v>7608</v>
      </c>
      <c r="Y779" s="4" t="s">
        <v>9910</v>
      </c>
      <c r="Z779" s="4" t="s">
        <v>9910</v>
      </c>
      <c r="AA779" s="3">
        <v>80</v>
      </c>
      <c r="AB779" s="3">
        <v>70</v>
      </c>
      <c r="AC779" s="3">
        <v>232</v>
      </c>
      <c r="AD779" s="3">
        <v>2</v>
      </c>
      <c r="AE779" s="3">
        <v>2</v>
      </c>
      <c r="AF779" s="3">
        <v>5</v>
      </c>
      <c r="AG779" s="3">
        <v>11</v>
      </c>
      <c r="AH779" s="3">
        <v>2</v>
      </c>
      <c r="AI779" s="3">
        <v>5</v>
      </c>
      <c r="AJ779" s="3">
        <v>2</v>
      </c>
      <c r="AK779" s="3">
        <v>3</v>
      </c>
      <c r="AL779" s="3">
        <v>1</v>
      </c>
      <c r="AM779" s="3">
        <v>4</v>
      </c>
      <c r="AN779" s="3">
        <v>1</v>
      </c>
      <c r="AO779" s="3">
        <v>1</v>
      </c>
      <c r="AP779" s="3">
        <v>0</v>
      </c>
      <c r="AQ779" s="3">
        <v>0</v>
      </c>
      <c r="AR779" s="2" t="s">
        <v>8</v>
      </c>
      <c r="AS779" s="2" t="s">
        <v>6</v>
      </c>
      <c r="AT779" s="5" t="str">
        <f>HYPERLINK("http://catalog.hathitrust.org/Record/004002083","HathiTrust Record")</f>
        <v>HathiTrust Record</v>
      </c>
      <c r="AU779" s="5" t="str">
        <f>HYPERLINK("https://creighton-primo.hosted.exlibrisgroup.com/primo-explore/search?tab=default_tab&amp;search_scope=EVERYTHING&amp;vid=01CRU&amp;lang=en_US&amp;offset=0&amp;query=any,contains,991001306659702656","Catalog Record")</f>
        <v>Catalog Record</v>
      </c>
      <c r="AV779" s="5" t="str">
        <f>HYPERLINK("http://www.worldcat.org/oclc/37580653","WorldCat Record")</f>
        <v>WorldCat Record</v>
      </c>
      <c r="AW779" s="2" t="s">
        <v>9764</v>
      </c>
      <c r="AX779" s="2" t="s">
        <v>9911</v>
      </c>
      <c r="AY779" s="2" t="s">
        <v>9912</v>
      </c>
      <c r="AZ779" s="2" t="s">
        <v>9912</v>
      </c>
      <c r="BA779" s="2" t="s">
        <v>9913</v>
      </c>
      <c r="BB779" s="2" t="s">
        <v>21</v>
      </c>
      <c r="BD779" s="2" t="s">
        <v>9914</v>
      </c>
      <c r="BE779" s="2" t="s">
        <v>9915</v>
      </c>
      <c r="BF779" s="2" t="s">
        <v>9916</v>
      </c>
    </row>
    <row r="780" spans="1:58" ht="42.75" customHeight="1" x14ac:dyDescent="0.25">
      <c r="A780" s="8" t="s">
        <v>8</v>
      </c>
      <c r="B780" s="1" t="s">
        <v>0</v>
      </c>
      <c r="C780" s="1" t="s">
        <v>1</v>
      </c>
      <c r="D780" s="1" t="s">
        <v>9917</v>
      </c>
      <c r="E780" s="1" t="s">
        <v>9918</v>
      </c>
      <c r="F780" s="1" t="s">
        <v>9919</v>
      </c>
      <c r="H780" s="2" t="s">
        <v>8</v>
      </c>
      <c r="I780" s="2" t="s">
        <v>7</v>
      </c>
      <c r="J780" s="2" t="s">
        <v>8</v>
      </c>
      <c r="K780" s="2" t="s">
        <v>8</v>
      </c>
      <c r="L780" s="2" t="s">
        <v>9</v>
      </c>
      <c r="N780" s="1" t="s">
        <v>9920</v>
      </c>
      <c r="O780" s="2" t="s">
        <v>688</v>
      </c>
      <c r="Q780" s="2" t="s">
        <v>12</v>
      </c>
      <c r="R780" s="2" t="s">
        <v>815</v>
      </c>
      <c r="T780" s="2" t="s">
        <v>14</v>
      </c>
      <c r="U780" s="3">
        <v>17</v>
      </c>
      <c r="V780" s="3">
        <v>17</v>
      </c>
      <c r="W780" s="4" t="s">
        <v>9921</v>
      </c>
      <c r="X780" s="4" t="s">
        <v>9921</v>
      </c>
      <c r="Y780" s="4" t="s">
        <v>9922</v>
      </c>
      <c r="Z780" s="4" t="s">
        <v>9922</v>
      </c>
      <c r="AA780" s="3">
        <v>261</v>
      </c>
      <c r="AB780" s="3">
        <v>228</v>
      </c>
      <c r="AC780" s="3">
        <v>498</v>
      </c>
      <c r="AD780" s="3">
        <v>3</v>
      </c>
      <c r="AE780" s="3">
        <v>4</v>
      </c>
      <c r="AF780" s="3">
        <v>7</v>
      </c>
      <c r="AG780" s="3">
        <v>24</v>
      </c>
      <c r="AH780" s="3">
        <v>3</v>
      </c>
      <c r="AI780" s="3">
        <v>9</v>
      </c>
      <c r="AJ780" s="3">
        <v>1</v>
      </c>
      <c r="AK780" s="3">
        <v>4</v>
      </c>
      <c r="AL780" s="3">
        <v>4</v>
      </c>
      <c r="AM780" s="3">
        <v>14</v>
      </c>
      <c r="AN780" s="3">
        <v>2</v>
      </c>
      <c r="AO780" s="3">
        <v>3</v>
      </c>
      <c r="AP780" s="3">
        <v>0</v>
      </c>
      <c r="AQ780" s="3">
        <v>0</v>
      </c>
      <c r="AR780" s="2" t="s">
        <v>8</v>
      </c>
      <c r="AS780" s="2" t="s">
        <v>6</v>
      </c>
      <c r="AT780" s="5" t="str">
        <f>HYPERLINK("http://catalog.hathitrust.org/Record/002878750","HathiTrust Record")</f>
        <v>HathiTrust Record</v>
      </c>
      <c r="AU780" s="5" t="str">
        <f>HYPERLINK("https://creighton-primo.hosted.exlibrisgroup.com/primo-explore/search?tab=default_tab&amp;search_scope=EVERYTHING&amp;vid=01CRU&amp;lang=en_US&amp;offset=0&amp;query=any,contains,991001397119702656","Catalog Record")</f>
        <v>Catalog Record</v>
      </c>
      <c r="AV780" s="5" t="str">
        <f>HYPERLINK("http://www.worldcat.org/oclc/29669205","WorldCat Record")</f>
        <v>WorldCat Record</v>
      </c>
      <c r="AW780" s="2" t="s">
        <v>9923</v>
      </c>
      <c r="AX780" s="2" t="s">
        <v>9924</v>
      </c>
      <c r="AY780" s="2" t="s">
        <v>9925</v>
      </c>
      <c r="AZ780" s="2" t="s">
        <v>9925</v>
      </c>
      <c r="BA780" s="2" t="s">
        <v>9926</v>
      </c>
      <c r="BB780" s="2" t="s">
        <v>21</v>
      </c>
      <c r="BD780" s="2" t="s">
        <v>9927</v>
      </c>
      <c r="BE780" s="2" t="s">
        <v>9928</v>
      </c>
      <c r="BF780" s="2" t="s">
        <v>9929</v>
      </c>
    </row>
    <row r="781" spans="1:58" ht="42.75" customHeight="1" x14ac:dyDescent="0.25">
      <c r="A781" s="8" t="s">
        <v>8</v>
      </c>
      <c r="B781" s="1" t="s">
        <v>0</v>
      </c>
      <c r="C781" s="1" t="s">
        <v>1</v>
      </c>
      <c r="D781" s="1" t="s">
        <v>9930</v>
      </c>
      <c r="E781" s="1" t="s">
        <v>9931</v>
      </c>
      <c r="F781" s="1" t="s">
        <v>9932</v>
      </c>
      <c r="H781" s="2" t="s">
        <v>8</v>
      </c>
      <c r="I781" s="2" t="s">
        <v>7</v>
      </c>
      <c r="J781" s="2" t="s">
        <v>8</v>
      </c>
      <c r="K781" s="2" t="s">
        <v>8</v>
      </c>
      <c r="L781" s="2" t="s">
        <v>9</v>
      </c>
      <c r="N781" s="1" t="s">
        <v>9933</v>
      </c>
      <c r="O781" s="2" t="s">
        <v>410</v>
      </c>
      <c r="Q781" s="2" t="s">
        <v>12</v>
      </c>
      <c r="R781" s="2" t="s">
        <v>520</v>
      </c>
      <c r="T781" s="2" t="s">
        <v>14</v>
      </c>
      <c r="U781" s="3">
        <v>2</v>
      </c>
      <c r="V781" s="3">
        <v>2</v>
      </c>
      <c r="W781" s="4" t="s">
        <v>9738</v>
      </c>
      <c r="X781" s="4" t="s">
        <v>9738</v>
      </c>
      <c r="Y781" s="4" t="s">
        <v>9934</v>
      </c>
      <c r="Z781" s="4" t="s">
        <v>9934</v>
      </c>
      <c r="AA781" s="3">
        <v>159</v>
      </c>
      <c r="AB781" s="3">
        <v>151</v>
      </c>
      <c r="AC781" s="3">
        <v>153</v>
      </c>
      <c r="AD781" s="3">
        <v>3</v>
      </c>
      <c r="AE781" s="3">
        <v>3</v>
      </c>
      <c r="AF781" s="3">
        <v>7</v>
      </c>
      <c r="AG781" s="3">
        <v>7</v>
      </c>
      <c r="AH781" s="3">
        <v>1</v>
      </c>
      <c r="AI781" s="3">
        <v>1</v>
      </c>
      <c r="AJ781" s="3">
        <v>0</v>
      </c>
      <c r="AK781" s="3">
        <v>0</v>
      </c>
      <c r="AL781" s="3">
        <v>3</v>
      </c>
      <c r="AM781" s="3">
        <v>3</v>
      </c>
      <c r="AN781" s="3">
        <v>1</v>
      </c>
      <c r="AO781" s="3">
        <v>1</v>
      </c>
      <c r="AP781" s="3">
        <v>2</v>
      </c>
      <c r="AQ781" s="3">
        <v>2</v>
      </c>
      <c r="AR781" s="2" t="s">
        <v>8</v>
      </c>
      <c r="AS781" s="2" t="s">
        <v>6</v>
      </c>
      <c r="AT781" s="5" t="str">
        <f>HYPERLINK("http://catalog.hathitrust.org/Record/002801802","HathiTrust Record")</f>
        <v>HathiTrust Record</v>
      </c>
      <c r="AU781" s="5" t="str">
        <f>HYPERLINK("https://creighton-primo.hosted.exlibrisgroup.com/primo-explore/search?tab=default_tab&amp;search_scope=EVERYTHING&amp;vid=01CRU&amp;lang=en_US&amp;offset=0&amp;query=any,contains,991001294349702656","Catalog Record")</f>
        <v>Catalog Record</v>
      </c>
      <c r="AV781" s="5" t="str">
        <f>HYPERLINK("http://www.worldcat.org/oclc/28268101","WorldCat Record")</f>
        <v>WorldCat Record</v>
      </c>
      <c r="AW781" s="2" t="s">
        <v>9935</v>
      </c>
      <c r="AX781" s="2" t="s">
        <v>9936</v>
      </c>
      <c r="AY781" s="2" t="s">
        <v>9937</v>
      </c>
      <c r="AZ781" s="2" t="s">
        <v>9937</v>
      </c>
      <c r="BA781" s="2" t="s">
        <v>9938</v>
      </c>
      <c r="BB781" s="2" t="s">
        <v>21</v>
      </c>
      <c r="BD781" s="2" t="s">
        <v>9939</v>
      </c>
      <c r="BE781" s="2" t="s">
        <v>9940</v>
      </c>
      <c r="BF781" s="2" t="s">
        <v>9941</v>
      </c>
    </row>
    <row r="782" spans="1:58" ht="42.75" customHeight="1" x14ac:dyDescent="0.25">
      <c r="A782" s="8" t="s">
        <v>8</v>
      </c>
      <c r="B782" s="1" t="s">
        <v>0</v>
      </c>
      <c r="C782" s="1" t="s">
        <v>1</v>
      </c>
      <c r="D782" s="1" t="s">
        <v>9942</v>
      </c>
      <c r="E782" s="1" t="s">
        <v>9943</v>
      </c>
      <c r="F782" s="1" t="s">
        <v>9944</v>
      </c>
      <c r="H782" s="2" t="s">
        <v>8</v>
      </c>
      <c r="I782" s="2" t="s">
        <v>7</v>
      </c>
      <c r="J782" s="2" t="s">
        <v>8</v>
      </c>
      <c r="K782" s="2" t="s">
        <v>8</v>
      </c>
      <c r="L782" s="2" t="s">
        <v>9</v>
      </c>
      <c r="M782" s="1" t="s">
        <v>9945</v>
      </c>
      <c r="N782" s="1" t="s">
        <v>9946</v>
      </c>
      <c r="O782" s="2" t="s">
        <v>11</v>
      </c>
      <c r="Q782" s="2" t="s">
        <v>12</v>
      </c>
      <c r="R782" s="2" t="s">
        <v>13</v>
      </c>
      <c r="S782" s="1" t="s">
        <v>9947</v>
      </c>
      <c r="T782" s="2" t="s">
        <v>14</v>
      </c>
      <c r="U782" s="3">
        <v>1</v>
      </c>
      <c r="V782" s="3">
        <v>1</v>
      </c>
      <c r="W782" s="4" t="s">
        <v>9948</v>
      </c>
      <c r="X782" s="4" t="s">
        <v>9948</v>
      </c>
      <c r="Y782" s="4" t="s">
        <v>16</v>
      </c>
      <c r="Z782" s="4" t="s">
        <v>16</v>
      </c>
      <c r="AA782" s="3">
        <v>431</v>
      </c>
      <c r="AB782" s="3">
        <v>340</v>
      </c>
      <c r="AC782" s="3">
        <v>346</v>
      </c>
      <c r="AD782" s="3">
        <v>5</v>
      </c>
      <c r="AE782" s="3">
        <v>5</v>
      </c>
      <c r="AF782" s="3">
        <v>17</v>
      </c>
      <c r="AG782" s="3">
        <v>17</v>
      </c>
      <c r="AH782" s="3">
        <v>6</v>
      </c>
      <c r="AI782" s="3">
        <v>6</v>
      </c>
      <c r="AJ782" s="3">
        <v>3</v>
      </c>
      <c r="AK782" s="3">
        <v>3</v>
      </c>
      <c r="AL782" s="3">
        <v>10</v>
      </c>
      <c r="AM782" s="3">
        <v>10</v>
      </c>
      <c r="AN782" s="3">
        <v>3</v>
      </c>
      <c r="AO782" s="3">
        <v>3</v>
      </c>
      <c r="AP782" s="3">
        <v>0</v>
      </c>
      <c r="AQ782" s="3">
        <v>0</v>
      </c>
      <c r="AR782" s="2" t="s">
        <v>8</v>
      </c>
      <c r="AS782" s="2" t="s">
        <v>6</v>
      </c>
      <c r="AT782" s="5" t="str">
        <f>HYPERLINK("http://catalog.hathitrust.org/Record/000044182","HathiTrust Record")</f>
        <v>HathiTrust Record</v>
      </c>
      <c r="AU782" s="5" t="str">
        <f>HYPERLINK("https://creighton-primo.hosted.exlibrisgroup.com/primo-explore/search?tab=default_tab&amp;search_scope=EVERYTHING&amp;vid=01CRU&amp;lang=en_US&amp;offset=0&amp;query=any,contains,991000656099702656","Catalog Record")</f>
        <v>Catalog Record</v>
      </c>
      <c r="AV782" s="5" t="str">
        <f>HYPERLINK("http://www.worldcat.org/oclc/1676263","WorldCat Record")</f>
        <v>WorldCat Record</v>
      </c>
      <c r="AW782" s="2" t="s">
        <v>9949</v>
      </c>
      <c r="AX782" s="2" t="s">
        <v>9950</v>
      </c>
      <c r="AY782" s="2" t="s">
        <v>9951</v>
      </c>
      <c r="AZ782" s="2" t="s">
        <v>9951</v>
      </c>
      <c r="BA782" s="2" t="s">
        <v>9952</v>
      </c>
      <c r="BB782" s="2" t="s">
        <v>21</v>
      </c>
      <c r="BD782" s="2" t="s">
        <v>9953</v>
      </c>
      <c r="BE782" s="2" t="s">
        <v>9954</v>
      </c>
      <c r="BF782" s="2" t="s">
        <v>9955</v>
      </c>
    </row>
    <row r="783" spans="1:58" ht="42.75" customHeight="1" x14ac:dyDescent="0.25">
      <c r="A783" s="8" t="s">
        <v>8</v>
      </c>
      <c r="B783" s="1" t="s">
        <v>0</v>
      </c>
      <c r="C783" s="1" t="s">
        <v>1</v>
      </c>
      <c r="D783" s="1" t="s">
        <v>9956</v>
      </c>
      <c r="E783" s="1" t="s">
        <v>9957</v>
      </c>
      <c r="F783" s="1" t="s">
        <v>9958</v>
      </c>
      <c r="H783" s="2" t="s">
        <v>8</v>
      </c>
      <c r="I783" s="2" t="s">
        <v>7</v>
      </c>
      <c r="J783" s="2" t="s">
        <v>8</v>
      </c>
      <c r="K783" s="2" t="s">
        <v>8</v>
      </c>
      <c r="L783" s="2" t="s">
        <v>9</v>
      </c>
      <c r="M783" s="1" t="s">
        <v>9959</v>
      </c>
      <c r="N783" s="1" t="s">
        <v>9960</v>
      </c>
      <c r="O783" s="2" t="s">
        <v>874</v>
      </c>
      <c r="Q783" s="2" t="s">
        <v>12</v>
      </c>
      <c r="R783" s="2" t="s">
        <v>520</v>
      </c>
      <c r="T783" s="2" t="s">
        <v>14</v>
      </c>
      <c r="U783" s="3">
        <v>4</v>
      </c>
      <c r="V783" s="3">
        <v>4</v>
      </c>
      <c r="W783" s="4" t="s">
        <v>9961</v>
      </c>
      <c r="X783" s="4" t="s">
        <v>9961</v>
      </c>
      <c r="Y783" s="4" t="s">
        <v>9962</v>
      </c>
      <c r="Z783" s="4" t="s">
        <v>9962</v>
      </c>
      <c r="AA783" s="3">
        <v>623</v>
      </c>
      <c r="AB783" s="3">
        <v>570</v>
      </c>
      <c r="AC783" s="3">
        <v>671</v>
      </c>
      <c r="AD783" s="3">
        <v>2</v>
      </c>
      <c r="AE783" s="3">
        <v>2</v>
      </c>
      <c r="AF783" s="3">
        <v>21</v>
      </c>
      <c r="AG783" s="3">
        <v>24</v>
      </c>
      <c r="AH783" s="3">
        <v>7</v>
      </c>
      <c r="AI783" s="3">
        <v>9</v>
      </c>
      <c r="AJ783" s="3">
        <v>4</v>
      </c>
      <c r="AK783" s="3">
        <v>5</v>
      </c>
      <c r="AL783" s="3">
        <v>11</v>
      </c>
      <c r="AM783" s="3">
        <v>12</v>
      </c>
      <c r="AN783" s="3">
        <v>1</v>
      </c>
      <c r="AO783" s="3">
        <v>1</v>
      </c>
      <c r="AP783" s="3">
        <v>3</v>
      </c>
      <c r="AQ783" s="3">
        <v>3</v>
      </c>
      <c r="AR783" s="2" t="s">
        <v>8</v>
      </c>
      <c r="AS783" s="2" t="s">
        <v>6</v>
      </c>
      <c r="AT783" s="5" t="str">
        <f>HYPERLINK("http://catalog.hathitrust.org/Record/003946608","HathiTrust Record")</f>
        <v>HathiTrust Record</v>
      </c>
      <c r="AU783" s="5" t="str">
        <f>HYPERLINK("https://creighton-primo.hosted.exlibrisgroup.com/primo-explore/search?tab=default_tab&amp;search_scope=EVERYTHING&amp;vid=01CRU&amp;lang=en_US&amp;offset=0&amp;query=any,contains,991000666699702656","Catalog Record")</f>
        <v>Catalog Record</v>
      </c>
      <c r="AV783" s="5" t="str">
        <f>HYPERLINK("http://www.worldcat.org/oclc/36755970","WorldCat Record")</f>
        <v>WorldCat Record</v>
      </c>
      <c r="AW783" s="2" t="s">
        <v>9963</v>
      </c>
      <c r="AX783" s="2" t="s">
        <v>9964</v>
      </c>
      <c r="AY783" s="2" t="s">
        <v>9965</v>
      </c>
      <c r="AZ783" s="2" t="s">
        <v>9965</v>
      </c>
      <c r="BA783" s="2" t="s">
        <v>9966</v>
      </c>
      <c r="BB783" s="2" t="s">
        <v>21</v>
      </c>
      <c r="BD783" s="2" t="s">
        <v>9967</v>
      </c>
      <c r="BE783" s="2" t="s">
        <v>9968</v>
      </c>
      <c r="BF783" s="2" t="s">
        <v>9969</v>
      </c>
    </row>
    <row r="784" spans="1:58" ht="42.75" customHeight="1" x14ac:dyDescent="0.25">
      <c r="A784" s="8" t="s">
        <v>8</v>
      </c>
      <c r="B784" s="1" t="s">
        <v>0</v>
      </c>
      <c r="C784" s="1" t="s">
        <v>1</v>
      </c>
      <c r="D784" s="1" t="s">
        <v>9970</v>
      </c>
      <c r="E784" s="1" t="s">
        <v>9971</v>
      </c>
      <c r="F784" s="1" t="s">
        <v>9972</v>
      </c>
      <c r="H784" s="2" t="s">
        <v>8</v>
      </c>
      <c r="I784" s="2" t="s">
        <v>7</v>
      </c>
      <c r="J784" s="2" t="s">
        <v>8</v>
      </c>
      <c r="K784" s="2" t="s">
        <v>8</v>
      </c>
      <c r="L784" s="2" t="s">
        <v>9</v>
      </c>
      <c r="N784" s="1" t="s">
        <v>9973</v>
      </c>
      <c r="O784" s="2" t="s">
        <v>51</v>
      </c>
      <c r="Q784" s="2" t="s">
        <v>12</v>
      </c>
      <c r="R784" s="2" t="s">
        <v>34</v>
      </c>
      <c r="T784" s="2" t="s">
        <v>14</v>
      </c>
      <c r="U784" s="3">
        <v>9</v>
      </c>
      <c r="V784" s="3">
        <v>9</v>
      </c>
      <c r="W784" s="4" t="s">
        <v>1994</v>
      </c>
      <c r="X784" s="4" t="s">
        <v>1994</v>
      </c>
      <c r="Y784" s="4" t="s">
        <v>8544</v>
      </c>
      <c r="Z784" s="4" t="s">
        <v>8544</v>
      </c>
      <c r="AA784" s="3">
        <v>308</v>
      </c>
      <c r="AB784" s="3">
        <v>281</v>
      </c>
      <c r="AC784" s="3">
        <v>289</v>
      </c>
      <c r="AD784" s="3">
        <v>1</v>
      </c>
      <c r="AE784" s="3">
        <v>1</v>
      </c>
      <c r="AF784" s="3">
        <v>18</v>
      </c>
      <c r="AG784" s="3">
        <v>18</v>
      </c>
      <c r="AH784" s="3">
        <v>4</v>
      </c>
      <c r="AI784" s="3">
        <v>4</v>
      </c>
      <c r="AJ784" s="3">
        <v>5</v>
      </c>
      <c r="AK784" s="3">
        <v>5</v>
      </c>
      <c r="AL784" s="3">
        <v>9</v>
      </c>
      <c r="AM784" s="3">
        <v>9</v>
      </c>
      <c r="AN784" s="3">
        <v>0</v>
      </c>
      <c r="AO784" s="3">
        <v>0</v>
      </c>
      <c r="AP784" s="3">
        <v>5</v>
      </c>
      <c r="AQ784" s="3">
        <v>5</v>
      </c>
      <c r="AR784" s="2" t="s">
        <v>8</v>
      </c>
      <c r="AS784" s="2" t="s">
        <v>6</v>
      </c>
      <c r="AT784" s="5" t="str">
        <f>HYPERLINK("http://catalog.hathitrust.org/Record/000905297","HathiTrust Record")</f>
        <v>HathiTrust Record</v>
      </c>
      <c r="AU784" s="5" t="str">
        <f>HYPERLINK("https://creighton-primo.hosted.exlibrisgroup.com/primo-explore/search?tab=default_tab&amp;search_scope=EVERYTHING&amp;vid=01CRU&amp;lang=en_US&amp;offset=0&amp;query=any,contains,991001244289702656","Catalog Record")</f>
        <v>Catalog Record</v>
      </c>
      <c r="AV784" s="5" t="str">
        <f>HYPERLINK("http://www.worldcat.org/oclc/16832152","WorldCat Record")</f>
        <v>WorldCat Record</v>
      </c>
      <c r="AW784" s="2" t="s">
        <v>9974</v>
      </c>
      <c r="AX784" s="2" t="s">
        <v>9975</v>
      </c>
      <c r="AY784" s="2" t="s">
        <v>9976</v>
      </c>
      <c r="AZ784" s="2" t="s">
        <v>9976</v>
      </c>
      <c r="BA784" s="2" t="s">
        <v>9977</v>
      </c>
      <c r="BB784" s="2" t="s">
        <v>21</v>
      </c>
      <c r="BD784" s="2" t="s">
        <v>9978</v>
      </c>
      <c r="BE784" s="2" t="s">
        <v>9979</v>
      </c>
      <c r="BF784" s="2" t="s">
        <v>9980</v>
      </c>
    </row>
    <row r="785" spans="1:58" ht="42.75" customHeight="1" x14ac:dyDescent="0.25">
      <c r="A785" s="8" t="s">
        <v>8</v>
      </c>
      <c r="B785" s="1" t="s">
        <v>0</v>
      </c>
      <c r="C785" s="1" t="s">
        <v>1</v>
      </c>
      <c r="D785" s="1" t="s">
        <v>9981</v>
      </c>
      <c r="E785" s="1" t="s">
        <v>9982</v>
      </c>
      <c r="F785" s="1" t="s">
        <v>9983</v>
      </c>
      <c r="H785" s="2" t="s">
        <v>8</v>
      </c>
      <c r="I785" s="2" t="s">
        <v>7</v>
      </c>
      <c r="J785" s="2" t="s">
        <v>8</v>
      </c>
      <c r="K785" s="2" t="s">
        <v>8</v>
      </c>
      <c r="L785" s="2" t="s">
        <v>9</v>
      </c>
      <c r="M785" s="1" t="s">
        <v>9984</v>
      </c>
      <c r="N785" s="1" t="s">
        <v>5544</v>
      </c>
      <c r="O785" s="2" t="s">
        <v>627</v>
      </c>
      <c r="Q785" s="2" t="s">
        <v>12</v>
      </c>
      <c r="R785" s="2" t="s">
        <v>34</v>
      </c>
      <c r="T785" s="2" t="s">
        <v>14</v>
      </c>
      <c r="U785" s="3">
        <v>4</v>
      </c>
      <c r="V785" s="3">
        <v>4</v>
      </c>
      <c r="W785" s="4" t="s">
        <v>9985</v>
      </c>
      <c r="X785" s="4" t="s">
        <v>9985</v>
      </c>
      <c r="Y785" s="4" t="s">
        <v>9986</v>
      </c>
      <c r="Z785" s="4" t="s">
        <v>9986</v>
      </c>
      <c r="AA785" s="3">
        <v>334</v>
      </c>
      <c r="AB785" s="3">
        <v>313</v>
      </c>
      <c r="AC785" s="3">
        <v>316</v>
      </c>
      <c r="AD785" s="3">
        <v>1</v>
      </c>
      <c r="AE785" s="3">
        <v>1</v>
      </c>
      <c r="AF785" s="3">
        <v>20</v>
      </c>
      <c r="AG785" s="3">
        <v>20</v>
      </c>
      <c r="AH785" s="3">
        <v>5</v>
      </c>
      <c r="AI785" s="3">
        <v>5</v>
      </c>
      <c r="AJ785" s="3">
        <v>5</v>
      </c>
      <c r="AK785" s="3">
        <v>5</v>
      </c>
      <c r="AL785" s="3">
        <v>10</v>
      </c>
      <c r="AM785" s="3">
        <v>10</v>
      </c>
      <c r="AN785" s="3">
        <v>0</v>
      </c>
      <c r="AO785" s="3">
        <v>0</v>
      </c>
      <c r="AP785" s="3">
        <v>5</v>
      </c>
      <c r="AQ785" s="3">
        <v>5</v>
      </c>
      <c r="AR785" s="2" t="s">
        <v>8</v>
      </c>
      <c r="AS785" s="2" t="s">
        <v>6</v>
      </c>
      <c r="AT785" s="5" t="str">
        <f>HYPERLINK("http://catalog.hathitrust.org/Record/004509977","HathiTrust Record")</f>
        <v>HathiTrust Record</v>
      </c>
      <c r="AU785" s="5" t="str">
        <f>HYPERLINK("https://creighton-primo.hosted.exlibrisgroup.com/primo-explore/search?tab=default_tab&amp;search_scope=EVERYTHING&amp;vid=01CRU&amp;lang=en_US&amp;offset=0&amp;query=any,contains,991001383369702656","Catalog Record")</f>
        <v>Catalog Record</v>
      </c>
      <c r="AV785" s="5" t="str">
        <f>HYPERLINK("http://www.worldcat.org/oclc/19672691","WorldCat Record")</f>
        <v>WorldCat Record</v>
      </c>
      <c r="AW785" s="2" t="s">
        <v>9987</v>
      </c>
      <c r="AX785" s="2" t="s">
        <v>9988</v>
      </c>
      <c r="AY785" s="2" t="s">
        <v>9989</v>
      </c>
      <c r="AZ785" s="2" t="s">
        <v>9989</v>
      </c>
      <c r="BA785" s="2" t="s">
        <v>9990</v>
      </c>
      <c r="BB785" s="2" t="s">
        <v>21</v>
      </c>
      <c r="BD785" s="2" t="s">
        <v>9991</v>
      </c>
      <c r="BE785" s="2" t="s">
        <v>9992</v>
      </c>
      <c r="BF785" s="2" t="s">
        <v>9993</v>
      </c>
    </row>
    <row r="786" spans="1:58" ht="42.75" customHeight="1" x14ac:dyDescent="0.25">
      <c r="A786" s="8" t="s">
        <v>8</v>
      </c>
      <c r="B786" s="1" t="s">
        <v>0</v>
      </c>
      <c r="C786" s="1" t="s">
        <v>1</v>
      </c>
      <c r="D786" s="1" t="s">
        <v>9994</v>
      </c>
      <c r="E786" s="1" t="s">
        <v>9995</v>
      </c>
      <c r="F786" s="1" t="s">
        <v>9996</v>
      </c>
      <c r="H786" s="2" t="s">
        <v>8</v>
      </c>
      <c r="I786" s="2" t="s">
        <v>7</v>
      </c>
      <c r="J786" s="2" t="s">
        <v>8</v>
      </c>
      <c r="K786" s="2" t="s">
        <v>8</v>
      </c>
      <c r="L786" s="2" t="s">
        <v>9</v>
      </c>
      <c r="M786" s="1" t="s">
        <v>9997</v>
      </c>
      <c r="N786" s="1" t="s">
        <v>9998</v>
      </c>
      <c r="O786" s="2" t="s">
        <v>1060</v>
      </c>
      <c r="Q786" s="2" t="s">
        <v>12</v>
      </c>
      <c r="R786" s="2" t="s">
        <v>34</v>
      </c>
      <c r="T786" s="2" t="s">
        <v>14</v>
      </c>
      <c r="U786" s="3">
        <v>6</v>
      </c>
      <c r="V786" s="3">
        <v>6</v>
      </c>
      <c r="W786" s="4" t="s">
        <v>9999</v>
      </c>
      <c r="X786" s="4" t="s">
        <v>9999</v>
      </c>
      <c r="Y786" s="4" t="s">
        <v>8682</v>
      </c>
      <c r="Z786" s="4" t="s">
        <v>8682</v>
      </c>
      <c r="AA786" s="3">
        <v>18</v>
      </c>
      <c r="AB786" s="3">
        <v>15</v>
      </c>
      <c r="AC786" s="3">
        <v>51</v>
      </c>
      <c r="AD786" s="3">
        <v>1</v>
      </c>
      <c r="AE786" s="3">
        <v>1</v>
      </c>
      <c r="AF786" s="3">
        <v>0</v>
      </c>
      <c r="AG786" s="3">
        <v>0</v>
      </c>
      <c r="AH786" s="3">
        <v>0</v>
      </c>
      <c r="AI786" s="3">
        <v>0</v>
      </c>
      <c r="AJ786" s="3">
        <v>0</v>
      </c>
      <c r="AK786" s="3">
        <v>0</v>
      </c>
      <c r="AL786" s="3">
        <v>0</v>
      </c>
      <c r="AM786" s="3">
        <v>0</v>
      </c>
      <c r="AN786" s="3">
        <v>0</v>
      </c>
      <c r="AO786" s="3">
        <v>0</v>
      </c>
      <c r="AP786" s="3">
        <v>0</v>
      </c>
      <c r="AQ786" s="3">
        <v>0</v>
      </c>
      <c r="AR786" s="2" t="s">
        <v>8</v>
      </c>
      <c r="AS786" s="2" t="s">
        <v>8</v>
      </c>
      <c r="AU786" s="5" t="str">
        <f>HYPERLINK("https://creighton-primo.hosted.exlibrisgroup.com/primo-explore/search?tab=default_tab&amp;search_scope=EVERYTHING&amp;vid=01CRU&amp;lang=en_US&amp;offset=0&amp;query=any,contains,991001562339702656","Catalog Record")</f>
        <v>Catalog Record</v>
      </c>
      <c r="AV786" s="5" t="str">
        <f>HYPERLINK("http://www.worldcat.org/oclc/35744517","WorldCat Record")</f>
        <v>WorldCat Record</v>
      </c>
      <c r="AW786" s="2" t="s">
        <v>10000</v>
      </c>
      <c r="AX786" s="2" t="s">
        <v>10001</v>
      </c>
      <c r="AY786" s="2" t="s">
        <v>10002</v>
      </c>
      <c r="AZ786" s="2" t="s">
        <v>10002</v>
      </c>
      <c r="BA786" s="2" t="s">
        <v>10003</v>
      </c>
      <c r="BB786" s="2" t="s">
        <v>21</v>
      </c>
      <c r="BD786" s="2" t="s">
        <v>10004</v>
      </c>
      <c r="BE786" s="2" t="s">
        <v>10005</v>
      </c>
      <c r="BF786" s="2" t="s">
        <v>10006</v>
      </c>
    </row>
    <row r="787" spans="1:58" ht="42.75" customHeight="1" x14ac:dyDescent="0.25">
      <c r="A787" s="8" t="s">
        <v>8</v>
      </c>
      <c r="B787" s="1" t="s">
        <v>0</v>
      </c>
      <c r="C787" s="1" t="s">
        <v>1</v>
      </c>
      <c r="D787" s="1" t="s">
        <v>10007</v>
      </c>
      <c r="E787" s="1" t="s">
        <v>10008</v>
      </c>
      <c r="F787" s="1" t="s">
        <v>10009</v>
      </c>
      <c r="H787" s="2" t="s">
        <v>8</v>
      </c>
      <c r="I787" s="2" t="s">
        <v>7</v>
      </c>
      <c r="J787" s="2" t="s">
        <v>8</v>
      </c>
      <c r="K787" s="2" t="s">
        <v>8</v>
      </c>
      <c r="L787" s="2" t="s">
        <v>9</v>
      </c>
      <c r="M787" s="1" t="s">
        <v>10010</v>
      </c>
      <c r="N787" s="1" t="s">
        <v>10011</v>
      </c>
      <c r="O787" s="2" t="s">
        <v>602</v>
      </c>
      <c r="Q787" s="2" t="s">
        <v>12</v>
      </c>
      <c r="R787" s="2" t="s">
        <v>1252</v>
      </c>
      <c r="T787" s="2" t="s">
        <v>14</v>
      </c>
      <c r="U787" s="3">
        <v>11</v>
      </c>
      <c r="V787" s="3">
        <v>11</v>
      </c>
      <c r="W787" s="4" t="s">
        <v>5426</v>
      </c>
      <c r="X787" s="4" t="s">
        <v>5426</v>
      </c>
      <c r="Y787" s="4" t="s">
        <v>10012</v>
      </c>
      <c r="Z787" s="4" t="s">
        <v>10012</v>
      </c>
      <c r="AA787" s="3">
        <v>170</v>
      </c>
      <c r="AB787" s="3">
        <v>142</v>
      </c>
      <c r="AC787" s="3">
        <v>149</v>
      </c>
      <c r="AD787" s="3">
        <v>1</v>
      </c>
      <c r="AE787" s="3">
        <v>1</v>
      </c>
      <c r="AF787" s="3">
        <v>10</v>
      </c>
      <c r="AG787" s="3">
        <v>10</v>
      </c>
      <c r="AH787" s="3">
        <v>3</v>
      </c>
      <c r="AI787" s="3">
        <v>3</v>
      </c>
      <c r="AJ787" s="3">
        <v>3</v>
      </c>
      <c r="AK787" s="3">
        <v>3</v>
      </c>
      <c r="AL787" s="3">
        <v>7</v>
      </c>
      <c r="AM787" s="3">
        <v>7</v>
      </c>
      <c r="AN787" s="3">
        <v>0</v>
      </c>
      <c r="AO787" s="3">
        <v>0</v>
      </c>
      <c r="AP787" s="3">
        <v>1</v>
      </c>
      <c r="AQ787" s="3">
        <v>1</v>
      </c>
      <c r="AR787" s="2" t="s">
        <v>8</v>
      </c>
      <c r="AS787" s="2" t="s">
        <v>6</v>
      </c>
      <c r="AT787" s="5" t="str">
        <f>HYPERLINK("http://catalog.hathitrust.org/Record/004513276","HathiTrust Record")</f>
        <v>HathiTrust Record</v>
      </c>
      <c r="AU787" s="5" t="str">
        <f>HYPERLINK("https://creighton-primo.hosted.exlibrisgroup.com/primo-explore/search?tab=default_tab&amp;search_scope=EVERYTHING&amp;vid=01CRU&amp;lang=en_US&amp;offset=0&amp;query=any,contains,991001160169702656","Catalog Record")</f>
        <v>Catalog Record</v>
      </c>
      <c r="AV787" s="5" t="str">
        <f>HYPERLINK("http://www.worldcat.org/oclc/23287801","WorldCat Record")</f>
        <v>WorldCat Record</v>
      </c>
      <c r="AW787" s="2" t="s">
        <v>10013</v>
      </c>
      <c r="AX787" s="2" t="s">
        <v>10014</v>
      </c>
      <c r="AY787" s="2" t="s">
        <v>10015</v>
      </c>
      <c r="AZ787" s="2" t="s">
        <v>10015</v>
      </c>
      <c r="BA787" s="2" t="s">
        <v>10016</v>
      </c>
      <c r="BB787" s="2" t="s">
        <v>21</v>
      </c>
      <c r="BD787" s="2" t="s">
        <v>10017</v>
      </c>
      <c r="BE787" s="2" t="s">
        <v>10018</v>
      </c>
      <c r="BF787" s="2" t="s">
        <v>10019</v>
      </c>
    </row>
    <row r="788" spans="1:58" ht="42.75" customHeight="1" x14ac:dyDescent="0.25">
      <c r="A788" s="8" t="s">
        <v>8</v>
      </c>
      <c r="B788" s="1" t="s">
        <v>0</v>
      </c>
      <c r="C788" s="1" t="s">
        <v>1</v>
      </c>
      <c r="D788" s="1" t="s">
        <v>10020</v>
      </c>
      <c r="E788" s="1" t="s">
        <v>10021</v>
      </c>
      <c r="F788" s="1" t="s">
        <v>10022</v>
      </c>
      <c r="H788" s="2" t="s">
        <v>8</v>
      </c>
      <c r="I788" s="2" t="s">
        <v>7</v>
      </c>
      <c r="J788" s="2" t="s">
        <v>8</v>
      </c>
      <c r="K788" s="2" t="s">
        <v>8</v>
      </c>
      <c r="L788" s="2" t="s">
        <v>9</v>
      </c>
      <c r="N788" s="1" t="s">
        <v>10023</v>
      </c>
      <c r="O788" s="2" t="s">
        <v>830</v>
      </c>
      <c r="Q788" s="2" t="s">
        <v>12</v>
      </c>
      <c r="R788" s="2" t="s">
        <v>520</v>
      </c>
      <c r="T788" s="2" t="s">
        <v>14</v>
      </c>
      <c r="U788" s="3">
        <v>7</v>
      </c>
      <c r="V788" s="3">
        <v>7</v>
      </c>
      <c r="W788" s="4" t="s">
        <v>4533</v>
      </c>
      <c r="X788" s="4" t="s">
        <v>4533</v>
      </c>
      <c r="Y788" s="4" t="s">
        <v>10024</v>
      </c>
      <c r="Z788" s="4" t="s">
        <v>10024</v>
      </c>
      <c r="AA788" s="3">
        <v>18</v>
      </c>
      <c r="AB788" s="3">
        <v>17</v>
      </c>
      <c r="AC788" s="3">
        <v>88</v>
      </c>
      <c r="AD788" s="3">
        <v>1</v>
      </c>
      <c r="AE788" s="3">
        <v>2</v>
      </c>
      <c r="AF788" s="3">
        <v>1</v>
      </c>
      <c r="AG788" s="3">
        <v>3</v>
      </c>
      <c r="AH788" s="3">
        <v>0</v>
      </c>
      <c r="AI788" s="3">
        <v>0</v>
      </c>
      <c r="AJ788" s="3">
        <v>1</v>
      </c>
      <c r="AK788" s="3">
        <v>1</v>
      </c>
      <c r="AL788" s="3">
        <v>0</v>
      </c>
      <c r="AM788" s="3">
        <v>1</v>
      </c>
      <c r="AN788" s="3">
        <v>0</v>
      </c>
      <c r="AO788" s="3">
        <v>1</v>
      </c>
      <c r="AP788" s="3">
        <v>0</v>
      </c>
      <c r="AQ788" s="3">
        <v>0</v>
      </c>
      <c r="AR788" s="2" t="s">
        <v>8</v>
      </c>
      <c r="AS788" s="2" t="s">
        <v>8</v>
      </c>
      <c r="AU788" s="5" t="str">
        <f>HYPERLINK("https://creighton-primo.hosted.exlibrisgroup.com/primo-explore/search?tab=default_tab&amp;search_scope=EVERYTHING&amp;vid=01CRU&amp;lang=en_US&amp;offset=0&amp;query=any,contains,991000429329702656","Catalog Record")</f>
        <v>Catalog Record</v>
      </c>
      <c r="AV788" s="5" t="str">
        <f>HYPERLINK("http://www.worldcat.org/oclc/52037640","WorldCat Record")</f>
        <v>WorldCat Record</v>
      </c>
      <c r="AW788" s="2" t="s">
        <v>10025</v>
      </c>
      <c r="AX788" s="2" t="s">
        <v>10026</v>
      </c>
      <c r="AY788" s="2" t="s">
        <v>10027</v>
      </c>
      <c r="AZ788" s="2" t="s">
        <v>10027</v>
      </c>
      <c r="BA788" s="2" t="s">
        <v>10028</v>
      </c>
      <c r="BB788" s="2" t="s">
        <v>21</v>
      </c>
      <c r="BD788" s="2" t="s">
        <v>10029</v>
      </c>
      <c r="BE788" s="2" t="s">
        <v>10030</v>
      </c>
      <c r="BF788" s="2" t="s">
        <v>10031</v>
      </c>
    </row>
    <row r="789" spans="1:58" ht="42.75" customHeight="1" x14ac:dyDescent="0.25">
      <c r="A789" s="8" t="s">
        <v>8</v>
      </c>
      <c r="B789" s="1" t="s">
        <v>0</v>
      </c>
      <c r="C789" s="1" t="s">
        <v>1</v>
      </c>
      <c r="D789" s="1" t="s">
        <v>10032</v>
      </c>
      <c r="E789" s="1" t="s">
        <v>10033</v>
      </c>
      <c r="F789" s="1" t="s">
        <v>10034</v>
      </c>
      <c r="H789" s="2" t="s">
        <v>8</v>
      </c>
      <c r="I789" s="2" t="s">
        <v>7</v>
      </c>
      <c r="J789" s="2" t="s">
        <v>8</v>
      </c>
      <c r="K789" s="2" t="s">
        <v>8</v>
      </c>
      <c r="L789" s="2" t="s">
        <v>9</v>
      </c>
      <c r="N789" s="1" t="s">
        <v>10035</v>
      </c>
      <c r="O789" s="2" t="s">
        <v>51</v>
      </c>
      <c r="Q789" s="2" t="s">
        <v>12</v>
      </c>
      <c r="R789" s="2" t="s">
        <v>34</v>
      </c>
      <c r="T789" s="2" t="s">
        <v>14</v>
      </c>
      <c r="U789" s="3">
        <v>10</v>
      </c>
      <c r="V789" s="3">
        <v>10</v>
      </c>
      <c r="W789" s="4" t="s">
        <v>10036</v>
      </c>
      <c r="X789" s="4" t="s">
        <v>10036</v>
      </c>
      <c r="Y789" s="4" t="s">
        <v>8273</v>
      </c>
      <c r="Z789" s="4" t="s">
        <v>8273</v>
      </c>
      <c r="AA789" s="3">
        <v>160</v>
      </c>
      <c r="AB789" s="3">
        <v>152</v>
      </c>
      <c r="AC789" s="3">
        <v>152</v>
      </c>
      <c r="AD789" s="3">
        <v>1</v>
      </c>
      <c r="AE789" s="3">
        <v>1</v>
      </c>
      <c r="AF789" s="3">
        <v>6</v>
      </c>
      <c r="AG789" s="3">
        <v>6</v>
      </c>
      <c r="AH789" s="3">
        <v>0</v>
      </c>
      <c r="AI789" s="3">
        <v>0</v>
      </c>
      <c r="AJ789" s="3">
        <v>2</v>
      </c>
      <c r="AK789" s="3">
        <v>2</v>
      </c>
      <c r="AL789" s="3">
        <v>4</v>
      </c>
      <c r="AM789" s="3">
        <v>4</v>
      </c>
      <c r="AN789" s="3">
        <v>0</v>
      </c>
      <c r="AO789" s="3">
        <v>0</v>
      </c>
      <c r="AP789" s="3">
        <v>2</v>
      </c>
      <c r="AQ789" s="3">
        <v>2</v>
      </c>
      <c r="AR789" s="2" t="s">
        <v>8</v>
      </c>
      <c r="AS789" s="2" t="s">
        <v>8</v>
      </c>
      <c r="AU789" s="5" t="str">
        <f>HYPERLINK("https://creighton-primo.hosted.exlibrisgroup.com/primo-explore/search?tab=default_tab&amp;search_scope=EVERYTHING&amp;vid=01CRU&amp;lang=en_US&amp;offset=0&amp;query=any,contains,991001243359702656","Catalog Record")</f>
        <v>Catalog Record</v>
      </c>
      <c r="AV789" s="5" t="str">
        <f>HYPERLINK("http://www.worldcat.org/oclc/17620883","WorldCat Record")</f>
        <v>WorldCat Record</v>
      </c>
      <c r="AW789" s="2" t="s">
        <v>10037</v>
      </c>
      <c r="AX789" s="2" t="s">
        <v>10038</v>
      </c>
      <c r="AY789" s="2" t="s">
        <v>10039</v>
      </c>
      <c r="AZ789" s="2" t="s">
        <v>10039</v>
      </c>
      <c r="BA789" s="2" t="s">
        <v>10040</v>
      </c>
      <c r="BB789" s="2" t="s">
        <v>21</v>
      </c>
      <c r="BD789" s="2" t="s">
        <v>10041</v>
      </c>
      <c r="BE789" s="2" t="s">
        <v>10042</v>
      </c>
      <c r="BF789" s="2" t="s">
        <v>10043</v>
      </c>
    </row>
    <row r="790" spans="1:58" ht="42.75" customHeight="1" x14ac:dyDescent="0.25">
      <c r="A790" s="8" t="s">
        <v>8</v>
      </c>
      <c r="B790" s="1" t="s">
        <v>0</v>
      </c>
      <c r="C790" s="1" t="s">
        <v>1</v>
      </c>
      <c r="D790" s="1" t="s">
        <v>10044</v>
      </c>
      <c r="E790" s="1" t="s">
        <v>10045</v>
      </c>
      <c r="F790" s="1" t="s">
        <v>10046</v>
      </c>
      <c r="H790" s="2" t="s">
        <v>8</v>
      </c>
      <c r="I790" s="2" t="s">
        <v>7</v>
      </c>
      <c r="J790" s="2" t="s">
        <v>8</v>
      </c>
      <c r="K790" s="2" t="s">
        <v>8</v>
      </c>
      <c r="L790" s="2" t="s">
        <v>9</v>
      </c>
      <c r="N790" s="1" t="s">
        <v>10047</v>
      </c>
      <c r="O790" s="2" t="s">
        <v>2044</v>
      </c>
      <c r="Q790" s="2" t="s">
        <v>12</v>
      </c>
      <c r="R790" s="2" t="s">
        <v>1340</v>
      </c>
      <c r="T790" s="2" t="s">
        <v>14</v>
      </c>
      <c r="U790" s="3">
        <v>2</v>
      </c>
      <c r="V790" s="3">
        <v>2</v>
      </c>
      <c r="W790" s="4" t="s">
        <v>9446</v>
      </c>
      <c r="X790" s="4" t="s">
        <v>9446</v>
      </c>
      <c r="Y790" s="4" t="s">
        <v>6817</v>
      </c>
      <c r="Z790" s="4" t="s">
        <v>6817</v>
      </c>
      <c r="AA790" s="3">
        <v>106</v>
      </c>
      <c r="AB790" s="3">
        <v>86</v>
      </c>
      <c r="AC790" s="3">
        <v>86</v>
      </c>
      <c r="AD790" s="3">
        <v>1</v>
      </c>
      <c r="AE790" s="3">
        <v>1</v>
      </c>
      <c r="AF790" s="3">
        <v>3</v>
      </c>
      <c r="AG790" s="3">
        <v>3</v>
      </c>
      <c r="AH790" s="3">
        <v>1</v>
      </c>
      <c r="AI790" s="3">
        <v>1</v>
      </c>
      <c r="AJ790" s="3">
        <v>0</v>
      </c>
      <c r="AK790" s="3">
        <v>0</v>
      </c>
      <c r="AL790" s="3">
        <v>2</v>
      </c>
      <c r="AM790" s="3">
        <v>2</v>
      </c>
      <c r="AN790" s="3">
        <v>0</v>
      </c>
      <c r="AO790" s="3">
        <v>0</v>
      </c>
      <c r="AP790" s="3">
        <v>0</v>
      </c>
      <c r="AQ790" s="3">
        <v>0</v>
      </c>
      <c r="AR790" s="2" t="s">
        <v>8</v>
      </c>
      <c r="AS790" s="2" t="s">
        <v>8</v>
      </c>
      <c r="AU790" s="5" t="str">
        <f>HYPERLINK("https://creighton-primo.hosted.exlibrisgroup.com/primo-explore/search?tab=default_tab&amp;search_scope=EVERYTHING&amp;vid=01CRU&amp;lang=en_US&amp;offset=0&amp;query=any,contains,991000379539702656","Catalog Record")</f>
        <v>Catalog Record</v>
      </c>
      <c r="AV790" s="5" t="str">
        <f>HYPERLINK("http://www.worldcat.org/oclc/47013921","WorldCat Record")</f>
        <v>WorldCat Record</v>
      </c>
      <c r="AW790" s="2" t="s">
        <v>10048</v>
      </c>
      <c r="AX790" s="2" t="s">
        <v>10049</v>
      </c>
      <c r="AY790" s="2" t="s">
        <v>10050</v>
      </c>
      <c r="AZ790" s="2" t="s">
        <v>10050</v>
      </c>
      <c r="BA790" s="2" t="s">
        <v>10051</v>
      </c>
      <c r="BB790" s="2" t="s">
        <v>21</v>
      </c>
      <c r="BD790" s="2" t="s">
        <v>10052</v>
      </c>
      <c r="BE790" s="2" t="s">
        <v>10053</v>
      </c>
      <c r="BF790" s="2" t="s">
        <v>10054</v>
      </c>
    </row>
    <row r="791" spans="1:58" ht="42.75" customHeight="1" x14ac:dyDescent="0.25">
      <c r="A791" s="8" t="s">
        <v>8</v>
      </c>
      <c r="B791" s="1" t="s">
        <v>0</v>
      </c>
      <c r="C791" s="1" t="s">
        <v>1</v>
      </c>
      <c r="D791" s="1" t="s">
        <v>10055</v>
      </c>
      <c r="E791" s="1" t="s">
        <v>10056</v>
      </c>
      <c r="F791" s="1" t="s">
        <v>10057</v>
      </c>
      <c r="H791" s="2" t="s">
        <v>8</v>
      </c>
      <c r="I791" s="2" t="s">
        <v>7</v>
      </c>
      <c r="J791" s="2" t="s">
        <v>6</v>
      </c>
      <c r="K791" s="2" t="s">
        <v>8</v>
      </c>
      <c r="L791" s="2" t="s">
        <v>7</v>
      </c>
      <c r="M791" s="1" t="s">
        <v>10058</v>
      </c>
      <c r="N791" s="1" t="s">
        <v>10059</v>
      </c>
      <c r="O791" s="2" t="s">
        <v>614</v>
      </c>
      <c r="Q791" s="2" t="s">
        <v>12</v>
      </c>
      <c r="R791" s="2" t="s">
        <v>34</v>
      </c>
      <c r="S791" s="1" t="s">
        <v>10060</v>
      </c>
      <c r="T791" s="2" t="s">
        <v>14</v>
      </c>
      <c r="U791" s="3">
        <v>6</v>
      </c>
      <c r="V791" s="3">
        <v>6</v>
      </c>
      <c r="W791" s="4" t="s">
        <v>10061</v>
      </c>
      <c r="X791" s="4" t="s">
        <v>10061</v>
      </c>
      <c r="Y791" s="4" t="s">
        <v>10062</v>
      </c>
      <c r="Z791" s="4" t="s">
        <v>10062</v>
      </c>
      <c r="AA791" s="3">
        <v>374</v>
      </c>
      <c r="AB791" s="3">
        <v>289</v>
      </c>
      <c r="AC791" s="3">
        <v>1223</v>
      </c>
      <c r="AD791" s="3">
        <v>3</v>
      </c>
      <c r="AE791" s="3">
        <v>30</v>
      </c>
      <c r="AF791" s="3">
        <v>15</v>
      </c>
      <c r="AG791" s="3">
        <v>44</v>
      </c>
      <c r="AH791" s="3">
        <v>6</v>
      </c>
      <c r="AI791" s="3">
        <v>14</v>
      </c>
      <c r="AJ791" s="3">
        <v>3</v>
      </c>
      <c r="AK791" s="3">
        <v>8</v>
      </c>
      <c r="AL791" s="3">
        <v>12</v>
      </c>
      <c r="AM791" s="3">
        <v>18</v>
      </c>
      <c r="AN791" s="3">
        <v>1</v>
      </c>
      <c r="AO791" s="3">
        <v>14</v>
      </c>
      <c r="AP791" s="3">
        <v>0</v>
      </c>
      <c r="AQ791" s="3">
        <v>0</v>
      </c>
      <c r="AR791" s="2" t="s">
        <v>8</v>
      </c>
      <c r="AS791" s="2" t="s">
        <v>6</v>
      </c>
      <c r="AT791" s="5" t="str">
        <f>HYPERLINK("http://catalog.hathitrust.org/Record/002536692","HathiTrust Record")</f>
        <v>HathiTrust Record</v>
      </c>
      <c r="AU791" s="5" t="str">
        <f>HYPERLINK("https://creighton-primo.hosted.exlibrisgroup.com/primo-explore/search?tab=default_tab&amp;search_scope=EVERYTHING&amp;vid=01CRU&amp;lang=en_US&amp;offset=0&amp;query=any,contains,991001300889702656","Catalog Record")</f>
        <v>Catalog Record</v>
      </c>
      <c r="AV791" s="5" t="str">
        <f>HYPERLINK("http://www.worldcat.org/oclc/25163392","WorldCat Record")</f>
        <v>WorldCat Record</v>
      </c>
      <c r="AW791" s="2" t="s">
        <v>10063</v>
      </c>
      <c r="AX791" s="2" t="s">
        <v>10064</v>
      </c>
      <c r="AY791" s="2" t="s">
        <v>10065</v>
      </c>
      <c r="AZ791" s="2" t="s">
        <v>10065</v>
      </c>
      <c r="BA791" s="2" t="s">
        <v>10066</v>
      </c>
      <c r="BB791" s="2" t="s">
        <v>21</v>
      </c>
      <c r="BD791" s="2" t="s">
        <v>10067</v>
      </c>
      <c r="BE791" s="2" t="s">
        <v>10068</v>
      </c>
      <c r="BF791" s="2" t="s">
        <v>10069</v>
      </c>
    </row>
    <row r="792" spans="1:58" ht="42.75" customHeight="1" x14ac:dyDescent="0.25">
      <c r="A792" s="8" t="s">
        <v>8</v>
      </c>
      <c r="B792" s="1" t="s">
        <v>0</v>
      </c>
      <c r="C792" s="1" t="s">
        <v>1</v>
      </c>
      <c r="D792" s="1" t="s">
        <v>10070</v>
      </c>
      <c r="E792" s="1" t="s">
        <v>10071</v>
      </c>
      <c r="F792" s="1" t="s">
        <v>10072</v>
      </c>
      <c r="H792" s="2" t="s">
        <v>8</v>
      </c>
      <c r="I792" s="2" t="s">
        <v>7</v>
      </c>
      <c r="J792" s="2" t="s">
        <v>8</v>
      </c>
      <c r="K792" s="2" t="s">
        <v>8</v>
      </c>
      <c r="L792" s="2" t="s">
        <v>9</v>
      </c>
      <c r="N792" s="1" t="s">
        <v>8518</v>
      </c>
      <c r="O792" s="2" t="s">
        <v>252</v>
      </c>
      <c r="Q792" s="2" t="s">
        <v>12</v>
      </c>
      <c r="R792" s="2" t="s">
        <v>34</v>
      </c>
      <c r="S792" s="1" t="s">
        <v>10073</v>
      </c>
      <c r="T792" s="2" t="s">
        <v>14</v>
      </c>
      <c r="U792" s="3">
        <v>1</v>
      </c>
      <c r="V792" s="3">
        <v>1</v>
      </c>
      <c r="W792" s="4" t="s">
        <v>10074</v>
      </c>
      <c r="X792" s="4" t="s">
        <v>10074</v>
      </c>
      <c r="Y792" s="4" t="s">
        <v>16</v>
      </c>
      <c r="Z792" s="4" t="s">
        <v>16</v>
      </c>
      <c r="AA792" s="3">
        <v>184</v>
      </c>
      <c r="AB792" s="3">
        <v>152</v>
      </c>
      <c r="AC792" s="3">
        <v>159</v>
      </c>
      <c r="AD792" s="3">
        <v>2</v>
      </c>
      <c r="AE792" s="3">
        <v>2</v>
      </c>
      <c r="AF792" s="3">
        <v>2</v>
      </c>
      <c r="AG792" s="3">
        <v>2</v>
      </c>
      <c r="AH792" s="3">
        <v>0</v>
      </c>
      <c r="AI792" s="3">
        <v>0</v>
      </c>
      <c r="AJ792" s="3">
        <v>0</v>
      </c>
      <c r="AK792" s="3">
        <v>0</v>
      </c>
      <c r="AL792" s="3">
        <v>0</v>
      </c>
      <c r="AM792" s="3">
        <v>0</v>
      </c>
      <c r="AN792" s="3">
        <v>1</v>
      </c>
      <c r="AO792" s="3">
        <v>1</v>
      </c>
      <c r="AP792" s="3">
        <v>1</v>
      </c>
      <c r="AQ792" s="3">
        <v>1</v>
      </c>
      <c r="AR792" s="2" t="s">
        <v>8</v>
      </c>
      <c r="AS792" s="2" t="s">
        <v>6</v>
      </c>
      <c r="AT792" s="5" t="str">
        <f>HYPERLINK("http://catalog.hathitrust.org/Record/000102319","HathiTrust Record")</f>
        <v>HathiTrust Record</v>
      </c>
      <c r="AU792" s="5" t="str">
        <f>HYPERLINK("https://creighton-primo.hosted.exlibrisgroup.com/primo-explore/search?tab=default_tab&amp;search_scope=EVERYTHING&amp;vid=01CRU&amp;lang=en_US&amp;offset=0&amp;query=any,contains,991000656139702656","Catalog Record")</f>
        <v>Catalog Record</v>
      </c>
      <c r="AV792" s="5" t="str">
        <f>HYPERLINK("http://www.worldcat.org/oclc/7733670","WorldCat Record")</f>
        <v>WorldCat Record</v>
      </c>
      <c r="AW792" s="2" t="s">
        <v>10075</v>
      </c>
      <c r="AX792" s="2" t="s">
        <v>10076</v>
      </c>
      <c r="AY792" s="2" t="s">
        <v>10077</v>
      </c>
      <c r="AZ792" s="2" t="s">
        <v>10077</v>
      </c>
      <c r="BA792" s="2" t="s">
        <v>10078</v>
      </c>
      <c r="BB792" s="2" t="s">
        <v>21</v>
      </c>
      <c r="BD792" s="2" t="s">
        <v>10079</v>
      </c>
      <c r="BE792" s="2" t="s">
        <v>10080</v>
      </c>
      <c r="BF792" s="2" t="s">
        <v>10081</v>
      </c>
    </row>
    <row r="793" spans="1:58" ht="42.75" customHeight="1" x14ac:dyDescent="0.25">
      <c r="A793" s="8" t="s">
        <v>8</v>
      </c>
      <c r="B793" s="1" t="s">
        <v>0</v>
      </c>
      <c r="C793" s="1" t="s">
        <v>1</v>
      </c>
      <c r="D793" s="1" t="s">
        <v>10082</v>
      </c>
      <c r="E793" s="1" t="s">
        <v>10083</v>
      </c>
      <c r="F793" s="1" t="s">
        <v>10084</v>
      </c>
      <c r="H793" s="2" t="s">
        <v>8</v>
      </c>
      <c r="I793" s="2" t="s">
        <v>7</v>
      </c>
      <c r="J793" s="2" t="s">
        <v>8</v>
      </c>
      <c r="K793" s="2" t="s">
        <v>8</v>
      </c>
      <c r="L793" s="2" t="s">
        <v>9</v>
      </c>
      <c r="N793" s="1" t="s">
        <v>10085</v>
      </c>
      <c r="O793" s="2" t="s">
        <v>11</v>
      </c>
      <c r="Q793" s="2" t="s">
        <v>12</v>
      </c>
      <c r="R793" s="2" t="s">
        <v>815</v>
      </c>
      <c r="T793" s="2" t="s">
        <v>14</v>
      </c>
      <c r="U793" s="3">
        <v>6</v>
      </c>
      <c r="V793" s="3">
        <v>6</v>
      </c>
      <c r="W793" s="4" t="s">
        <v>9230</v>
      </c>
      <c r="X793" s="4" t="s">
        <v>9230</v>
      </c>
      <c r="Y793" s="4" t="s">
        <v>9123</v>
      </c>
      <c r="Z793" s="4" t="s">
        <v>9123</v>
      </c>
      <c r="AA793" s="3">
        <v>294</v>
      </c>
      <c r="AB793" s="3">
        <v>265</v>
      </c>
      <c r="AC793" s="3">
        <v>271</v>
      </c>
      <c r="AD793" s="3">
        <v>2</v>
      </c>
      <c r="AE793" s="3">
        <v>2</v>
      </c>
      <c r="AF793" s="3">
        <v>8</v>
      </c>
      <c r="AG793" s="3">
        <v>8</v>
      </c>
      <c r="AH793" s="3">
        <v>2</v>
      </c>
      <c r="AI793" s="3">
        <v>2</v>
      </c>
      <c r="AJ793" s="3">
        <v>2</v>
      </c>
      <c r="AK793" s="3">
        <v>2</v>
      </c>
      <c r="AL793" s="3">
        <v>7</v>
      </c>
      <c r="AM793" s="3">
        <v>7</v>
      </c>
      <c r="AN793" s="3">
        <v>1</v>
      </c>
      <c r="AO793" s="3">
        <v>1</v>
      </c>
      <c r="AP793" s="3">
        <v>0</v>
      </c>
      <c r="AQ793" s="3">
        <v>0</v>
      </c>
      <c r="AR793" s="2" t="s">
        <v>8</v>
      </c>
      <c r="AS793" s="2" t="s">
        <v>6</v>
      </c>
      <c r="AT793" s="5" t="str">
        <f>HYPERLINK("http://catalog.hathitrust.org/Record/000744399","HathiTrust Record")</f>
        <v>HathiTrust Record</v>
      </c>
      <c r="AU793" s="5" t="str">
        <f>HYPERLINK("https://creighton-primo.hosted.exlibrisgroup.com/primo-explore/search?tab=default_tab&amp;search_scope=EVERYTHING&amp;vid=01CRU&amp;lang=en_US&amp;offset=0&amp;query=any,contains,991000656609702656","Catalog Record")</f>
        <v>Catalog Record</v>
      </c>
      <c r="AV793" s="5" t="str">
        <f>HYPERLINK("http://www.worldcat.org/oclc/2421629","WorldCat Record")</f>
        <v>WorldCat Record</v>
      </c>
      <c r="AW793" s="2" t="s">
        <v>10086</v>
      </c>
      <c r="AX793" s="2" t="s">
        <v>10087</v>
      </c>
      <c r="AY793" s="2" t="s">
        <v>10088</v>
      </c>
      <c r="AZ793" s="2" t="s">
        <v>10088</v>
      </c>
      <c r="BA793" s="2" t="s">
        <v>10089</v>
      </c>
      <c r="BB793" s="2" t="s">
        <v>21</v>
      </c>
      <c r="BD793" s="2" t="s">
        <v>10090</v>
      </c>
      <c r="BE793" s="2" t="s">
        <v>10091</v>
      </c>
      <c r="BF793" s="2" t="s">
        <v>10092</v>
      </c>
    </row>
    <row r="794" spans="1:58" ht="42.75" customHeight="1" x14ac:dyDescent="0.25">
      <c r="A794" s="8" t="s">
        <v>8</v>
      </c>
      <c r="B794" s="1" t="s">
        <v>0</v>
      </c>
      <c r="C794" s="1" t="s">
        <v>1</v>
      </c>
      <c r="D794" s="1" t="s">
        <v>10093</v>
      </c>
      <c r="E794" s="1" t="s">
        <v>10094</v>
      </c>
      <c r="F794" s="1" t="s">
        <v>10095</v>
      </c>
      <c r="H794" s="2" t="s">
        <v>8</v>
      </c>
      <c r="I794" s="2" t="s">
        <v>7</v>
      </c>
      <c r="J794" s="2" t="s">
        <v>8</v>
      </c>
      <c r="K794" s="2" t="s">
        <v>8</v>
      </c>
      <c r="L794" s="2" t="s">
        <v>9</v>
      </c>
      <c r="N794" s="1" t="s">
        <v>10096</v>
      </c>
      <c r="O794" s="2" t="s">
        <v>2144</v>
      </c>
      <c r="Q794" s="2" t="s">
        <v>12</v>
      </c>
      <c r="R794" s="2" t="s">
        <v>456</v>
      </c>
      <c r="T794" s="2" t="s">
        <v>14</v>
      </c>
      <c r="U794" s="3">
        <v>0</v>
      </c>
      <c r="V794" s="3">
        <v>0</v>
      </c>
      <c r="W794" s="4" t="s">
        <v>10097</v>
      </c>
      <c r="X794" s="4" t="s">
        <v>10097</v>
      </c>
      <c r="Y794" s="4" t="s">
        <v>10098</v>
      </c>
      <c r="Z794" s="4" t="s">
        <v>10098</v>
      </c>
      <c r="AA794" s="3">
        <v>77</v>
      </c>
      <c r="AB794" s="3">
        <v>50</v>
      </c>
      <c r="AC794" s="3">
        <v>400</v>
      </c>
      <c r="AD794" s="3">
        <v>1</v>
      </c>
      <c r="AE794" s="3">
        <v>15</v>
      </c>
      <c r="AF794" s="3">
        <v>0</v>
      </c>
      <c r="AG794" s="3">
        <v>12</v>
      </c>
      <c r="AH794" s="3">
        <v>0</v>
      </c>
      <c r="AI794" s="3">
        <v>4</v>
      </c>
      <c r="AJ794" s="3">
        <v>0</v>
      </c>
      <c r="AK794" s="3">
        <v>1</v>
      </c>
      <c r="AL794" s="3">
        <v>0</v>
      </c>
      <c r="AM794" s="3">
        <v>1</v>
      </c>
      <c r="AN794" s="3">
        <v>0</v>
      </c>
      <c r="AO794" s="3">
        <v>8</v>
      </c>
      <c r="AP794" s="3">
        <v>0</v>
      </c>
      <c r="AQ794" s="3">
        <v>0</v>
      </c>
      <c r="AR794" s="2" t="s">
        <v>8</v>
      </c>
      <c r="AS794" s="2" t="s">
        <v>8</v>
      </c>
      <c r="AU794" s="5" t="str">
        <f>HYPERLINK("https://creighton-primo.hosted.exlibrisgroup.com/primo-explore/search?tab=default_tab&amp;search_scope=EVERYTHING&amp;vid=01CRU&amp;lang=en_US&amp;offset=0&amp;query=any,contains,991001576489702656","Catalog Record")</f>
        <v>Catalog Record</v>
      </c>
      <c r="AV794" s="5" t="str">
        <f>HYPERLINK("http://www.worldcat.org/oclc/312728587","WorldCat Record")</f>
        <v>WorldCat Record</v>
      </c>
      <c r="AW794" s="2" t="s">
        <v>10099</v>
      </c>
      <c r="AX794" s="2" t="s">
        <v>10100</v>
      </c>
      <c r="AY794" s="2" t="s">
        <v>10101</v>
      </c>
      <c r="AZ794" s="2" t="s">
        <v>10101</v>
      </c>
      <c r="BA794" s="2" t="s">
        <v>10102</v>
      </c>
      <c r="BB794" s="2" t="s">
        <v>21</v>
      </c>
      <c r="BD794" s="2" t="s">
        <v>10103</v>
      </c>
      <c r="BE794" s="2" t="s">
        <v>10104</v>
      </c>
      <c r="BF794" s="2" t="s">
        <v>10105</v>
      </c>
    </row>
    <row r="795" spans="1:58" ht="42.75" customHeight="1" x14ac:dyDescent="0.25">
      <c r="A795" s="8" t="s">
        <v>8</v>
      </c>
      <c r="B795" s="1" t="s">
        <v>0</v>
      </c>
      <c r="C795" s="1" t="s">
        <v>1</v>
      </c>
      <c r="D795" s="1" t="s">
        <v>10106</v>
      </c>
      <c r="E795" s="1" t="s">
        <v>10107</v>
      </c>
      <c r="F795" s="1" t="s">
        <v>10108</v>
      </c>
      <c r="H795" s="2" t="s">
        <v>8</v>
      </c>
      <c r="I795" s="2" t="s">
        <v>7</v>
      </c>
      <c r="J795" s="2" t="s">
        <v>8</v>
      </c>
      <c r="K795" s="2" t="s">
        <v>8</v>
      </c>
      <c r="L795" s="2" t="s">
        <v>9</v>
      </c>
      <c r="M795" s="1" t="s">
        <v>10109</v>
      </c>
      <c r="N795" s="1" t="s">
        <v>10110</v>
      </c>
      <c r="O795" s="2" t="s">
        <v>266</v>
      </c>
      <c r="Q795" s="2" t="s">
        <v>12</v>
      </c>
      <c r="R795" s="2" t="s">
        <v>34</v>
      </c>
      <c r="T795" s="2" t="s">
        <v>14</v>
      </c>
      <c r="U795" s="3">
        <v>6</v>
      </c>
      <c r="V795" s="3">
        <v>6</v>
      </c>
      <c r="W795" s="4" t="s">
        <v>10111</v>
      </c>
      <c r="X795" s="4" t="s">
        <v>10111</v>
      </c>
      <c r="Y795" s="4" t="s">
        <v>16</v>
      </c>
      <c r="Z795" s="4" t="s">
        <v>16</v>
      </c>
      <c r="AA795" s="3">
        <v>201</v>
      </c>
      <c r="AB795" s="3">
        <v>187</v>
      </c>
      <c r="AC795" s="3">
        <v>189</v>
      </c>
      <c r="AD795" s="3">
        <v>2</v>
      </c>
      <c r="AE795" s="3">
        <v>2</v>
      </c>
      <c r="AF795" s="3">
        <v>10</v>
      </c>
      <c r="AG795" s="3">
        <v>10</v>
      </c>
      <c r="AH795" s="3">
        <v>0</v>
      </c>
      <c r="AI795" s="3">
        <v>0</v>
      </c>
      <c r="AJ795" s="3">
        <v>2</v>
      </c>
      <c r="AK795" s="3">
        <v>2</v>
      </c>
      <c r="AL795" s="3">
        <v>3</v>
      </c>
      <c r="AM795" s="3">
        <v>3</v>
      </c>
      <c r="AN795" s="3">
        <v>0</v>
      </c>
      <c r="AO795" s="3">
        <v>0</v>
      </c>
      <c r="AP795" s="3">
        <v>7</v>
      </c>
      <c r="AQ795" s="3">
        <v>7</v>
      </c>
      <c r="AR795" s="2" t="s">
        <v>8</v>
      </c>
      <c r="AS795" s="2" t="s">
        <v>6</v>
      </c>
      <c r="AT795" s="5" t="str">
        <f>HYPERLINK("http://catalog.hathitrust.org/Record/000310188","HathiTrust Record")</f>
        <v>HathiTrust Record</v>
      </c>
      <c r="AU795" s="5" t="str">
        <f>HYPERLINK("https://creighton-primo.hosted.exlibrisgroup.com/primo-explore/search?tab=default_tab&amp;search_scope=EVERYTHING&amp;vid=01CRU&amp;lang=en_US&amp;offset=0&amp;query=any,contains,991000656819702656","Catalog Record")</f>
        <v>Catalog Record</v>
      </c>
      <c r="AV795" s="5" t="str">
        <f>HYPERLINK("http://www.worldcat.org/oclc/8764085","WorldCat Record")</f>
        <v>WorldCat Record</v>
      </c>
      <c r="AW795" s="2" t="s">
        <v>10112</v>
      </c>
      <c r="AX795" s="2" t="s">
        <v>10113</v>
      </c>
      <c r="AY795" s="2" t="s">
        <v>10114</v>
      </c>
      <c r="AZ795" s="2" t="s">
        <v>10114</v>
      </c>
      <c r="BA795" s="2" t="s">
        <v>10115</v>
      </c>
      <c r="BB795" s="2" t="s">
        <v>21</v>
      </c>
      <c r="BD795" s="2" t="s">
        <v>10116</v>
      </c>
      <c r="BE795" s="2" t="s">
        <v>10117</v>
      </c>
      <c r="BF795" s="2" t="s">
        <v>10118</v>
      </c>
    </row>
    <row r="796" spans="1:58" ht="42.75" customHeight="1" x14ac:dyDescent="0.25">
      <c r="A796" s="8" t="s">
        <v>8</v>
      </c>
      <c r="B796" s="1" t="s">
        <v>0</v>
      </c>
      <c r="C796" s="1" t="s">
        <v>1</v>
      </c>
      <c r="D796" s="1" t="s">
        <v>10119</v>
      </c>
      <c r="E796" s="1" t="s">
        <v>10120</v>
      </c>
      <c r="F796" s="1" t="s">
        <v>10121</v>
      </c>
      <c r="H796" s="2" t="s">
        <v>8</v>
      </c>
      <c r="I796" s="2" t="s">
        <v>7</v>
      </c>
      <c r="J796" s="2" t="s">
        <v>8</v>
      </c>
      <c r="K796" s="2" t="s">
        <v>8</v>
      </c>
      <c r="L796" s="2" t="s">
        <v>9</v>
      </c>
      <c r="M796" s="1" t="s">
        <v>10122</v>
      </c>
      <c r="N796" s="1" t="s">
        <v>10123</v>
      </c>
      <c r="O796" s="2" t="s">
        <v>731</v>
      </c>
      <c r="Q796" s="2" t="s">
        <v>12</v>
      </c>
      <c r="R796" s="2" t="s">
        <v>520</v>
      </c>
      <c r="T796" s="2" t="s">
        <v>14</v>
      </c>
      <c r="U796" s="3">
        <v>2</v>
      </c>
      <c r="V796" s="3">
        <v>2</v>
      </c>
      <c r="W796" s="4" t="s">
        <v>10124</v>
      </c>
      <c r="X796" s="4" t="s">
        <v>10124</v>
      </c>
      <c r="Y796" s="4" t="s">
        <v>10125</v>
      </c>
      <c r="Z796" s="4" t="s">
        <v>10125</v>
      </c>
      <c r="AA796" s="3">
        <v>127</v>
      </c>
      <c r="AB796" s="3">
        <v>114</v>
      </c>
      <c r="AC796" s="3">
        <v>115</v>
      </c>
      <c r="AD796" s="3">
        <v>1</v>
      </c>
      <c r="AE796" s="3">
        <v>1</v>
      </c>
      <c r="AF796" s="3">
        <v>6</v>
      </c>
      <c r="AG796" s="3">
        <v>6</v>
      </c>
      <c r="AH796" s="3">
        <v>2</v>
      </c>
      <c r="AI796" s="3">
        <v>2</v>
      </c>
      <c r="AJ796" s="3">
        <v>2</v>
      </c>
      <c r="AK796" s="3">
        <v>2</v>
      </c>
      <c r="AL796" s="3">
        <v>3</v>
      </c>
      <c r="AM796" s="3">
        <v>3</v>
      </c>
      <c r="AN796" s="3">
        <v>0</v>
      </c>
      <c r="AO796" s="3">
        <v>0</v>
      </c>
      <c r="AP796" s="3">
        <v>0</v>
      </c>
      <c r="AQ796" s="3">
        <v>0</v>
      </c>
      <c r="AR796" s="2" t="s">
        <v>8</v>
      </c>
      <c r="AS796" s="2" t="s">
        <v>6</v>
      </c>
      <c r="AT796" s="5" t="str">
        <f>HYPERLINK("http://catalog.hathitrust.org/Record/003973128","HathiTrust Record")</f>
        <v>HathiTrust Record</v>
      </c>
      <c r="AU796" s="5" t="str">
        <f>HYPERLINK("https://creighton-primo.hosted.exlibrisgroup.com/primo-explore/search?tab=default_tab&amp;search_scope=EVERYTHING&amp;vid=01CRU&amp;lang=en_US&amp;offset=0&amp;query=any,contains,991000901059702656","Catalog Record")</f>
        <v>Catalog Record</v>
      </c>
      <c r="AV796" s="5" t="str">
        <f>HYPERLINK("http://www.worldcat.org/oclc/37031316","WorldCat Record")</f>
        <v>WorldCat Record</v>
      </c>
      <c r="AW796" s="2" t="s">
        <v>10126</v>
      </c>
      <c r="AX796" s="2" t="s">
        <v>10127</v>
      </c>
      <c r="AY796" s="2" t="s">
        <v>10128</v>
      </c>
      <c r="AZ796" s="2" t="s">
        <v>10128</v>
      </c>
      <c r="BA796" s="2" t="s">
        <v>10129</v>
      </c>
      <c r="BB796" s="2" t="s">
        <v>21</v>
      </c>
      <c r="BD796" s="2" t="s">
        <v>10130</v>
      </c>
      <c r="BE796" s="2" t="s">
        <v>10131</v>
      </c>
      <c r="BF796" s="2" t="s">
        <v>10132</v>
      </c>
    </row>
    <row r="797" spans="1:58" ht="42.75" customHeight="1" x14ac:dyDescent="0.25">
      <c r="A797" s="8" t="s">
        <v>8</v>
      </c>
      <c r="B797" s="1" t="s">
        <v>0</v>
      </c>
      <c r="C797" s="1" t="s">
        <v>1</v>
      </c>
      <c r="D797" s="1" t="s">
        <v>10133</v>
      </c>
      <c r="E797" s="1" t="s">
        <v>10134</v>
      </c>
      <c r="F797" s="1" t="s">
        <v>10135</v>
      </c>
      <c r="H797" s="2" t="s">
        <v>8</v>
      </c>
      <c r="I797" s="2" t="s">
        <v>7</v>
      </c>
      <c r="J797" s="2" t="s">
        <v>8</v>
      </c>
      <c r="K797" s="2" t="s">
        <v>6</v>
      </c>
      <c r="L797" s="2" t="s">
        <v>9</v>
      </c>
      <c r="M797" s="1" t="s">
        <v>10136</v>
      </c>
      <c r="N797" s="1" t="s">
        <v>10137</v>
      </c>
      <c r="O797" s="2" t="s">
        <v>657</v>
      </c>
      <c r="P797" s="1" t="s">
        <v>732</v>
      </c>
      <c r="Q797" s="2" t="s">
        <v>12</v>
      </c>
      <c r="R797" s="2" t="s">
        <v>815</v>
      </c>
      <c r="T797" s="2" t="s">
        <v>14</v>
      </c>
      <c r="U797" s="3">
        <v>12</v>
      </c>
      <c r="V797" s="3">
        <v>12</v>
      </c>
      <c r="W797" s="4" t="s">
        <v>3257</v>
      </c>
      <c r="X797" s="4" t="s">
        <v>3257</v>
      </c>
      <c r="Y797" s="4" t="s">
        <v>10138</v>
      </c>
      <c r="Z797" s="4" t="s">
        <v>10138</v>
      </c>
      <c r="AA797" s="3">
        <v>266</v>
      </c>
      <c r="AB797" s="3">
        <v>246</v>
      </c>
      <c r="AC797" s="3">
        <v>1058</v>
      </c>
      <c r="AD797" s="3">
        <v>2</v>
      </c>
      <c r="AE797" s="3">
        <v>7</v>
      </c>
      <c r="AF797" s="3">
        <v>10</v>
      </c>
      <c r="AG797" s="3">
        <v>40</v>
      </c>
      <c r="AH797" s="3">
        <v>5</v>
      </c>
      <c r="AI797" s="3">
        <v>14</v>
      </c>
      <c r="AJ797" s="3">
        <v>1</v>
      </c>
      <c r="AK797" s="3">
        <v>8</v>
      </c>
      <c r="AL797" s="3">
        <v>5</v>
      </c>
      <c r="AM797" s="3">
        <v>16</v>
      </c>
      <c r="AN797" s="3">
        <v>1</v>
      </c>
      <c r="AO797" s="3">
        <v>6</v>
      </c>
      <c r="AP797" s="3">
        <v>1</v>
      </c>
      <c r="AQ797" s="3">
        <v>4</v>
      </c>
      <c r="AR797" s="2" t="s">
        <v>8</v>
      </c>
      <c r="AS797" s="2" t="s">
        <v>6</v>
      </c>
      <c r="AT797" s="5" t="str">
        <f>HYPERLINK("http://catalog.hathitrust.org/Record/003542677","HathiTrust Record")</f>
        <v>HathiTrust Record</v>
      </c>
      <c r="AU797" s="5" t="str">
        <f>HYPERLINK("https://creighton-primo.hosted.exlibrisgroup.com/primo-explore/search?tab=default_tab&amp;search_scope=EVERYTHING&amp;vid=01CRU&amp;lang=en_US&amp;offset=0&amp;query=any,contains,991000294849702656","Catalog Record")</f>
        <v>Catalog Record</v>
      </c>
      <c r="AV797" s="5" t="str">
        <f>HYPERLINK("http://www.worldcat.org/oclc/45556157","WorldCat Record")</f>
        <v>WorldCat Record</v>
      </c>
      <c r="AW797" s="2" t="s">
        <v>10139</v>
      </c>
      <c r="AX797" s="2" t="s">
        <v>10140</v>
      </c>
      <c r="AY797" s="2" t="s">
        <v>10141</v>
      </c>
      <c r="AZ797" s="2" t="s">
        <v>10141</v>
      </c>
      <c r="BA797" s="2" t="s">
        <v>10142</v>
      </c>
      <c r="BB797" s="2" t="s">
        <v>21</v>
      </c>
      <c r="BD797" s="2" t="s">
        <v>10143</v>
      </c>
      <c r="BE797" s="2" t="s">
        <v>10144</v>
      </c>
      <c r="BF797" s="2" t="s">
        <v>10145</v>
      </c>
    </row>
    <row r="798" spans="1:58" ht="42.75" customHeight="1" x14ac:dyDescent="0.25">
      <c r="A798" s="8" t="s">
        <v>8</v>
      </c>
      <c r="B798" s="1" t="s">
        <v>0</v>
      </c>
      <c r="C798" s="1" t="s">
        <v>1</v>
      </c>
      <c r="D798" s="1" t="s">
        <v>10146</v>
      </c>
      <c r="E798" s="1" t="s">
        <v>10147</v>
      </c>
      <c r="F798" s="1" t="s">
        <v>10135</v>
      </c>
      <c r="H798" s="2" t="s">
        <v>8</v>
      </c>
      <c r="I798" s="2" t="s">
        <v>7</v>
      </c>
      <c r="J798" s="2" t="s">
        <v>8</v>
      </c>
      <c r="K798" s="2" t="s">
        <v>6</v>
      </c>
      <c r="L798" s="2" t="s">
        <v>9</v>
      </c>
      <c r="M798" s="1" t="s">
        <v>10136</v>
      </c>
      <c r="N798" s="1" t="s">
        <v>10148</v>
      </c>
      <c r="O798" s="2" t="s">
        <v>642</v>
      </c>
      <c r="P798" s="1" t="s">
        <v>761</v>
      </c>
      <c r="Q798" s="2" t="s">
        <v>12</v>
      </c>
      <c r="R798" s="2" t="s">
        <v>1340</v>
      </c>
      <c r="T798" s="2" t="s">
        <v>14</v>
      </c>
      <c r="U798" s="3">
        <v>5</v>
      </c>
      <c r="V798" s="3">
        <v>5</v>
      </c>
      <c r="W798" s="4" t="s">
        <v>1182</v>
      </c>
      <c r="X798" s="4" t="s">
        <v>1182</v>
      </c>
      <c r="Y798" s="4" t="s">
        <v>3337</v>
      </c>
      <c r="Z798" s="4" t="s">
        <v>3337</v>
      </c>
      <c r="AA798" s="3">
        <v>220</v>
      </c>
      <c r="AB798" s="3">
        <v>209</v>
      </c>
      <c r="AC798" s="3">
        <v>1058</v>
      </c>
      <c r="AD798" s="3">
        <v>1</v>
      </c>
      <c r="AE798" s="3">
        <v>7</v>
      </c>
      <c r="AF798" s="3">
        <v>7</v>
      </c>
      <c r="AG798" s="3">
        <v>40</v>
      </c>
      <c r="AH798" s="3">
        <v>2</v>
      </c>
      <c r="AI798" s="3">
        <v>14</v>
      </c>
      <c r="AJ798" s="3">
        <v>2</v>
      </c>
      <c r="AK798" s="3">
        <v>8</v>
      </c>
      <c r="AL798" s="3">
        <v>5</v>
      </c>
      <c r="AM798" s="3">
        <v>16</v>
      </c>
      <c r="AN798" s="3">
        <v>0</v>
      </c>
      <c r="AO798" s="3">
        <v>6</v>
      </c>
      <c r="AP798" s="3">
        <v>0</v>
      </c>
      <c r="AQ798" s="3">
        <v>4</v>
      </c>
      <c r="AR798" s="2" t="s">
        <v>8</v>
      </c>
      <c r="AS798" s="2" t="s">
        <v>8</v>
      </c>
      <c r="AU798" s="5" t="str">
        <f>HYPERLINK("https://creighton-primo.hosted.exlibrisgroup.com/primo-explore/search?tab=default_tab&amp;search_scope=EVERYTHING&amp;vid=01CRU&amp;lang=en_US&amp;offset=0&amp;query=any,contains,991000392469702656","Catalog Record")</f>
        <v>Catalog Record</v>
      </c>
      <c r="AV798" s="5" t="str">
        <f>HYPERLINK("http://www.worldcat.org/oclc/52041377","WorldCat Record")</f>
        <v>WorldCat Record</v>
      </c>
      <c r="AW798" s="2" t="s">
        <v>10139</v>
      </c>
      <c r="AX798" s="2" t="s">
        <v>10149</v>
      </c>
      <c r="AY798" s="2" t="s">
        <v>10150</v>
      </c>
      <c r="AZ798" s="2" t="s">
        <v>10150</v>
      </c>
      <c r="BA798" s="2" t="s">
        <v>10151</v>
      </c>
      <c r="BB798" s="2" t="s">
        <v>21</v>
      </c>
      <c r="BD798" s="2" t="s">
        <v>10152</v>
      </c>
      <c r="BE798" s="2" t="s">
        <v>10153</v>
      </c>
      <c r="BF798" s="2" t="s">
        <v>10154</v>
      </c>
    </row>
    <row r="799" spans="1:58" ht="42.75" customHeight="1" x14ac:dyDescent="0.25">
      <c r="A799" s="8" t="s">
        <v>8</v>
      </c>
      <c r="B799" s="1" t="s">
        <v>0</v>
      </c>
      <c r="C799" s="1" t="s">
        <v>1</v>
      </c>
      <c r="D799" s="1" t="s">
        <v>10155</v>
      </c>
      <c r="E799" s="1" t="s">
        <v>10156</v>
      </c>
      <c r="F799" s="1" t="s">
        <v>10157</v>
      </c>
      <c r="H799" s="2" t="s">
        <v>8</v>
      </c>
      <c r="I799" s="2" t="s">
        <v>7</v>
      </c>
      <c r="J799" s="2" t="s">
        <v>8</v>
      </c>
      <c r="K799" s="2" t="s">
        <v>8</v>
      </c>
      <c r="L799" s="2" t="s">
        <v>9</v>
      </c>
      <c r="N799" s="1" t="s">
        <v>10158</v>
      </c>
      <c r="O799" s="2" t="s">
        <v>128</v>
      </c>
      <c r="Q799" s="2" t="s">
        <v>12</v>
      </c>
      <c r="R799" s="2" t="s">
        <v>815</v>
      </c>
      <c r="T799" s="2" t="s">
        <v>14</v>
      </c>
      <c r="U799" s="3">
        <v>1</v>
      </c>
      <c r="V799" s="3">
        <v>1</v>
      </c>
      <c r="W799" s="4" t="s">
        <v>10159</v>
      </c>
      <c r="X799" s="4" t="s">
        <v>10159</v>
      </c>
      <c r="Y799" s="4" t="s">
        <v>7328</v>
      </c>
      <c r="Z799" s="4" t="s">
        <v>7328</v>
      </c>
      <c r="AA799" s="3">
        <v>190</v>
      </c>
      <c r="AB799" s="3">
        <v>170</v>
      </c>
      <c r="AC799" s="3">
        <v>170</v>
      </c>
      <c r="AD799" s="3">
        <v>2</v>
      </c>
      <c r="AE799" s="3">
        <v>2</v>
      </c>
      <c r="AF799" s="3">
        <v>7</v>
      </c>
      <c r="AG799" s="3">
        <v>7</v>
      </c>
      <c r="AH799" s="3">
        <v>3</v>
      </c>
      <c r="AI799" s="3">
        <v>3</v>
      </c>
      <c r="AJ799" s="3">
        <v>3</v>
      </c>
      <c r="AK799" s="3">
        <v>3</v>
      </c>
      <c r="AL799" s="3">
        <v>4</v>
      </c>
      <c r="AM799" s="3">
        <v>4</v>
      </c>
      <c r="AN799" s="3">
        <v>1</v>
      </c>
      <c r="AO799" s="3">
        <v>1</v>
      </c>
      <c r="AP799" s="3">
        <v>0</v>
      </c>
      <c r="AQ799" s="3">
        <v>0</v>
      </c>
      <c r="AR799" s="2" t="s">
        <v>8</v>
      </c>
      <c r="AS799" s="2" t="s">
        <v>6</v>
      </c>
      <c r="AT799" s="5" t="str">
        <f>HYPERLINK("http://catalog.hathitrust.org/Record/000135147","HathiTrust Record")</f>
        <v>HathiTrust Record</v>
      </c>
      <c r="AU799" s="5" t="str">
        <f>HYPERLINK("https://creighton-primo.hosted.exlibrisgroup.com/primo-explore/search?tab=default_tab&amp;search_scope=EVERYTHING&amp;vid=01CRU&amp;lang=en_US&amp;offset=0&amp;query=any,contains,991000657299702656","Catalog Record")</f>
        <v>Catalog Record</v>
      </c>
      <c r="AV799" s="5" t="str">
        <f>HYPERLINK("http://www.worldcat.org/oclc/3843068","WorldCat Record")</f>
        <v>WorldCat Record</v>
      </c>
      <c r="AW799" s="2" t="s">
        <v>10160</v>
      </c>
      <c r="AX799" s="2" t="s">
        <v>10161</v>
      </c>
      <c r="AY799" s="2" t="s">
        <v>10162</v>
      </c>
      <c r="AZ799" s="2" t="s">
        <v>10162</v>
      </c>
      <c r="BA799" s="2" t="s">
        <v>10163</v>
      </c>
      <c r="BB799" s="2" t="s">
        <v>21</v>
      </c>
      <c r="BD799" s="2" t="s">
        <v>10164</v>
      </c>
      <c r="BE799" s="2" t="s">
        <v>10165</v>
      </c>
      <c r="BF799" s="2" t="s">
        <v>10166</v>
      </c>
    </row>
    <row r="800" spans="1:58" ht="42.75" customHeight="1" x14ac:dyDescent="0.25">
      <c r="A800" s="8" t="s">
        <v>8</v>
      </c>
      <c r="B800" s="1" t="s">
        <v>0</v>
      </c>
      <c r="C800" s="1" t="s">
        <v>1</v>
      </c>
      <c r="D800" s="1" t="s">
        <v>10167</v>
      </c>
      <c r="E800" s="1" t="s">
        <v>10168</v>
      </c>
      <c r="F800" s="1" t="s">
        <v>10169</v>
      </c>
      <c r="H800" s="2" t="s">
        <v>8</v>
      </c>
      <c r="I800" s="2" t="s">
        <v>7</v>
      </c>
      <c r="J800" s="2" t="s">
        <v>8</v>
      </c>
      <c r="K800" s="2" t="s">
        <v>8</v>
      </c>
      <c r="L800" s="2" t="s">
        <v>9</v>
      </c>
      <c r="M800" s="1" t="s">
        <v>10170</v>
      </c>
      <c r="N800" s="1" t="s">
        <v>4246</v>
      </c>
      <c r="O800" s="2" t="s">
        <v>814</v>
      </c>
      <c r="Q800" s="2" t="s">
        <v>12</v>
      </c>
      <c r="R800" s="2" t="s">
        <v>13</v>
      </c>
      <c r="T800" s="2" t="s">
        <v>14</v>
      </c>
      <c r="U800" s="3">
        <v>0</v>
      </c>
      <c r="V800" s="3">
        <v>0</v>
      </c>
      <c r="W800" s="4" t="s">
        <v>1643</v>
      </c>
      <c r="X800" s="4" t="s">
        <v>1643</v>
      </c>
      <c r="Y800" s="4" t="s">
        <v>1643</v>
      </c>
      <c r="Z800" s="4" t="s">
        <v>1643</v>
      </c>
      <c r="AA800" s="3">
        <v>70</v>
      </c>
      <c r="AB800" s="3">
        <v>62</v>
      </c>
      <c r="AC800" s="3">
        <v>626</v>
      </c>
      <c r="AD800" s="3">
        <v>1</v>
      </c>
      <c r="AE800" s="3">
        <v>27</v>
      </c>
      <c r="AF800" s="3">
        <v>6</v>
      </c>
      <c r="AG800" s="3">
        <v>31</v>
      </c>
      <c r="AH800" s="3">
        <v>0</v>
      </c>
      <c r="AI800" s="3">
        <v>5</v>
      </c>
      <c r="AJ800" s="3">
        <v>3</v>
      </c>
      <c r="AK800" s="3">
        <v>7</v>
      </c>
      <c r="AL800" s="3">
        <v>4</v>
      </c>
      <c r="AM800" s="3">
        <v>10</v>
      </c>
      <c r="AN800" s="3">
        <v>0</v>
      </c>
      <c r="AO800" s="3">
        <v>12</v>
      </c>
      <c r="AP800" s="3">
        <v>0</v>
      </c>
      <c r="AQ800" s="3">
        <v>0</v>
      </c>
      <c r="AR800" s="2" t="s">
        <v>8</v>
      </c>
      <c r="AS800" s="2" t="s">
        <v>8</v>
      </c>
      <c r="AU800" s="5" t="str">
        <f>HYPERLINK("https://creighton-primo.hosted.exlibrisgroup.com/primo-explore/search?tab=default_tab&amp;search_scope=EVERYTHING&amp;vid=01CRU&amp;lang=en_US&amp;offset=0&amp;query=any,contains,991000396789702656","Catalog Record")</f>
        <v>Catalog Record</v>
      </c>
      <c r="AV800" s="5" t="str">
        <f>HYPERLINK("http://www.worldcat.org/oclc/40173918","WorldCat Record")</f>
        <v>WorldCat Record</v>
      </c>
      <c r="AW800" s="2" t="s">
        <v>10171</v>
      </c>
      <c r="AX800" s="2" t="s">
        <v>10172</v>
      </c>
      <c r="AY800" s="2" t="s">
        <v>10173</v>
      </c>
      <c r="AZ800" s="2" t="s">
        <v>10173</v>
      </c>
      <c r="BA800" s="2" t="s">
        <v>10174</v>
      </c>
      <c r="BB800" s="2" t="s">
        <v>21</v>
      </c>
      <c r="BD800" s="2" t="s">
        <v>10175</v>
      </c>
      <c r="BE800" s="2" t="s">
        <v>10176</v>
      </c>
      <c r="BF800" s="2" t="s">
        <v>10177</v>
      </c>
    </row>
    <row r="801" spans="1:58" ht="42.75" customHeight="1" x14ac:dyDescent="0.25">
      <c r="A801" s="8" t="s">
        <v>8</v>
      </c>
      <c r="B801" s="1" t="s">
        <v>0</v>
      </c>
      <c r="C801" s="1" t="s">
        <v>1</v>
      </c>
      <c r="D801" s="1" t="s">
        <v>10178</v>
      </c>
      <c r="E801" s="1" t="s">
        <v>10179</v>
      </c>
      <c r="F801" s="1" t="s">
        <v>10180</v>
      </c>
      <c r="H801" s="2" t="s">
        <v>8</v>
      </c>
      <c r="I801" s="2" t="s">
        <v>7</v>
      </c>
      <c r="J801" s="2" t="s">
        <v>8</v>
      </c>
      <c r="K801" s="2" t="s">
        <v>8</v>
      </c>
      <c r="L801" s="2" t="s">
        <v>9</v>
      </c>
      <c r="N801" s="1" t="s">
        <v>10181</v>
      </c>
      <c r="O801" s="2" t="s">
        <v>731</v>
      </c>
      <c r="P801" s="1" t="s">
        <v>1225</v>
      </c>
      <c r="Q801" s="2" t="s">
        <v>12</v>
      </c>
      <c r="R801" s="2" t="s">
        <v>1170</v>
      </c>
      <c r="T801" s="2" t="s">
        <v>14</v>
      </c>
      <c r="U801" s="3">
        <v>3</v>
      </c>
      <c r="V801" s="3">
        <v>3</v>
      </c>
      <c r="W801" s="4" t="s">
        <v>10182</v>
      </c>
      <c r="X801" s="4" t="s">
        <v>10182</v>
      </c>
      <c r="Y801" s="4" t="s">
        <v>10183</v>
      </c>
      <c r="Z801" s="4" t="s">
        <v>10183</v>
      </c>
      <c r="AA801" s="3">
        <v>146</v>
      </c>
      <c r="AB801" s="3">
        <v>135</v>
      </c>
      <c r="AC801" s="3">
        <v>141</v>
      </c>
      <c r="AD801" s="3">
        <v>1</v>
      </c>
      <c r="AE801" s="3">
        <v>1</v>
      </c>
      <c r="AF801" s="3">
        <v>4</v>
      </c>
      <c r="AG801" s="3">
        <v>4</v>
      </c>
      <c r="AH801" s="3">
        <v>0</v>
      </c>
      <c r="AI801" s="3">
        <v>0</v>
      </c>
      <c r="AJ801" s="3">
        <v>2</v>
      </c>
      <c r="AK801" s="3">
        <v>2</v>
      </c>
      <c r="AL801" s="3">
        <v>3</v>
      </c>
      <c r="AM801" s="3">
        <v>3</v>
      </c>
      <c r="AN801" s="3">
        <v>0</v>
      </c>
      <c r="AO801" s="3">
        <v>0</v>
      </c>
      <c r="AP801" s="3">
        <v>0</v>
      </c>
      <c r="AQ801" s="3">
        <v>0</v>
      </c>
      <c r="AR801" s="2" t="s">
        <v>8</v>
      </c>
      <c r="AS801" s="2" t="s">
        <v>8</v>
      </c>
      <c r="AU801" s="5" t="str">
        <f>HYPERLINK("https://creighton-primo.hosted.exlibrisgroup.com/primo-explore/search?tab=default_tab&amp;search_scope=EVERYTHING&amp;vid=01CRU&amp;lang=en_US&amp;offset=0&amp;query=any,contains,991001557549702656","Catalog Record")</f>
        <v>Catalog Record</v>
      </c>
      <c r="AV801" s="5" t="str">
        <f>HYPERLINK("http://www.worldcat.org/oclc/39633999","WorldCat Record")</f>
        <v>WorldCat Record</v>
      </c>
      <c r="AW801" s="2" t="s">
        <v>10184</v>
      </c>
      <c r="AX801" s="2" t="s">
        <v>10185</v>
      </c>
      <c r="AY801" s="2" t="s">
        <v>10186</v>
      </c>
      <c r="AZ801" s="2" t="s">
        <v>10186</v>
      </c>
      <c r="BA801" s="2" t="s">
        <v>10187</v>
      </c>
      <c r="BB801" s="2" t="s">
        <v>21</v>
      </c>
      <c r="BD801" s="2" t="s">
        <v>10188</v>
      </c>
      <c r="BE801" s="2" t="s">
        <v>10189</v>
      </c>
      <c r="BF801" s="2" t="s">
        <v>10190</v>
      </c>
    </row>
    <row r="802" spans="1:58" ht="42.75" customHeight="1" x14ac:dyDescent="0.25">
      <c r="A802" s="8" t="s">
        <v>8</v>
      </c>
      <c r="B802" s="1" t="s">
        <v>0</v>
      </c>
      <c r="C802" s="1" t="s">
        <v>1</v>
      </c>
      <c r="D802" s="1" t="s">
        <v>10191</v>
      </c>
      <c r="E802" s="1" t="s">
        <v>10192</v>
      </c>
      <c r="F802" s="1" t="s">
        <v>10193</v>
      </c>
      <c r="H802" s="2" t="s">
        <v>8</v>
      </c>
      <c r="I802" s="2" t="s">
        <v>7</v>
      </c>
      <c r="J802" s="2" t="s">
        <v>8</v>
      </c>
      <c r="K802" s="2" t="s">
        <v>6</v>
      </c>
      <c r="L802" s="2" t="s">
        <v>9</v>
      </c>
      <c r="N802" s="1" t="s">
        <v>10194</v>
      </c>
      <c r="O802" s="2" t="s">
        <v>830</v>
      </c>
      <c r="P802" s="1" t="s">
        <v>1225</v>
      </c>
      <c r="Q802" s="2" t="s">
        <v>12</v>
      </c>
      <c r="R802" s="2" t="s">
        <v>1170</v>
      </c>
      <c r="T802" s="2" t="s">
        <v>14</v>
      </c>
      <c r="U802" s="3">
        <v>2</v>
      </c>
      <c r="V802" s="3">
        <v>2</v>
      </c>
      <c r="W802" s="4" t="s">
        <v>10195</v>
      </c>
      <c r="X802" s="4" t="s">
        <v>10195</v>
      </c>
      <c r="Y802" s="4" t="s">
        <v>8507</v>
      </c>
      <c r="Z802" s="4" t="s">
        <v>8507</v>
      </c>
      <c r="AA802" s="3">
        <v>149</v>
      </c>
      <c r="AB802" s="3">
        <v>140</v>
      </c>
      <c r="AC802" s="3">
        <v>854</v>
      </c>
      <c r="AD802" s="3">
        <v>2</v>
      </c>
      <c r="AE802" s="3">
        <v>8</v>
      </c>
      <c r="AF802" s="3">
        <v>3</v>
      </c>
      <c r="AG802" s="3">
        <v>35</v>
      </c>
      <c r="AH802" s="3">
        <v>2</v>
      </c>
      <c r="AI802" s="3">
        <v>12</v>
      </c>
      <c r="AJ802" s="3">
        <v>0</v>
      </c>
      <c r="AK802" s="3">
        <v>8</v>
      </c>
      <c r="AL802" s="3">
        <v>1</v>
      </c>
      <c r="AM802" s="3">
        <v>12</v>
      </c>
      <c r="AN802" s="3">
        <v>0</v>
      </c>
      <c r="AO802" s="3">
        <v>6</v>
      </c>
      <c r="AP802" s="3">
        <v>0</v>
      </c>
      <c r="AQ802" s="3">
        <v>2</v>
      </c>
      <c r="AR802" s="2" t="s">
        <v>8</v>
      </c>
      <c r="AS802" s="2" t="s">
        <v>8</v>
      </c>
      <c r="AU802" s="5" t="str">
        <f>HYPERLINK("https://creighton-primo.hosted.exlibrisgroup.com/primo-explore/search?tab=default_tab&amp;search_scope=EVERYTHING&amp;vid=01CRU&amp;lang=en_US&amp;offset=0&amp;query=any,contains,991000359019702656","Catalog Record")</f>
        <v>Catalog Record</v>
      </c>
      <c r="AV802" s="5" t="str">
        <f>HYPERLINK("http://www.worldcat.org/oclc/50669983","WorldCat Record")</f>
        <v>WorldCat Record</v>
      </c>
      <c r="AW802" s="2" t="s">
        <v>10196</v>
      </c>
      <c r="AX802" s="2" t="s">
        <v>10197</v>
      </c>
      <c r="AY802" s="2" t="s">
        <v>10198</v>
      </c>
      <c r="AZ802" s="2" t="s">
        <v>10198</v>
      </c>
      <c r="BA802" s="2" t="s">
        <v>10199</v>
      </c>
      <c r="BB802" s="2" t="s">
        <v>21</v>
      </c>
      <c r="BD802" s="2" t="s">
        <v>10200</v>
      </c>
      <c r="BE802" s="2" t="s">
        <v>10201</v>
      </c>
      <c r="BF802" s="2" t="s">
        <v>10202</v>
      </c>
    </row>
    <row r="803" spans="1:58" ht="42.75" customHeight="1" x14ac:dyDescent="0.25">
      <c r="A803" s="8" t="s">
        <v>8</v>
      </c>
      <c r="B803" s="1" t="s">
        <v>0</v>
      </c>
      <c r="C803" s="1" t="s">
        <v>1</v>
      </c>
      <c r="D803" s="1" t="s">
        <v>10203</v>
      </c>
      <c r="E803" s="1" t="s">
        <v>10204</v>
      </c>
      <c r="F803" s="1" t="s">
        <v>10205</v>
      </c>
      <c r="G803" s="2" t="s">
        <v>10206</v>
      </c>
      <c r="H803" s="2" t="s">
        <v>8</v>
      </c>
      <c r="I803" s="2" t="s">
        <v>7</v>
      </c>
      <c r="J803" s="2" t="s">
        <v>8</v>
      </c>
      <c r="K803" s="2" t="s">
        <v>6</v>
      </c>
      <c r="L803" s="2" t="s">
        <v>9</v>
      </c>
      <c r="N803" s="1" t="s">
        <v>10207</v>
      </c>
      <c r="O803" s="2" t="s">
        <v>2089</v>
      </c>
      <c r="Q803" s="2" t="s">
        <v>12</v>
      </c>
      <c r="R803" s="2" t="s">
        <v>1170</v>
      </c>
      <c r="T803" s="2" t="s">
        <v>14</v>
      </c>
      <c r="U803" s="3">
        <v>2</v>
      </c>
      <c r="V803" s="3">
        <v>2</v>
      </c>
      <c r="W803" s="4" t="s">
        <v>10208</v>
      </c>
      <c r="X803" s="4" t="s">
        <v>10208</v>
      </c>
      <c r="Y803" s="4" t="s">
        <v>3769</v>
      </c>
      <c r="Z803" s="4" t="s">
        <v>3769</v>
      </c>
      <c r="AA803" s="3">
        <v>78</v>
      </c>
      <c r="AB803" s="3">
        <v>73</v>
      </c>
      <c r="AC803" s="3">
        <v>854</v>
      </c>
      <c r="AD803" s="3">
        <v>1</v>
      </c>
      <c r="AE803" s="3">
        <v>8</v>
      </c>
      <c r="AF803" s="3">
        <v>1</v>
      </c>
      <c r="AG803" s="3">
        <v>35</v>
      </c>
      <c r="AH803" s="3">
        <v>1</v>
      </c>
      <c r="AI803" s="3">
        <v>12</v>
      </c>
      <c r="AJ803" s="3">
        <v>0</v>
      </c>
      <c r="AK803" s="3">
        <v>8</v>
      </c>
      <c r="AL803" s="3">
        <v>0</v>
      </c>
      <c r="AM803" s="3">
        <v>12</v>
      </c>
      <c r="AN803" s="3">
        <v>0</v>
      </c>
      <c r="AO803" s="3">
        <v>6</v>
      </c>
      <c r="AP803" s="3">
        <v>0</v>
      </c>
      <c r="AQ803" s="3">
        <v>2</v>
      </c>
      <c r="AR803" s="2" t="s">
        <v>8</v>
      </c>
      <c r="AS803" s="2" t="s">
        <v>8</v>
      </c>
      <c r="AU803" s="5" t="str">
        <f>HYPERLINK("https://creighton-primo.hosted.exlibrisgroup.com/primo-explore/search?tab=default_tab&amp;search_scope=EVERYTHING&amp;vid=01CRU&amp;lang=en_US&amp;offset=0&amp;query=any,contains,991000581739702656","Catalog Record")</f>
        <v>Catalog Record</v>
      </c>
      <c r="AV803" s="5" t="str">
        <f>HYPERLINK("http://www.worldcat.org/oclc/70882018","WorldCat Record")</f>
        <v>WorldCat Record</v>
      </c>
      <c r="AW803" s="2" t="s">
        <v>10196</v>
      </c>
      <c r="AX803" s="2" t="s">
        <v>10209</v>
      </c>
      <c r="AY803" s="2" t="s">
        <v>10210</v>
      </c>
      <c r="AZ803" s="2" t="s">
        <v>10210</v>
      </c>
      <c r="BA803" s="2" t="s">
        <v>10211</v>
      </c>
      <c r="BB803" s="2" t="s">
        <v>21</v>
      </c>
      <c r="BD803" s="2" t="s">
        <v>10212</v>
      </c>
      <c r="BE803" s="2" t="s">
        <v>10213</v>
      </c>
      <c r="BF803" s="2" t="s">
        <v>10214</v>
      </c>
    </row>
    <row r="804" spans="1:58" ht="42.75" customHeight="1" x14ac:dyDescent="0.25">
      <c r="A804" s="8" t="s">
        <v>8</v>
      </c>
      <c r="B804" s="1" t="s">
        <v>0</v>
      </c>
      <c r="C804" s="1" t="s">
        <v>1</v>
      </c>
      <c r="D804" s="1" t="s">
        <v>10215</v>
      </c>
      <c r="E804" s="1" t="s">
        <v>10216</v>
      </c>
      <c r="F804" s="1" t="s">
        <v>10217</v>
      </c>
      <c r="H804" s="2" t="s">
        <v>8</v>
      </c>
      <c r="I804" s="2" t="s">
        <v>7</v>
      </c>
      <c r="J804" s="2" t="s">
        <v>8</v>
      </c>
      <c r="K804" s="2" t="s">
        <v>8</v>
      </c>
      <c r="L804" s="2" t="s">
        <v>9</v>
      </c>
      <c r="N804" s="1" t="s">
        <v>3874</v>
      </c>
      <c r="O804" s="2" t="s">
        <v>731</v>
      </c>
      <c r="Q804" s="2" t="s">
        <v>12</v>
      </c>
      <c r="R804" s="2" t="s">
        <v>520</v>
      </c>
      <c r="T804" s="2" t="s">
        <v>14</v>
      </c>
      <c r="U804" s="3">
        <v>6</v>
      </c>
      <c r="V804" s="3">
        <v>6</v>
      </c>
      <c r="W804" s="4" t="s">
        <v>9738</v>
      </c>
      <c r="X804" s="4" t="s">
        <v>9738</v>
      </c>
      <c r="Y804" s="4" t="s">
        <v>10218</v>
      </c>
      <c r="Z804" s="4" t="s">
        <v>10218</v>
      </c>
      <c r="AA804" s="3">
        <v>111</v>
      </c>
      <c r="AB804" s="3">
        <v>102</v>
      </c>
      <c r="AC804" s="3">
        <v>107</v>
      </c>
      <c r="AD804" s="3">
        <v>2</v>
      </c>
      <c r="AE804" s="3">
        <v>2</v>
      </c>
      <c r="AF804" s="3">
        <v>4</v>
      </c>
      <c r="AG804" s="3">
        <v>4</v>
      </c>
      <c r="AH804" s="3">
        <v>2</v>
      </c>
      <c r="AI804" s="3">
        <v>2</v>
      </c>
      <c r="AJ804" s="3">
        <v>0</v>
      </c>
      <c r="AK804" s="3">
        <v>0</v>
      </c>
      <c r="AL804" s="3">
        <v>2</v>
      </c>
      <c r="AM804" s="3">
        <v>2</v>
      </c>
      <c r="AN804" s="3">
        <v>1</v>
      </c>
      <c r="AO804" s="3">
        <v>1</v>
      </c>
      <c r="AP804" s="3">
        <v>0</v>
      </c>
      <c r="AQ804" s="3">
        <v>0</v>
      </c>
      <c r="AR804" s="2" t="s">
        <v>8</v>
      </c>
      <c r="AS804" s="2" t="s">
        <v>8</v>
      </c>
      <c r="AU804" s="5" t="str">
        <f>HYPERLINK("https://creighton-primo.hosted.exlibrisgroup.com/primo-explore/search?tab=default_tab&amp;search_scope=EVERYTHING&amp;vid=01CRU&amp;lang=en_US&amp;offset=0&amp;query=any,contains,991001391499702656","Catalog Record")</f>
        <v>Catalog Record</v>
      </c>
      <c r="AV804" s="5" t="str">
        <f>HYPERLINK("http://www.worldcat.org/oclc/38439237","WorldCat Record")</f>
        <v>WorldCat Record</v>
      </c>
      <c r="AW804" s="2" t="s">
        <v>10219</v>
      </c>
      <c r="AX804" s="2" t="s">
        <v>10220</v>
      </c>
      <c r="AY804" s="2" t="s">
        <v>10221</v>
      </c>
      <c r="AZ804" s="2" t="s">
        <v>10221</v>
      </c>
      <c r="BA804" s="2" t="s">
        <v>10222</v>
      </c>
      <c r="BB804" s="2" t="s">
        <v>21</v>
      </c>
      <c r="BD804" s="2" t="s">
        <v>10223</v>
      </c>
      <c r="BE804" s="2" t="s">
        <v>10224</v>
      </c>
      <c r="BF804" s="2" t="s">
        <v>10225</v>
      </c>
    </row>
    <row r="805" spans="1:58" ht="42.75" customHeight="1" x14ac:dyDescent="0.25">
      <c r="A805" s="8" t="s">
        <v>8</v>
      </c>
      <c r="B805" s="1" t="s">
        <v>0</v>
      </c>
      <c r="C805" s="1" t="s">
        <v>1</v>
      </c>
      <c r="D805" s="1" t="s">
        <v>10226</v>
      </c>
      <c r="E805" s="1" t="s">
        <v>10227</v>
      </c>
      <c r="F805" s="1" t="s">
        <v>10228</v>
      </c>
      <c r="H805" s="2" t="s">
        <v>8</v>
      </c>
      <c r="I805" s="2" t="s">
        <v>7</v>
      </c>
      <c r="J805" s="2" t="s">
        <v>8</v>
      </c>
      <c r="K805" s="2" t="s">
        <v>8</v>
      </c>
      <c r="L805" s="2" t="s">
        <v>9</v>
      </c>
      <c r="M805" s="1" t="s">
        <v>10229</v>
      </c>
      <c r="N805" s="1" t="s">
        <v>10230</v>
      </c>
      <c r="O805" s="2" t="s">
        <v>2919</v>
      </c>
      <c r="Q805" s="2" t="s">
        <v>12</v>
      </c>
      <c r="R805" s="2" t="s">
        <v>1340</v>
      </c>
      <c r="T805" s="2" t="s">
        <v>14</v>
      </c>
      <c r="U805" s="3">
        <v>3</v>
      </c>
      <c r="V805" s="3">
        <v>3</v>
      </c>
      <c r="W805" s="4" t="s">
        <v>9551</v>
      </c>
      <c r="X805" s="4" t="s">
        <v>9551</v>
      </c>
      <c r="Y805" s="4" t="s">
        <v>16</v>
      </c>
      <c r="Z805" s="4" t="s">
        <v>16</v>
      </c>
      <c r="AA805" s="3">
        <v>244</v>
      </c>
      <c r="AB805" s="3">
        <v>186</v>
      </c>
      <c r="AC805" s="3">
        <v>194</v>
      </c>
      <c r="AD805" s="3">
        <v>2</v>
      </c>
      <c r="AE805" s="3">
        <v>2</v>
      </c>
      <c r="AF805" s="3">
        <v>6</v>
      </c>
      <c r="AG805" s="3">
        <v>6</v>
      </c>
      <c r="AH805" s="3">
        <v>1</v>
      </c>
      <c r="AI805" s="3">
        <v>1</v>
      </c>
      <c r="AJ805" s="3">
        <v>2</v>
      </c>
      <c r="AK805" s="3">
        <v>2</v>
      </c>
      <c r="AL805" s="3">
        <v>4</v>
      </c>
      <c r="AM805" s="3">
        <v>4</v>
      </c>
      <c r="AN805" s="3">
        <v>1</v>
      </c>
      <c r="AO805" s="3">
        <v>1</v>
      </c>
      <c r="AP805" s="3">
        <v>0</v>
      </c>
      <c r="AQ805" s="3">
        <v>0</v>
      </c>
      <c r="AR805" s="2" t="s">
        <v>8</v>
      </c>
      <c r="AS805" s="2" t="s">
        <v>6</v>
      </c>
      <c r="AT805" s="5" t="str">
        <f>HYPERLINK("http://catalog.hathitrust.org/Record/000765765","HathiTrust Record")</f>
        <v>HathiTrust Record</v>
      </c>
      <c r="AU805" s="5" t="str">
        <f>HYPERLINK("https://creighton-primo.hosted.exlibrisgroup.com/primo-explore/search?tab=default_tab&amp;search_scope=EVERYTHING&amp;vid=01CRU&amp;lang=en_US&amp;offset=0&amp;query=any,contains,991000657689702656","Catalog Record")</f>
        <v>Catalog Record</v>
      </c>
      <c r="AV805" s="5" t="str">
        <f>HYPERLINK("http://www.worldcat.org/oclc/1454328","WorldCat Record")</f>
        <v>WorldCat Record</v>
      </c>
      <c r="AW805" s="2" t="s">
        <v>10231</v>
      </c>
      <c r="AX805" s="2" t="s">
        <v>10232</v>
      </c>
      <c r="AY805" s="2" t="s">
        <v>10233</v>
      </c>
      <c r="AZ805" s="2" t="s">
        <v>10233</v>
      </c>
      <c r="BA805" s="2" t="s">
        <v>10234</v>
      </c>
      <c r="BB805" s="2" t="s">
        <v>21</v>
      </c>
      <c r="BD805" s="2" t="s">
        <v>10235</v>
      </c>
      <c r="BE805" s="2" t="s">
        <v>10236</v>
      </c>
      <c r="BF805" s="2" t="s">
        <v>10237</v>
      </c>
    </row>
    <row r="806" spans="1:58" ht="42.75" customHeight="1" x14ac:dyDescent="0.25">
      <c r="A806" s="8" t="s">
        <v>8</v>
      </c>
      <c r="B806" s="1" t="s">
        <v>0</v>
      </c>
      <c r="C806" s="1" t="s">
        <v>1</v>
      </c>
      <c r="D806" s="1" t="s">
        <v>10238</v>
      </c>
      <c r="E806" s="1" t="s">
        <v>10239</v>
      </c>
      <c r="F806" s="1" t="s">
        <v>10240</v>
      </c>
      <c r="H806" s="2" t="s">
        <v>8</v>
      </c>
      <c r="I806" s="2" t="s">
        <v>7</v>
      </c>
      <c r="J806" s="2" t="s">
        <v>8</v>
      </c>
      <c r="K806" s="2" t="s">
        <v>8</v>
      </c>
      <c r="L806" s="2" t="s">
        <v>9</v>
      </c>
      <c r="M806" s="1" t="s">
        <v>10241</v>
      </c>
      <c r="N806" s="1" t="s">
        <v>10242</v>
      </c>
      <c r="O806" s="2" t="s">
        <v>33</v>
      </c>
      <c r="Q806" s="2" t="s">
        <v>12</v>
      </c>
      <c r="R806" s="2" t="s">
        <v>34</v>
      </c>
      <c r="T806" s="2" t="s">
        <v>14</v>
      </c>
      <c r="U806" s="3">
        <v>2</v>
      </c>
      <c r="V806" s="3">
        <v>2</v>
      </c>
      <c r="W806" s="4" t="s">
        <v>10243</v>
      </c>
      <c r="X806" s="4" t="s">
        <v>10243</v>
      </c>
      <c r="Y806" s="4" t="s">
        <v>16</v>
      </c>
      <c r="Z806" s="4" t="s">
        <v>16</v>
      </c>
      <c r="AA806" s="3">
        <v>120</v>
      </c>
      <c r="AB806" s="3">
        <v>111</v>
      </c>
      <c r="AC806" s="3">
        <v>117</v>
      </c>
      <c r="AD806" s="3">
        <v>1</v>
      </c>
      <c r="AE806" s="3">
        <v>1</v>
      </c>
      <c r="AF806" s="3">
        <v>3</v>
      </c>
      <c r="AG806" s="3">
        <v>3</v>
      </c>
      <c r="AH806" s="3">
        <v>0</v>
      </c>
      <c r="AI806" s="3">
        <v>0</v>
      </c>
      <c r="AJ806" s="3">
        <v>0</v>
      </c>
      <c r="AK806" s="3">
        <v>0</v>
      </c>
      <c r="AL806" s="3">
        <v>2</v>
      </c>
      <c r="AM806" s="3">
        <v>2</v>
      </c>
      <c r="AN806" s="3">
        <v>0</v>
      </c>
      <c r="AO806" s="3">
        <v>0</v>
      </c>
      <c r="AP806" s="3">
        <v>1</v>
      </c>
      <c r="AQ806" s="3">
        <v>1</v>
      </c>
      <c r="AR806" s="2" t="s">
        <v>8</v>
      </c>
      <c r="AS806" s="2" t="s">
        <v>8</v>
      </c>
      <c r="AU806" s="5" t="str">
        <f>HYPERLINK("https://creighton-primo.hosted.exlibrisgroup.com/primo-explore/search?tab=default_tab&amp;search_scope=EVERYTHING&amp;vid=01CRU&amp;lang=en_US&amp;offset=0&amp;query=any,contains,991000657639702656","Catalog Record")</f>
        <v>Catalog Record</v>
      </c>
      <c r="AV806" s="5" t="str">
        <f>HYPERLINK("http://www.worldcat.org/oclc/8496625","WorldCat Record")</f>
        <v>WorldCat Record</v>
      </c>
      <c r="AW806" s="2" t="s">
        <v>10244</v>
      </c>
      <c r="AX806" s="2" t="s">
        <v>10245</v>
      </c>
      <c r="AY806" s="2" t="s">
        <v>10246</v>
      </c>
      <c r="AZ806" s="2" t="s">
        <v>10246</v>
      </c>
      <c r="BA806" s="2" t="s">
        <v>10247</v>
      </c>
      <c r="BB806" s="2" t="s">
        <v>21</v>
      </c>
      <c r="BD806" s="2" t="s">
        <v>10248</v>
      </c>
      <c r="BE806" s="2" t="s">
        <v>10249</v>
      </c>
      <c r="BF806" s="2" t="s">
        <v>10250</v>
      </c>
    </row>
    <row r="807" spans="1:58" ht="42.75" customHeight="1" x14ac:dyDescent="0.25">
      <c r="A807" s="8" t="s">
        <v>8</v>
      </c>
      <c r="B807" s="1" t="s">
        <v>0</v>
      </c>
      <c r="C807" s="1" t="s">
        <v>1</v>
      </c>
      <c r="D807" s="1" t="s">
        <v>10251</v>
      </c>
      <c r="E807" s="1" t="s">
        <v>10252</v>
      </c>
      <c r="F807" s="1" t="s">
        <v>10253</v>
      </c>
      <c r="H807" s="2" t="s">
        <v>8</v>
      </c>
      <c r="I807" s="2" t="s">
        <v>7</v>
      </c>
      <c r="J807" s="2" t="s">
        <v>8</v>
      </c>
      <c r="K807" s="2" t="s">
        <v>8</v>
      </c>
      <c r="L807" s="2" t="s">
        <v>9</v>
      </c>
      <c r="M807" s="1" t="s">
        <v>10254</v>
      </c>
      <c r="N807" s="1" t="s">
        <v>10255</v>
      </c>
      <c r="O807" s="2" t="s">
        <v>627</v>
      </c>
      <c r="Q807" s="2" t="s">
        <v>12</v>
      </c>
      <c r="R807" s="2" t="s">
        <v>456</v>
      </c>
      <c r="T807" s="2" t="s">
        <v>14</v>
      </c>
      <c r="U807" s="3">
        <v>8</v>
      </c>
      <c r="V807" s="3">
        <v>8</v>
      </c>
      <c r="W807" s="4" t="s">
        <v>8428</v>
      </c>
      <c r="X807" s="4" t="s">
        <v>8428</v>
      </c>
      <c r="Y807" s="4" t="s">
        <v>8428</v>
      </c>
      <c r="Z807" s="4" t="s">
        <v>8428</v>
      </c>
      <c r="AA807" s="3">
        <v>309</v>
      </c>
      <c r="AB807" s="3">
        <v>281</v>
      </c>
      <c r="AC807" s="3">
        <v>281</v>
      </c>
      <c r="AD807" s="3">
        <v>1</v>
      </c>
      <c r="AE807" s="3">
        <v>1</v>
      </c>
      <c r="AF807" s="3">
        <v>10</v>
      </c>
      <c r="AG807" s="3">
        <v>10</v>
      </c>
      <c r="AH807" s="3">
        <v>2</v>
      </c>
      <c r="AI807" s="3">
        <v>2</v>
      </c>
      <c r="AJ807" s="3">
        <v>5</v>
      </c>
      <c r="AK807" s="3">
        <v>5</v>
      </c>
      <c r="AL807" s="3">
        <v>5</v>
      </c>
      <c r="AM807" s="3">
        <v>5</v>
      </c>
      <c r="AN807" s="3">
        <v>0</v>
      </c>
      <c r="AO807" s="3">
        <v>0</v>
      </c>
      <c r="AP807" s="3">
        <v>1</v>
      </c>
      <c r="AQ807" s="3">
        <v>1</v>
      </c>
      <c r="AR807" s="2" t="s">
        <v>8</v>
      </c>
      <c r="AS807" s="2" t="s">
        <v>8</v>
      </c>
      <c r="AU807" s="5" t="str">
        <f>HYPERLINK("https://creighton-primo.hosted.exlibrisgroup.com/primo-explore/search?tab=default_tab&amp;search_scope=EVERYTHING&amp;vid=01CRU&amp;lang=en_US&amp;offset=0&amp;query=any,contains,991001299189702656","Catalog Record")</f>
        <v>Catalog Record</v>
      </c>
      <c r="AV807" s="5" t="str">
        <f>HYPERLINK("http://www.worldcat.org/oclc/17981048","WorldCat Record")</f>
        <v>WorldCat Record</v>
      </c>
      <c r="AW807" s="2" t="s">
        <v>10256</v>
      </c>
      <c r="AX807" s="2" t="s">
        <v>10257</v>
      </c>
      <c r="AY807" s="2" t="s">
        <v>10258</v>
      </c>
      <c r="AZ807" s="2" t="s">
        <v>10258</v>
      </c>
      <c r="BA807" s="2" t="s">
        <v>10259</v>
      </c>
      <c r="BB807" s="2" t="s">
        <v>21</v>
      </c>
      <c r="BD807" s="2" t="s">
        <v>10260</v>
      </c>
      <c r="BE807" s="2" t="s">
        <v>10261</v>
      </c>
      <c r="BF807" s="2" t="s">
        <v>10262</v>
      </c>
    </row>
    <row r="808" spans="1:58" ht="42.75" customHeight="1" x14ac:dyDescent="0.25">
      <c r="A808" s="8" t="s">
        <v>8</v>
      </c>
      <c r="B808" s="1" t="s">
        <v>0</v>
      </c>
      <c r="C808" s="1" t="s">
        <v>1</v>
      </c>
      <c r="D808" s="1" t="s">
        <v>10263</v>
      </c>
      <c r="E808" s="1" t="s">
        <v>10264</v>
      </c>
      <c r="F808" s="1" t="s">
        <v>10265</v>
      </c>
      <c r="H808" s="2" t="s">
        <v>8</v>
      </c>
      <c r="I808" s="2" t="s">
        <v>7</v>
      </c>
      <c r="J808" s="2" t="s">
        <v>8</v>
      </c>
      <c r="K808" s="2" t="s">
        <v>8</v>
      </c>
      <c r="L808" s="2" t="s">
        <v>9</v>
      </c>
      <c r="M808" s="1" t="s">
        <v>10266</v>
      </c>
      <c r="N808" s="1" t="s">
        <v>10267</v>
      </c>
      <c r="O808" s="2" t="s">
        <v>657</v>
      </c>
      <c r="Q808" s="2" t="s">
        <v>12</v>
      </c>
      <c r="R808" s="2" t="s">
        <v>1340</v>
      </c>
      <c r="T808" s="2" t="s">
        <v>14</v>
      </c>
      <c r="U808" s="3">
        <v>0</v>
      </c>
      <c r="V808" s="3">
        <v>0</v>
      </c>
      <c r="W808" s="4" t="s">
        <v>10268</v>
      </c>
      <c r="X808" s="4" t="s">
        <v>10268</v>
      </c>
      <c r="Y808" s="4" t="s">
        <v>10269</v>
      </c>
      <c r="Z808" s="4" t="s">
        <v>10269</v>
      </c>
      <c r="AA808" s="3">
        <v>67</v>
      </c>
      <c r="AB808" s="3">
        <v>63</v>
      </c>
      <c r="AC808" s="3">
        <v>68</v>
      </c>
      <c r="AD808" s="3">
        <v>2</v>
      </c>
      <c r="AE808" s="3">
        <v>2</v>
      </c>
      <c r="AF808" s="3">
        <v>1</v>
      </c>
      <c r="AG808" s="3">
        <v>1</v>
      </c>
      <c r="AH808" s="3">
        <v>0</v>
      </c>
      <c r="AI808" s="3">
        <v>0</v>
      </c>
      <c r="AJ808" s="3">
        <v>1</v>
      </c>
      <c r="AK808" s="3">
        <v>1</v>
      </c>
      <c r="AL808" s="3">
        <v>0</v>
      </c>
      <c r="AM808" s="3">
        <v>0</v>
      </c>
      <c r="AN808" s="3">
        <v>0</v>
      </c>
      <c r="AO808" s="3">
        <v>0</v>
      </c>
      <c r="AP808" s="3">
        <v>0</v>
      </c>
      <c r="AQ808" s="3">
        <v>0</v>
      </c>
      <c r="AR808" s="2" t="s">
        <v>8</v>
      </c>
      <c r="AS808" s="2" t="s">
        <v>8</v>
      </c>
      <c r="AU808" s="5" t="str">
        <f>HYPERLINK("https://creighton-primo.hosted.exlibrisgroup.com/primo-explore/search?tab=default_tab&amp;search_scope=EVERYTHING&amp;vid=01CRU&amp;lang=en_US&amp;offset=0&amp;query=any,contains,991001328029702656","Catalog Record")</f>
        <v>Catalog Record</v>
      </c>
      <c r="AV808" s="5" t="str">
        <f>HYPERLINK("http://www.worldcat.org/oclc/45363112","WorldCat Record")</f>
        <v>WorldCat Record</v>
      </c>
      <c r="AW808" s="2" t="s">
        <v>10270</v>
      </c>
      <c r="AX808" s="2" t="s">
        <v>10271</v>
      </c>
      <c r="AY808" s="2" t="s">
        <v>10272</v>
      </c>
      <c r="AZ808" s="2" t="s">
        <v>10272</v>
      </c>
      <c r="BA808" s="2" t="s">
        <v>10273</v>
      </c>
      <c r="BB808" s="2" t="s">
        <v>21</v>
      </c>
      <c r="BD808" s="2" t="s">
        <v>10274</v>
      </c>
      <c r="BE808" s="2" t="s">
        <v>10275</v>
      </c>
      <c r="BF808" s="2" t="s">
        <v>10276</v>
      </c>
    </row>
    <row r="809" spans="1:58" ht="42.75" customHeight="1" x14ac:dyDescent="0.25">
      <c r="A809" s="8" t="s">
        <v>8</v>
      </c>
      <c r="B809" s="1" t="s">
        <v>0</v>
      </c>
      <c r="C809" s="1" t="s">
        <v>1</v>
      </c>
      <c r="D809" s="1" t="s">
        <v>10277</v>
      </c>
      <c r="E809" s="1" t="s">
        <v>10278</v>
      </c>
      <c r="F809" s="1" t="s">
        <v>10279</v>
      </c>
      <c r="H809" s="2" t="s">
        <v>8</v>
      </c>
      <c r="I809" s="2" t="s">
        <v>7</v>
      </c>
      <c r="J809" s="2" t="s">
        <v>8</v>
      </c>
      <c r="K809" s="2" t="s">
        <v>8</v>
      </c>
      <c r="L809" s="2" t="s">
        <v>9</v>
      </c>
      <c r="M809" s="1" t="s">
        <v>10280</v>
      </c>
      <c r="N809" s="1" t="s">
        <v>10281</v>
      </c>
      <c r="O809" s="2" t="s">
        <v>2919</v>
      </c>
      <c r="Q809" s="2" t="s">
        <v>12</v>
      </c>
      <c r="R809" s="2" t="s">
        <v>774</v>
      </c>
      <c r="T809" s="2" t="s">
        <v>14</v>
      </c>
      <c r="U809" s="3">
        <v>4</v>
      </c>
      <c r="V809" s="3">
        <v>4</v>
      </c>
      <c r="W809" s="4" t="s">
        <v>10282</v>
      </c>
      <c r="X809" s="4" t="s">
        <v>10282</v>
      </c>
      <c r="Y809" s="4" t="s">
        <v>16</v>
      </c>
      <c r="Z809" s="4" t="s">
        <v>16</v>
      </c>
      <c r="AA809" s="3">
        <v>315</v>
      </c>
      <c r="AB809" s="3">
        <v>258</v>
      </c>
      <c r="AC809" s="3">
        <v>265</v>
      </c>
      <c r="AD809" s="3">
        <v>6</v>
      </c>
      <c r="AE809" s="3">
        <v>6</v>
      </c>
      <c r="AF809" s="3">
        <v>14</v>
      </c>
      <c r="AG809" s="3">
        <v>14</v>
      </c>
      <c r="AH809" s="3">
        <v>4</v>
      </c>
      <c r="AI809" s="3">
        <v>4</v>
      </c>
      <c r="AJ809" s="3">
        <v>3</v>
      </c>
      <c r="AK809" s="3">
        <v>3</v>
      </c>
      <c r="AL809" s="3">
        <v>6</v>
      </c>
      <c r="AM809" s="3">
        <v>6</v>
      </c>
      <c r="AN809" s="3">
        <v>5</v>
      </c>
      <c r="AO809" s="3">
        <v>5</v>
      </c>
      <c r="AP809" s="3">
        <v>0</v>
      </c>
      <c r="AQ809" s="3">
        <v>0</v>
      </c>
      <c r="AR809" s="2" t="s">
        <v>8</v>
      </c>
      <c r="AS809" s="2" t="s">
        <v>6</v>
      </c>
      <c r="AT809" s="5" t="str">
        <f>HYPERLINK("http://catalog.hathitrust.org/Record/000156346","HathiTrust Record")</f>
        <v>HathiTrust Record</v>
      </c>
      <c r="AU809" s="5" t="str">
        <f>HYPERLINK("https://creighton-primo.hosted.exlibrisgroup.com/primo-explore/search?tab=default_tab&amp;search_scope=EVERYTHING&amp;vid=01CRU&amp;lang=en_US&amp;offset=0&amp;query=any,contains,991000657769702656","Catalog Record")</f>
        <v>Catalog Record</v>
      </c>
      <c r="AV809" s="5" t="str">
        <f>HYPERLINK("http://www.worldcat.org/oclc/1365215","WorldCat Record")</f>
        <v>WorldCat Record</v>
      </c>
      <c r="AW809" s="2" t="s">
        <v>10283</v>
      </c>
      <c r="AX809" s="2" t="s">
        <v>10284</v>
      </c>
      <c r="AY809" s="2" t="s">
        <v>10285</v>
      </c>
      <c r="AZ809" s="2" t="s">
        <v>10285</v>
      </c>
      <c r="BA809" s="2" t="s">
        <v>10286</v>
      </c>
      <c r="BB809" s="2" t="s">
        <v>21</v>
      </c>
      <c r="BD809" s="2" t="s">
        <v>10287</v>
      </c>
      <c r="BE809" s="2" t="s">
        <v>10288</v>
      </c>
      <c r="BF809" s="2" t="s">
        <v>10289</v>
      </c>
    </row>
    <row r="810" spans="1:58" ht="42.75" customHeight="1" x14ac:dyDescent="0.25">
      <c r="A810" s="8" t="s">
        <v>8</v>
      </c>
      <c r="B810" s="1" t="s">
        <v>0</v>
      </c>
      <c r="C810" s="1" t="s">
        <v>1</v>
      </c>
      <c r="D810" s="1" t="s">
        <v>10290</v>
      </c>
      <c r="E810" s="1" t="s">
        <v>10291</v>
      </c>
      <c r="F810" s="1" t="s">
        <v>10292</v>
      </c>
      <c r="H810" s="2" t="s">
        <v>8</v>
      </c>
      <c r="I810" s="2" t="s">
        <v>7</v>
      </c>
      <c r="J810" s="2" t="s">
        <v>6</v>
      </c>
      <c r="K810" s="2" t="s">
        <v>6</v>
      </c>
      <c r="L810" s="2" t="s">
        <v>7</v>
      </c>
      <c r="N810" s="1" t="s">
        <v>10293</v>
      </c>
      <c r="O810" s="2" t="s">
        <v>830</v>
      </c>
      <c r="P810" s="1" t="s">
        <v>83</v>
      </c>
      <c r="Q810" s="2" t="s">
        <v>12</v>
      </c>
      <c r="R810" s="2" t="s">
        <v>456</v>
      </c>
      <c r="T810" s="2" t="s">
        <v>14</v>
      </c>
      <c r="U810" s="3">
        <v>2</v>
      </c>
      <c r="V810" s="3">
        <v>6</v>
      </c>
      <c r="W810" s="4" t="s">
        <v>10294</v>
      </c>
      <c r="X810" s="4" t="s">
        <v>10295</v>
      </c>
      <c r="Y810" s="4" t="s">
        <v>10296</v>
      </c>
      <c r="Z810" s="4" t="s">
        <v>1806</v>
      </c>
      <c r="AA810" s="3">
        <v>439</v>
      </c>
      <c r="AB810" s="3">
        <v>374</v>
      </c>
      <c r="AC810" s="3">
        <v>1508</v>
      </c>
      <c r="AD810" s="3">
        <v>4</v>
      </c>
      <c r="AE810" s="3">
        <v>27</v>
      </c>
      <c r="AF810" s="3">
        <v>20</v>
      </c>
      <c r="AG810" s="3">
        <v>50</v>
      </c>
      <c r="AH810" s="3">
        <v>8</v>
      </c>
      <c r="AI810" s="3">
        <v>18</v>
      </c>
      <c r="AJ810" s="3">
        <v>3</v>
      </c>
      <c r="AK810" s="3">
        <v>9</v>
      </c>
      <c r="AL810" s="3">
        <v>11</v>
      </c>
      <c r="AM810" s="3">
        <v>17</v>
      </c>
      <c r="AN810" s="3">
        <v>3</v>
      </c>
      <c r="AO810" s="3">
        <v>15</v>
      </c>
      <c r="AP810" s="3">
        <v>0</v>
      </c>
      <c r="AQ810" s="3">
        <v>0</v>
      </c>
      <c r="AR810" s="2" t="s">
        <v>8</v>
      </c>
      <c r="AS810" s="2" t="s">
        <v>8</v>
      </c>
      <c r="AU810" s="5" t="str">
        <f>HYPERLINK("https://creighton-primo.hosted.exlibrisgroup.com/primo-explore/search?tab=default_tab&amp;search_scope=EVERYTHING&amp;vid=01CRU&amp;lang=en_US&amp;offset=0&amp;query=any,contains,991001722189702656","Catalog Record")</f>
        <v>Catalog Record</v>
      </c>
      <c r="AV810" s="5" t="str">
        <f>HYPERLINK("http://www.worldcat.org/oclc/51454541","WorldCat Record")</f>
        <v>WorldCat Record</v>
      </c>
      <c r="AW810" s="2" t="s">
        <v>10297</v>
      </c>
      <c r="AX810" s="2" t="s">
        <v>10298</v>
      </c>
      <c r="AY810" s="2" t="s">
        <v>10299</v>
      </c>
      <c r="AZ810" s="2" t="s">
        <v>10299</v>
      </c>
      <c r="BA810" s="2" t="s">
        <v>10300</v>
      </c>
      <c r="BB810" s="2" t="s">
        <v>21</v>
      </c>
      <c r="BD810" s="2" t="s">
        <v>10301</v>
      </c>
      <c r="BE810" s="2" t="s">
        <v>10302</v>
      </c>
      <c r="BF810" s="2" t="s">
        <v>10303</v>
      </c>
    </row>
    <row r="811" spans="1:58" ht="42.75" customHeight="1" x14ac:dyDescent="0.25">
      <c r="A811" s="8" t="s">
        <v>8</v>
      </c>
      <c r="B811" s="1" t="s">
        <v>0</v>
      </c>
      <c r="C811" s="1" t="s">
        <v>1</v>
      </c>
      <c r="D811" s="1" t="s">
        <v>10304</v>
      </c>
      <c r="E811" s="1" t="s">
        <v>10305</v>
      </c>
      <c r="F811" s="1" t="s">
        <v>10292</v>
      </c>
      <c r="H811" s="2" t="s">
        <v>8</v>
      </c>
      <c r="I811" s="2" t="s">
        <v>7</v>
      </c>
      <c r="J811" s="2" t="s">
        <v>8</v>
      </c>
      <c r="K811" s="2" t="s">
        <v>6</v>
      </c>
      <c r="L811" s="2" t="s">
        <v>7</v>
      </c>
      <c r="N811" s="1" t="s">
        <v>10306</v>
      </c>
      <c r="O811" s="2" t="s">
        <v>987</v>
      </c>
      <c r="P811" s="1" t="s">
        <v>732</v>
      </c>
      <c r="Q811" s="2" t="s">
        <v>12</v>
      </c>
      <c r="R811" s="2" t="s">
        <v>456</v>
      </c>
      <c r="T811" s="2" t="s">
        <v>14</v>
      </c>
      <c r="U811" s="3">
        <v>3</v>
      </c>
      <c r="V811" s="3">
        <v>3</v>
      </c>
      <c r="W811" s="4" t="s">
        <v>10307</v>
      </c>
      <c r="X811" s="4" t="s">
        <v>10307</v>
      </c>
      <c r="Y811" s="4" t="s">
        <v>7813</v>
      </c>
      <c r="Z811" s="4" t="s">
        <v>7813</v>
      </c>
      <c r="AA811" s="3">
        <v>438</v>
      </c>
      <c r="AB811" s="3">
        <v>382</v>
      </c>
      <c r="AC811" s="3">
        <v>1508</v>
      </c>
      <c r="AD811" s="3">
        <v>1</v>
      </c>
      <c r="AE811" s="3">
        <v>27</v>
      </c>
      <c r="AF811" s="3">
        <v>10</v>
      </c>
      <c r="AG811" s="3">
        <v>50</v>
      </c>
      <c r="AH811" s="3">
        <v>1</v>
      </c>
      <c r="AI811" s="3">
        <v>18</v>
      </c>
      <c r="AJ811" s="3">
        <v>4</v>
      </c>
      <c r="AK811" s="3">
        <v>9</v>
      </c>
      <c r="AL811" s="3">
        <v>6</v>
      </c>
      <c r="AM811" s="3">
        <v>17</v>
      </c>
      <c r="AN811" s="3">
        <v>0</v>
      </c>
      <c r="AO811" s="3">
        <v>15</v>
      </c>
      <c r="AP811" s="3">
        <v>0</v>
      </c>
      <c r="AQ811" s="3">
        <v>0</v>
      </c>
      <c r="AR811" s="2" t="s">
        <v>8</v>
      </c>
      <c r="AS811" s="2" t="s">
        <v>6</v>
      </c>
      <c r="AT811" s="5" t="str">
        <f>HYPERLINK("http://catalog.hathitrust.org/Record/010380733","HathiTrust Record")</f>
        <v>HathiTrust Record</v>
      </c>
      <c r="AU811" s="5" t="str">
        <f>HYPERLINK("https://creighton-primo.hosted.exlibrisgroup.com/primo-explore/search?tab=default_tab&amp;search_scope=EVERYTHING&amp;vid=01CRU&amp;lang=en_US&amp;offset=0&amp;query=any,contains,991001794709702656","Catalog Record")</f>
        <v>Catalog Record</v>
      </c>
      <c r="AV811" s="5" t="str">
        <f>HYPERLINK("http://www.worldcat.org/oclc/176925207","WorldCat Record")</f>
        <v>WorldCat Record</v>
      </c>
      <c r="AW811" s="2" t="s">
        <v>10297</v>
      </c>
      <c r="AX811" s="2" t="s">
        <v>10308</v>
      </c>
      <c r="AY811" s="2" t="s">
        <v>10309</v>
      </c>
      <c r="AZ811" s="2" t="s">
        <v>10309</v>
      </c>
      <c r="BA811" s="2" t="s">
        <v>10310</v>
      </c>
      <c r="BB811" s="2" t="s">
        <v>21</v>
      </c>
      <c r="BD811" s="2" t="s">
        <v>10311</v>
      </c>
      <c r="BE811" s="2" t="s">
        <v>10312</v>
      </c>
      <c r="BF811" s="2" t="s">
        <v>10313</v>
      </c>
    </row>
    <row r="812" spans="1:58" ht="42.75" customHeight="1" x14ac:dyDescent="0.25">
      <c r="A812" s="8" t="s">
        <v>8</v>
      </c>
      <c r="B812" s="1" t="s">
        <v>0</v>
      </c>
      <c r="C812" s="1" t="s">
        <v>1</v>
      </c>
      <c r="D812" s="1" t="s">
        <v>10314</v>
      </c>
      <c r="E812" s="1" t="s">
        <v>10315</v>
      </c>
      <c r="F812" s="1" t="s">
        <v>10316</v>
      </c>
      <c r="H812" s="2" t="s">
        <v>8</v>
      </c>
      <c r="I812" s="2" t="s">
        <v>7</v>
      </c>
      <c r="J812" s="2" t="s">
        <v>8</v>
      </c>
      <c r="K812" s="2" t="s">
        <v>8</v>
      </c>
      <c r="L812" s="2" t="s">
        <v>9</v>
      </c>
      <c r="N812" s="1" t="s">
        <v>10317</v>
      </c>
      <c r="O812" s="2" t="s">
        <v>907</v>
      </c>
      <c r="Q812" s="2" t="s">
        <v>12</v>
      </c>
      <c r="R812" s="2" t="s">
        <v>643</v>
      </c>
      <c r="S812" s="1" t="s">
        <v>10318</v>
      </c>
      <c r="T812" s="2" t="s">
        <v>14</v>
      </c>
      <c r="U812" s="3">
        <v>1</v>
      </c>
      <c r="V812" s="3">
        <v>1</v>
      </c>
      <c r="W812" s="4" t="s">
        <v>10319</v>
      </c>
      <c r="X812" s="4" t="s">
        <v>10319</v>
      </c>
      <c r="Y812" s="4" t="s">
        <v>10320</v>
      </c>
      <c r="Z812" s="4" t="s">
        <v>10320</v>
      </c>
      <c r="AA812" s="3">
        <v>216</v>
      </c>
      <c r="AB812" s="3">
        <v>85</v>
      </c>
      <c r="AC812" s="3">
        <v>91</v>
      </c>
      <c r="AD812" s="3">
        <v>2</v>
      </c>
      <c r="AE812" s="3">
        <v>2</v>
      </c>
      <c r="AF812" s="3">
        <v>3</v>
      </c>
      <c r="AG812" s="3">
        <v>3</v>
      </c>
      <c r="AH812" s="3">
        <v>0</v>
      </c>
      <c r="AI812" s="3">
        <v>0</v>
      </c>
      <c r="AJ812" s="3">
        <v>1</v>
      </c>
      <c r="AK812" s="3">
        <v>1</v>
      </c>
      <c r="AL812" s="3">
        <v>2</v>
      </c>
      <c r="AM812" s="3">
        <v>2</v>
      </c>
      <c r="AN812" s="3">
        <v>1</v>
      </c>
      <c r="AO812" s="3">
        <v>1</v>
      </c>
      <c r="AP812" s="3">
        <v>0</v>
      </c>
      <c r="AQ812" s="3">
        <v>0</v>
      </c>
      <c r="AR812" s="2" t="s">
        <v>8</v>
      </c>
      <c r="AS812" s="2" t="s">
        <v>6</v>
      </c>
      <c r="AT812" s="5" t="str">
        <f>HYPERLINK("http://catalog.hathitrust.org/Record/004097489","HathiTrust Record")</f>
        <v>HathiTrust Record</v>
      </c>
      <c r="AU812" s="5" t="str">
        <f>HYPERLINK("https://creighton-primo.hosted.exlibrisgroup.com/primo-explore/search?tab=default_tab&amp;search_scope=EVERYTHING&amp;vid=01CRU&amp;lang=en_US&amp;offset=0&amp;query=any,contains,991000329909702656","Catalog Record")</f>
        <v>Catalog Record</v>
      </c>
      <c r="AV812" s="5" t="str">
        <f>HYPERLINK("http://www.worldcat.org/oclc/42009386","WorldCat Record")</f>
        <v>WorldCat Record</v>
      </c>
      <c r="AW812" s="2" t="s">
        <v>10321</v>
      </c>
      <c r="AX812" s="2" t="s">
        <v>10322</v>
      </c>
      <c r="AY812" s="2" t="s">
        <v>10323</v>
      </c>
      <c r="AZ812" s="2" t="s">
        <v>10323</v>
      </c>
      <c r="BA812" s="2" t="s">
        <v>10324</v>
      </c>
      <c r="BB812" s="2" t="s">
        <v>21</v>
      </c>
      <c r="BD812" s="2" t="s">
        <v>10325</v>
      </c>
      <c r="BE812" s="2" t="s">
        <v>10326</v>
      </c>
      <c r="BF812" s="2" t="s">
        <v>10327</v>
      </c>
    </row>
    <row r="813" spans="1:58" ht="42.75" customHeight="1" x14ac:dyDescent="0.25">
      <c r="A813" s="8" t="s">
        <v>8</v>
      </c>
      <c r="B813" s="1" t="s">
        <v>0</v>
      </c>
      <c r="C813" s="1" t="s">
        <v>1</v>
      </c>
      <c r="D813" s="1" t="s">
        <v>10328</v>
      </c>
      <c r="E813" s="1" t="s">
        <v>10329</v>
      </c>
      <c r="F813" s="1" t="s">
        <v>10330</v>
      </c>
      <c r="H813" s="2" t="s">
        <v>8</v>
      </c>
      <c r="I813" s="2" t="s">
        <v>7</v>
      </c>
      <c r="J813" s="2" t="s">
        <v>8</v>
      </c>
      <c r="K813" s="2" t="s">
        <v>8</v>
      </c>
      <c r="L813" s="2" t="s">
        <v>9</v>
      </c>
      <c r="M813" s="1" t="s">
        <v>10331</v>
      </c>
      <c r="N813" s="1" t="s">
        <v>10332</v>
      </c>
      <c r="O813" s="2" t="s">
        <v>830</v>
      </c>
      <c r="Q813" s="2" t="s">
        <v>12</v>
      </c>
      <c r="R813" s="2" t="s">
        <v>643</v>
      </c>
      <c r="T813" s="2" t="s">
        <v>14</v>
      </c>
      <c r="U813" s="3">
        <v>7</v>
      </c>
      <c r="V813" s="3">
        <v>7</v>
      </c>
      <c r="W813" s="4" t="s">
        <v>10208</v>
      </c>
      <c r="X813" s="4" t="s">
        <v>10208</v>
      </c>
      <c r="Y813" s="4" t="s">
        <v>4289</v>
      </c>
      <c r="Z813" s="4" t="s">
        <v>4289</v>
      </c>
      <c r="AA813" s="3">
        <v>109</v>
      </c>
      <c r="AB813" s="3">
        <v>48</v>
      </c>
      <c r="AC813" s="3">
        <v>476</v>
      </c>
      <c r="AD813" s="3">
        <v>1</v>
      </c>
      <c r="AE813" s="3">
        <v>3</v>
      </c>
      <c r="AF813" s="3">
        <v>2</v>
      </c>
      <c r="AG813" s="3">
        <v>9</v>
      </c>
      <c r="AH813" s="3">
        <v>0</v>
      </c>
      <c r="AI813" s="3">
        <v>4</v>
      </c>
      <c r="AJ813" s="3">
        <v>1</v>
      </c>
      <c r="AK813" s="3">
        <v>2</v>
      </c>
      <c r="AL813" s="3">
        <v>1</v>
      </c>
      <c r="AM813" s="3">
        <v>3</v>
      </c>
      <c r="AN813" s="3">
        <v>0</v>
      </c>
      <c r="AO813" s="3">
        <v>2</v>
      </c>
      <c r="AP813" s="3">
        <v>0</v>
      </c>
      <c r="AQ813" s="3">
        <v>0</v>
      </c>
      <c r="AR813" s="2" t="s">
        <v>8</v>
      </c>
      <c r="AS813" s="2" t="s">
        <v>8</v>
      </c>
      <c r="AU813" s="5" t="str">
        <f>HYPERLINK("https://creighton-primo.hosted.exlibrisgroup.com/primo-explore/search?tab=default_tab&amp;search_scope=EVERYTHING&amp;vid=01CRU&amp;lang=en_US&amp;offset=0&amp;query=any,contains,991000367019702656","Catalog Record")</f>
        <v>Catalog Record</v>
      </c>
      <c r="AV813" s="5" t="str">
        <f>HYPERLINK("http://www.worldcat.org/oclc/52231713","WorldCat Record")</f>
        <v>WorldCat Record</v>
      </c>
      <c r="AW813" s="2" t="s">
        <v>10333</v>
      </c>
      <c r="AX813" s="2" t="s">
        <v>10334</v>
      </c>
      <c r="AY813" s="2" t="s">
        <v>10335</v>
      </c>
      <c r="AZ813" s="2" t="s">
        <v>10335</v>
      </c>
      <c r="BA813" s="2" t="s">
        <v>10336</v>
      </c>
      <c r="BB813" s="2" t="s">
        <v>21</v>
      </c>
      <c r="BD813" s="2" t="s">
        <v>10337</v>
      </c>
      <c r="BE813" s="2" t="s">
        <v>10338</v>
      </c>
      <c r="BF813" s="2" t="s">
        <v>10339</v>
      </c>
    </row>
    <row r="814" spans="1:58" ht="42.75" customHeight="1" x14ac:dyDescent="0.25">
      <c r="A814" s="8" t="s">
        <v>8</v>
      </c>
      <c r="B814" s="1" t="s">
        <v>0</v>
      </c>
      <c r="C814" s="1" t="s">
        <v>1</v>
      </c>
      <c r="D814" s="1" t="s">
        <v>10340</v>
      </c>
      <c r="E814" s="1" t="s">
        <v>10341</v>
      </c>
      <c r="F814" s="1" t="s">
        <v>10342</v>
      </c>
      <c r="H814" s="2" t="s">
        <v>8</v>
      </c>
      <c r="I814" s="2" t="s">
        <v>7</v>
      </c>
      <c r="J814" s="2" t="s">
        <v>8</v>
      </c>
      <c r="K814" s="2" t="s">
        <v>8</v>
      </c>
      <c r="L814" s="2" t="s">
        <v>9</v>
      </c>
      <c r="N814" s="1" t="s">
        <v>10343</v>
      </c>
      <c r="O814" s="2" t="s">
        <v>657</v>
      </c>
      <c r="Q814" s="2" t="s">
        <v>12</v>
      </c>
      <c r="R814" s="2" t="s">
        <v>643</v>
      </c>
      <c r="T814" s="2" t="s">
        <v>14</v>
      </c>
      <c r="U814" s="3">
        <v>0</v>
      </c>
      <c r="V814" s="3">
        <v>0</v>
      </c>
      <c r="W814" s="4" t="s">
        <v>10344</v>
      </c>
      <c r="X814" s="4" t="s">
        <v>10344</v>
      </c>
      <c r="Y814" s="4" t="s">
        <v>10345</v>
      </c>
      <c r="Z814" s="4" t="s">
        <v>10345</v>
      </c>
      <c r="AA814" s="3">
        <v>246</v>
      </c>
      <c r="AB814" s="3">
        <v>113</v>
      </c>
      <c r="AC814" s="3">
        <v>186</v>
      </c>
      <c r="AD814" s="3">
        <v>1</v>
      </c>
      <c r="AE814" s="3">
        <v>1</v>
      </c>
      <c r="AF814" s="3">
        <v>2</v>
      </c>
      <c r="AG814" s="3">
        <v>3</v>
      </c>
      <c r="AH814" s="3">
        <v>1</v>
      </c>
      <c r="AI814" s="3">
        <v>2</v>
      </c>
      <c r="AJ814" s="3">
        <v>1</v>
      </c>
      <c r="AK814" s="3">
        <v>1</v>
      </c>
      <c r="AL814" s="3">
        <v>1</v>
      </c>
      <c r="AM814" s="3">
        <v>2</v>
      </c>
      <c r="AN814" s="3">
        <v>0</v>
      </c>
      <c r="AO814" s="3">
        <v>0</v>
      </c>
      <c r="AP814" s="3">
        <v>0</v>
      </c>
      <c r="AQ814" s="3">
        <v>0</v>
      </c>
      <c r="AR814" s="2" t="s">
        <v>8</v>
      </c>
      <c r="AS814" s="2" t="s">
        <v>8</v>
      </c>
      <c r="AU814" s="5" t="str">
        <f>HYPERLINK("https://creighton-primo.hosted.exlibrisgroup.com/primo-explore/search?tab=default_tab&amp;search_scope=EVERYTHING&amp;vid=01CRU&amp;lang=en_US&amp;offset=0&amp;query=any,contains,991000476219702656","Catalog Record")</f>
        <v>Catalog Record</v>
      </c>
      <c r="AV814" s="5" t="str">
        <f>HYPERLINK("http://www.worldcat.org/oclc/45951577","WorldCat Record")</f>
        <v>WorldCat Record</v>
      </c>
      <c r="AW814" s="2" t="s">
        <v>10346</v>
      </c>
      <c r="AX814" s="2" t="s">
        <v>10347</v>
      </c>
      <c r="AY814" s="2" t="s">
        <v>10348</v>
      </c>
      <c r="AZ814" s="2" t="s">
        <v>10348</v>
      </c>
      <c r="BA814" s="2" t="s">
        <v>10349</v>
      </c>
      <c r="BB814" s="2" t="s">
        <v>21</v>
      </c>
      <c r="BD814" s="2" t="s">
        <v>10350</v>
      </c>
      <c r="BE814" s="2" t="s">
        <v>10351</v>
      </c>
      <c r="BF814" s="2" t="s">
        <v>10352</v>
      </c>
    </row>
    <row r="815" spans="1:58" ht="42.75" customHeight="1" x14ac:dyDescent="0.25">
      <c r="A815" s="8" t="s">
        <v>8</v>
      </c>
      <c r="B815" s="1" t="s">
        <v>0</v>
      </c>
      <c r="C815" s="1" t="s">
        <v>1</v>
      </c>
      <c r="D815" s="1" t="s">
        <v>10353</v>
      </c>
      <c r="E815" s="1" t="s">
        <v>10354</v>
      </c>
      <c r="F815" s="1" t="s">
        <v>10355</v>
      </c>
      <c r="H815" s="2" t="s">
        <v>8</v>
      </c>
      <c r="I815" s="2" t="s">
        <v>7</v>
      </c>
      <c r="J815" s="2" t="s">
        <v>8</v>
      </c>
      <c r="K815" s="2" t="s">
        <v>8</v>
      </c>
      <c r="L815" s="2" t="s">
        <v>9</v>
      </c>
      <c r="N815" s="1" t="s">
        <v>10356</v>
      </c>
      <c r="O815" s="2" t="s">
        <v>830</v>
      </c>
      <c r="Q815" s="2" t="s">
        <v>12</v>
      </c>
      <c r="R815" s="2" t="s">
        <v>643</v>
      </c>
      <c r="S815" s="1" t="s">
        <v>8581</v>
      </c>
      <c r="T815" s="2" t="s">
        <v>14</v>
      </c>
      <c r="U815" s="3">
        <v>2</v>
      </c>
      <c r="V815" s="3">
        <v>2</v>
      </c>
      <c r="W815" s="4" t="s">
        <v>10357</v>
      </c>
      <c r="X815" s="4" t="s">
        <v>10357</v>
      </c>
      <c r="Y815" s="4" t="s">
        <v>9688</v>
      </c>
      <c r="Z815" s="4" t="s">
        <v>9688</v>
      </c>
      <c r="AA815" s="3">
        <v>92</v>
      </c>
      <c r="AB815" s="3">
        <v>41</v>
      </c>
      <c r="AC815" s="3">
        <v>41</v>
      </c>
      <c r="AD815" s="3">
        <v>1</v>
      </c>
      <c r="AE815" s="3">
        <v>1</v>
      </c>
      <c r="AF815" s="3">
        <v>1</v>
      </c>
      <c r="AG815" s="3">
        <v>1</v>
      </c>
      <c r="AH815" s="3">
        <v>0</v>
      </c>
      <c r="AI815" s="3">
        <v>0</v>
      </c>
      <c r="AJ815" s="3">
        <v>1</v>
      </c>
      <c r="AK815" s="3">
        <v>1</v>
      </c>
      <c r="AL815" s="3">
        <v>0</v>
      </c>
      <c r="AM815" s="3">
        <v>0</v>
      </c>
      <c r="AN815" s="3">
        <v>0</v>
      </c>
      <c r="AO815" s="3">
        <v>0</v>
      </c>
      <c r="AP815" s="3">
        <v>0</v>
      </c>
      <c r="AQ815" s="3">
        <v>0</v>
      </c>
      <c r="AR815" s="2" t="s">
        <v>8</v>
      </c>
      <c r="AS815" s="2" t="s">
        <v>6</v>
      </c>
      <c r="AT815" s="5" t="str">
        <f>HYPERLINK("http://catalog.hathitrust.org/Record/011237648","HathiTrust Record")</f>
        <v>HathiTrust Record</v>
      </c>
      <c r="AU815" s="5" t="str">
        <f>HYPERLINK("https://creighton-primo.hosted.exlibrisgroup.com/primo-explore/search?tab=default_tab&amp;search_scope=EVERYTHING&amp;vid=01CRU&amp;lang=en_US&amp;offset=0&amp;query=any,contains,991000386419702656","Catalog Record")</f>
        <v>Catalog Record</v>
      </c>
      <c r="AV815" s="5" t="str">
        <f>HYPERLINK("http://www.worldcat.org/oclc/52143287","WorldCat Record")</f>
        <v>WorldCat Record</v>
      </c>
      <c r="AW815" s="2" t="s">
        <v>10358</v>
      </c>
      <c r="AX815" s="2" t="s">
        <v>10359</v>
      </c>
      <c r="AY815" s="2" t="s">
        <v>10360</v>
      </c>
      <c r="AZ815" s="2" t="s">
        <v>10360</v>
      </c>
      <c r="BA815" s="2" t="s">
        <v>10361</v>
      </c>
      <c r="BB815" s="2" t="s">
        <v>21</v>
      </c>
      <c r="BD815" s="2" t="s">
        <v>10362</v>
      </c>
      <c r="BE815" s="2" t="s">
        <v>10363</v>
      </c>
      <c r="BF815" s="2" t="s">
        <v>10364</v>
      </c>
    </row>
    <row r="816" spans="1:58" ht="42.75" customHeight="1" x14ac:dyDescent="0.25">
      <c r="A816" s="8" t="s">
        <v>8</v>
      </c>
      <c r="B816" s="1" t="s">
        <v>0</v>
      </c>
      <c r="C816" s="1" t="s">
        <v>1</v>
      </c>
      <c r="D816" s="1" t="s">
        <v>10365</v>
      </c>
      <c r="E816" s="1" t="s">
        <v>10366</v>
      </c>
      <c r="F816" s="1" t="s">
        <v>10367</v>
      </c>
      <c r="H816" s="2" t="s">
        <v>8</v>
      </c>
      <c r="I816" s="2" t="s">
        <v>7</v>
      </c>
      <c r="J816" s="2" t="s">
        <v>8</v>
      </c>
      <c r="K816" s="2" t="s">
        <v>8</v>
      </c>
      <c r="L816" s="2" t="s">
        <v>9</v>
      </c>
      <c r="M816" s="1" t="s">
        <v>10368</v>
      </c>
      <c r="N816" s="1" t="s">
        <v>10369</v>
      </c>
      <c r="O816" s="2" t="s">
        <v>51</v>
      </c>
      <c r="Q816" s="2" t="s">
        <v>12</v>
      </c>
      <c r="R816" s="2" t="s">
        <v>13</v>
      </c>
      <c r="T816" s="2" t="s">
        <v>14</v>
      </c>
      <c r="U816" s="3">
        <v>3</v>
      </c>
      <c r="V816" s="3">
        <v>3</v>
      </c>
      <c r="W816" s="4" t="s">
        <v>10370</v>
      </c>
      <c r="X816" s="4" t="s">
        <v>10370</v>
      </c>
      <c r="Y816" s="4" t="s">
        <v>10371</v>
      </c>
      <c r="Z816" s="4" t="s">
        <v>10371</v>
      </c>
      <c r="AA816" s="3">
        <v>23</v>
      </c>
      <c r="AB816" s="3">
        <v>20</v>
      </c>
      <c r="AC816" s="3">
        <v>21</v>
      </c>
      <c r="AD816" s="3">
        <v>2</v>
      </c>
      <c r="AE816" s="3">
        <v>2</v>
      </c>
      <c r="AF816" s="3">
        <v>3</v>
      </c>
      <c r="AG816" s="3">
        <v>3</v>
      </c>
      <c r="AH816" s="3">
        <v>2</v>
      </c>
      <c r="AI816" s="3">
        <v>2</v>
      </c>
      <c r="AJ816" s="3">
        <v>0</v>
      </c>
      <c r="AK816" s="3">
        <v>0</v>
      </c>
      <c r="AL816" s="3">
        <v>2</v>
      </c>
      <c r="AM816" s="3">
        <v>2</v>
      </c>
      <c r="AN816" s="3">
        <v>1</v>
      </c>
      <c r="AO816" s="3">
        <v>1</v>
      </c>
      <c r="AP816" s="3">
        <v>0</v>
      </c>
      <c r="AQ816" s="3">
        <v>0</v>
      </c>
      <c r="AR816" s="2" t="s">
        <v>8</v>
      </c>
      <c r="AS816" s="2" t="s">
        <v>8</v>
      </c>
      <c r="AU816" s="5" t="str">
        <f>HYPERLINK("https://creighton-primo.hosted.exlibrisgroup.com/primo-explore/search?tab=default_tab&amp;search_scope=EVERYTHING&amp;vid=01CRU&amp;lang=en_US&amp;offset=0&amp;query=any,contains,991001307049702656","Catalog Record")</f>
        <v>Catalog Record</v>
      </c>
      <c r="AV816" s="5" t="str">
        <f>HYPERLINK("http://www.worldcat.org/oclc/17483644","WorldCat Record")</f>
        <v>WorldCat Record</v>
      </c>
      <c r="AW816" s="2" t="s">
        <v>10372</v>
      </c>
      <c r="AX816" s="2" t="s">
        <v>10373</v>
      </c>
      <c r="AY816" s="2" t="s">
        <v>10374</v>
      </c>
      <c r="AZ816" s="2" t="s">
        <v>10374</v>
      </c>
      <c r="BA816" s="2" t="s">
        <v>10375</v>
      </c>
      <c r="BB816" s="2" t="s">
        <v>21</v>
      </c>
      <c r="BD816" s="2" t="s">
        <v>10376</v>
      </c>
      <c r="BE816" s="2" t="s">
        <v>10377</v>
      </c>
      <c r="BF816" s="2" t="s">
        <v>10378</v>
      </c>
    </row>
    <row r="817" spans="1:58" ht="42.75" customHeight="1" x14ac:dyDescent="0.25">
      <c r="A817" s="8" t="s">
        <v>8</v>
      </c>
      <c r="B817" s="1" t="s">
        <v>0</v>
      </c>
      <c r="C817" s="1" t="s">
        <v>1</v>
      </c>
      <c r="D817" s="1" t="s">
        <v>10379</v>
      </c>
      <c r="E817" s="1" t="s">
        <v>10380</v>
      </c>
      <c r="F817" s="1" t="s">
        <v>10381</v>
      </c>
      <c r="H817" s="2" t="s">
        <v>8</v>
      </c>
      <c r="I817" s="2" t="s">
        <v>7</v>
      </c>
      <c r="J817" s="2" t="s">
        <v>8</v>
      </c>
      <c r="K817" s="2" t="s">
        <v>8</v>
      </c>
      <c r="L817" s="2" t="s">
        <v>9</v>
      </c>
      <c r="M817" s="1" t="s">
        <v>10382</v>
      </c>
      <c r="N817" s="1" t="s">
        <v>10383</v>
      </c>
      <c r="O817" s="2" t="s">
        <v>33</v>
      </c>
      <c r="Q817" s="2" t="s">
        <v>12</v>
      </c>
      <c r="R817" s="2" t="s">
        <v>34</v>
      </c>
      <c r="T817" s="2" t="s">
        <v>14</v>
      </c>
      <c r="U817" s="3">
        <v>9</v>
      </c>
      <c r="V817" s="3">
        <v>9</v>
      </c>
      <c r="W817" s="4" t="s">
        <v>10384</v>
      </c>
      <c r="X817" s="4" t="s">
        <v>10384</v>
      </c>
      <c r="Y817" s="4" t="s">
        <v>5481</v>
      </c>
      <c r="Z817" s="4" t="s">
        <v>5481</v>
      </c>
      <c r="AA817" s="3">
        <v>356</v>
      </c>
      <c r="AB817" s="3">
        <v>306</v>
      </c>
      <c r="AC817" s="3">
        <v>317</v>
      </c>
      <c r="AD817" s="3">
        <v>2</v>
      </c>
      <c r="AE817" s="3">
        <v>2</v>
      </c>
      <c r="AF817" s="3">
        <v>11</v>
      </c>
      <c r="AG817" s="3">
        <v>11</v>
      </c>
      <c r="AH817" s="3">
        <v>3</v>
      </c>
      <c r="AI817" s="3">
        <v>3</v>
      </c>
      <c r="AJ817" s="3">
        <v>3</v>
      </c>
      <c r="AK817" s="3">
        <v>3</v>
      </c>
      <c r="AL817" s="3">
        <v>8</v>
      </c>
      <c r="AM817" s="3">
        <v>8</v>
      </c>
      <c r="AN817" s="3">
        <v>1</v>
      </c>
      <c r="AO817" s="3">
        <v>1</v>
      </c>
      <c r="AP817" s="3">
        <v>0</v>
      </c>
      <c r="AQ817" s="3">
        <v>0</v>
      </c>
      <c r="AR817" s="2" t="s">
        <v>8</v>
      </c>
      <c r="AS817" s="2" t="s">
        <v>6</v>
      </c>
      <c r="AT817" s="5" t="str">
        <f>HYPERLINK("http://catalog.hathitrust.org/Record/000762414","HathiTrust Record")</f>
        <v>HathiTrust Record</v>
      </c>
      <c r="AU817" s="5" t="str">
        <f>HYPERLINK("https://creighton-primo.hosted.exlibrisgroup.com/primo-explore/search?tab=default_tab&amp;search_scope=EVERYTHING&amp;vid=01CRU&amp;lang=en_US&amp;offset=0&amp;query=any,contains,991001323349702656","Catalog Record")</f>
        <v>Catalog Record</v>
      </c>
      <c r="AV817" s="5" t="str">
        <f>HYPERLINK("http://www.worldcat.org/oclc/8111619","WorldCat Record")</f>
        <v>WorldCat Record</v>
      </c>
      <c r="AW817" s="2" t="s">
        <v>10385</v>
      </c>
      <c r="AX817" s="2" t="s">
        <v>10386</v>
      </c>
      <c r="AY817" s="2" t="s">
        <v>10387</v>
      </c>
      <c r="AZ817" s="2" t="s">
        <v>10387</v>
      </c>
      <c r="BA817" s="2" t="s">
        <v>10388</v>
      </c>
      <c r="BB817" s="2" t="s">
        <v>21</v>
      </c>
      <c r="BD817" s="2" t="s">
        <v>10389</v>
      </c>
      <c r="BE817" s="2" t="s">
        <v>10390</v>
      </c>
      <c r="BF817" s="2" t="s">
        <v>10391</v>
      </c>
    </row>
    <row r="818" spans="1:58" ht="42.75" customHeight="1" x14ac:dyDescent="0.25">
      <c r="A818" s="8" t="s">
        <v>8</v>
      </c>
      <c r="B818" s="1" t="s">
        <v>0</v>
      </c>
      <c r="C818" s="1" t="s">
        <v>1</v>
      </c>
      <c r="D818" s="1" t="s">
        <v>10392</v>
      </c>
      <c r="E818" s="1" t="s">
        <v>10393</v>
      </c>
      <c r="F818" s="1" t="s">
        <v>10394</v>
      </c>
      <c r="H818" s="2" t="s">
        <v>8</v>
      </c>
      <c r="I818" s="2" t="s">
        <v>7</v>
      </c>
      <c r="J818" s="2" t="s">
        <v>8</v>
      </c>
      <c r="K818" s="2" t="s">
        <v>8</v>
      </c>
      <c r="L818" s="2" t="s">
        <v>9</v>
      </c>
      <c r="M818" s="1" t="s">
        <v>10395</v>
      </c>
      <c r="N818" s="1" t="s">
        <v>10396</v>
      </c>
      <c r="O818" s="2" t="s">
        <v>410</v>
      </c>
      <c r="Q818" s="2" t="s">
        <v>12</v>
      </c>
      <c r="R818" s="2" t="s">
        <v>13</v>
      </c>
      <c r="T818" s="2" t="s">
        <v>14</v>
      </c>
      <c r="U818" s="3">
        <v>27</v>
      </c>
      <c r="V818" s="3">
        <v>27</v>
      </c>
      <c r="W818" s="4" t="s">
        <v>10397</v>
      </c>
      <c r="X818" s="4" t="s">
        <v>10397</v>
      </c>
      <c r="Y818" s="4" t="s">
        <v>10398</v>
      </c>
      <c r="Z818" s="4" t="s">
        <v>10398</v>
      </c>
      <c r="AA818" s="3">
        <v>243</v>
      </c>
      <c r="AB818" s="3">
        <v>214</v>
      </c>
      <c r="AC818" s="3">
        <v>216</v>
      </c>
      <c r="AD818" s="3">
        <v>1</v>
      </c>
      <c r="AE818" s="3">
        <v>1</v>
      </c>
      <c r="AF818" s="3">
        <v>23</v>
      </c>
      <c r="AG818" s="3">
        <v>23</v>
      </c>
      <c r="AH818" s="3">
        <v>6</v>
      </c>
      <c r="AI818" s="3">
        <v>6</v>
      </c>
      <c r="AJ818" s="3">
        <v>6</v>
      </c>
      <c r="AK818" s="3">
        <v>6</v>
      </c>
      <c r="AL818" s="3">
        <v>17</v>
      </c>
      <c r="AM818" s="3">
        <v>17</v>
      </c>
      <c r="AN818" s="3">
        <v>0</v>
      </c>
      <c r="AO818" s="3">
        <v>0</v>
      </c>
      <c r="AP818" s="3">
        <v>3</v>
      </c>
      <c r="AQ818" s="3">
        <v>3</v>
      </c>
      <c r="AR818" s="2" t="s">
        <v>8</v>
      </c>
      <c r="AS818" s="2" t="s">
        <v>6</v>
      </c>
      <c r="AT818" s="5" t="str">
        <f>HYPERLINK("http://catalog.hathitrust.org/Record/002718181","HathiTrust Record")</f>
        <v>HathiTrust Record</v>
      </c>
      <c r="AU818" s="5" t="str">
        <f>HYPERLINK("https://creighton-primo.hosted.exlibrisgroup.com/primo-explore/search?tab=default_tab&amp;search_scope=EVERYTHING&amp;vid=01CRU&amp;lang=en_US&amp;offset=0&amp;query=any,contains,991001480079702656","Catalog Record")</f>
        <v>Catalog Record</v>
      </c>
      <c r="AV818" s="5" t="str">
        <f>HYPERLINK("http://www.worldcat.org/oclc/27935553","WorldCat Record")</f>
        <v>WorldCat Record</v>
      </c>
      <c r="AW818" s="2" t="s">
        <v>10399</v>
      </c>
      <c r="AX818" s="2" t="s">
        <v>10400</v>
      </c>
      <c r="AY818" s="2" t="s">
        <v>10401</v>
      </c>
      <c r="AZ818" s="2" t="s">
        <v>10401</v>
      </c>
      <c r="BA818" s="2" t="s">
        <v>10402</v>
      </c>
      <c r="BB818" s="2" t="s">
        <v>21</v>
      </c>
      <c r="BD818" s="2" t="s">
        <v>10403</v>
      </c>
      <c r="BE818" s="2" t="s">
        <v>10404</v>
      </c>
      <c r="BF818" s="2" t="s">
        <v>10405</v>
      </c>
    </row>
    <row r="819" spans="1:58" ht="42.75" customHeight="1" x14ac:dyDescent="0.25">
      <c r="A819" s="8" t="s">
        <v>8</v>
      </c>
      <c r="B819" s="1" t="s">
        <v>0</v>
      </c>
      <c r="C819" s="1" t="s">
        <v>1</v>
      </c>
      <c r="D819" s="1" t="s">
        <v>10406</v>
      </c>
      <c r="E819" s="1" t="s">
        <v>10407</v>
      </c>
      <c r="F819" s="1" t="s">
        <v>10408</v>
      </c>
      <c r="H819" s="2" t="s">
        <v>8</v>
      </c>
      <c r="I819" s="2" t="s">
        <v>7</v>
      </c>
      <c r="J819" s="2" t="s">
        <v>8</v>
      </c>
      <c r="K819" s="2" t="s">
        <v>8</v>
      </c>
      <c r="L819" s="2" t="s">
        <v>9</v>
      </c>
      <c r="M819" s="1" t="s">
        <v>10409</v>
      </c>
      <c r="N819" s="1" t="s">
        <v>10410</v>
      </c>
      <c r="O819" s="2" t="s">
        <v>642</v>
      </c>
      <c r="P819" s="1" t="s">
        <v>83</v>
      </c>
      <c r="Q819" s="2" t="s">
        <v>12</v>
      </c>
      <c r="R819" s="2" t="s">
        <v>1002</v>
      </c>
      <c r="T819" s="2" t="s">
        <v>14</v>
      </c>
      <c r="U819" s="3">
        <v>2</v>
      </c>
      <c r="V819" s="3">
        <v>2</v>
      </c>
      <c r="W819" s="4" t="s">
        <v>10411</v>
      </c>
      <c r="X819" s="4" t="s">
        <v>10411</v>
      </c>
      <c r="Y819" s="4" t="s">
        <v>4263</v>
      </c>
      <c r="Z819" s="4" t="s">
        <v>4263</v>
      </c>
      <c r="AA819" s="3">
        <v>155</v>
      </c>
      <c r="AB819" s="3">
        <v>53</v>
      </c>
      <c r="AC819" s="3">
        <v>53</v>
      </c>
      <c r="AD819" s="3">
        <v>1</v>
      </c>
      <c r="AE819" s="3">
        <v>1</v>
      </c>
      <c r="AF819" s="3">
        <v>3</v>
      </c>
      <c r="AG819" s="3">
        <v>3</v>
      </c>
      <c r="AH819" s="3">
        <v>1</v>
      </c>
      <c r="AI819" s="3">
        <v>1</v>
      </c>
      <c r="AJ819" s="3">
        <v>2</v>
      </c>
      <c r="AK819" s="3">
        <v>2</v>
      </c>
      <c r="AL819" s="3">
        <v>1</v>
      </c>
      <c r="AM819" s="3">
        <v>1</v>
      </c>
      <c r="AN819" s="3">
        <v>0</v>
      </c>
      <c r="AO819" s="3">
        <v>0</v>
      </c>
      <c r="AP819" s="3">
        <v>0</v>
      </c>
      <c r="AQ819" s="3">
        <v>0</v>
      </c>
      <c r="AR819" s="2" t="s">
        <v>8</v>
      </c>
      <c r="AS819" s="2" t="s">
        <v>8</v>
      </c>
      <c r="AU819" s="5" t="str">
        <f>HYPERLINK("https://creighton-primo.hosted.exlibrisgroup.com/primo-explore/search?tab=default_tab&amp;search_scope=EVERYTHING&amp;vid=01CRU&amp;lang=en_US&amp;offset=0&amp;query=any,contains,991000441109702656","Catalog Record")</f>
        <v>Catalog Record</v>
      </c>
      <c r="AV819" s="5" t="str">
        <f>HYPERLINK("http://www.worldcat.org/oclc/56106085","WorldCat Record")</f>
        <v>WorldCat Record</v>
      </c>
      <c r="AW819" s="2" t="s">
        <v>10412</v>
      </c>
      <c r="AX819" s="2" t="s">
        <v>10413</v>
      </c>
      <c r="AY819" s="2" t="s">
        <v>10414</v>
      </c>
      <c r="AZ819" s="2" t="s">
        <v>10414</v>
      </c>
      <c r="BA819" s="2" t="s">
        <v>10415</v>
      </c>
      <c r="BB819" s="2" t="s">
        <v>21</v>
      </c>
      <c r="BD819" s="2" t="s">
        <v>10416</v>
      </c>
      <c r="BE819" s="2" t="s">
        <v>10417</v>
      </c>
      <c r="BF819" s="2" t="s">
        <v>10418</v>
      </c>
    </row>
    <row r="820" spans="1:58" ht="42.75" customHeight="1" x14ac:dyDescent="0.25">
      <c r="A820" s="8" t="s">
        <v>8</v>
      </c>
      <c r="B820" s="1" t="s">
        <v>0</v>
      </c>
      <c r="C820" s="1" t="s">
        <v>1</v>
      </c>
      <c r="D820" s="1" t="s">
        <v>10419</v>
      </c>
      <c r="E820" s="1" t="s">
        <v>10420</v>
      </c>
      <c r="F820" s="1" t="s">
        <v>10421</v>
      </c>
      <c r="H820" s="2" t="s">
        <v>8</v>
      </c>
      <c r="I820" s="2" t="s">
        <v>7</v>
      </c>
      <c r="J820" s="2" t="s">
        <v>8</v>
      </c>
      <c r="K820" s="2" t="s">
        <v>8</v>
      </c>
      <c r="L820" s="2" t="s">
        <v>9</v>
      </c>
      <c r="M820" s="1" t="s">
        <v>10422</v>
      </c>
      <c r="N820" s="1" t="s">
        <v>10423</v>
      </c>
      <c r="O820" s="2" t="s">
        <v>830</v>
      </c>
      <c r="Q820" s="2" t="s">
        <v>12</v>
      </c>
      <c r="R820" s="2" t="s">
        <v>1340</v>
      </c>
      <c r="T820" s="2" t="s">
        <v>14</v>
      </c>
      <c r="U820" s="3">
        <v>2</v>
      </c>
      <c r="V820" s="3">
        <v>2</v>
      </c>
      <c r="W820" s="4" t="s">
        <v>10424</v>
      </c>
      <c r="X820" s="4" t="s">
        <v>10424</v>
      </c>
      <c r="Y820" s="4" t="s">
        <v>10425</v>
      </c>
      <c r="Z820" s="4" t="s">
        <v>10425</v>
      </c>
      <c r="AA820" s="3">
        <v>26</v>
      </c>
      <c r="AB820" s="3">
        <v>24</v>
      </c>
      <c r="AC820" s="3">
        <v>799</v>
      </c>
      <c r="AD820" s="3">
        <v>1</v>
      </c>
      <c r="AE820" s="3">
        <v>26</v>
      </c>
      <c r="AF820" s="3">
        <v>1</v>
      </c>
      <c r="AG820" s="3">
        <v>20</v>
      </c>
      <c r="AH820" s="3">
        <v>1</v>
      </c>
      <c r="AI820" s="3">
        <v>7</v>
      </c>
      <c r="AJ820" s="3">
        <v>1</v>
      </c>
      <c r="AK820" s="3">
        <v>2</v>
      </c>
      <c r="AL820" s="3">
        <v>0</v>
      </c>
      <c r="AM820" s="3">
        <v>2</v>
      </c>
      <c r="AN820" s="3">
        <v>0</v>
      </c>
      <c r="AO820" s="3">
        <v>11</v>
      </c>
      <c r="AP820" s="3">
        <v>0</v>
      </c>
      <c r="AQ820" s="3">
        <v>0</v>
      </c>
      <c r="AR820" s="2" t="s">
        <v>8</v>
      </c>
      <c r="AS820" s="2" t="s">
        <v>8</v>
      </c>
      <c r="AU820" s="5" t="str">
        <f>HYPERLINK("https://creighton-primo.hosted.exlibrisgroup.com/primo-explore/search?tab=default_tab&amp;search_scope=EVERYTHING&amp;vid=01CRU&amp;lang=en_US&amp;offset=0&amp;query=any,contains,991000434479702656","Catalog Record")</f>
        <v>Catalog Record</v>
      </c>
      <c r="AV820" s="5" t="str">
        <f>HYPERLINK("http://www.worldcat.org/oclc/53809127","WorldCat Record")</f>
        <v>WorldCat Record</v>
      </c>
      <c r="AW820" s="2" t="s">
        <v>10426</v>
      </c>
      <c r="AX820" s="2" t="s">
        <v>10427</v>
      </c>
      <c r="AY820" s="2" t="s">
        <v>10428</v>
      </c>
      <c r="AZ820" s="2" t="s">
        <v>10428</v>
      </c>
      <c r="BA820" s="2" t="s">
        <v>10429</v>
      </c>
      <c r="BB820" s="2" t="s">
        <v>21</v>
      </c>
      <c r="BD820" s="2" t="s">
        <v>10430</v>
      </c>
      <c r="BE820" s="2" t="s">
        <v>10431</v>
      </c>
      <c r="BF820" s="2" t="s">
        <v>10432</v>
      </c>
    </row>
    <row r="821" spans="1:58" ht="42.75" customHeight="1" x14ac:dyDescent="0.25">
      <c r="A821" s="8" t="s">
        <v>8</v>
      </c>
      <c r="B821" s="1" t="s">
        <v>0</v>
      </c>
      <c r="C821" s="1" t="s">
        <v>1</v>
      </c>
      <c r="D821" s="1" t="s">
        <v>10433</v>
      </c>
      <c r="E821" s="1" t="s">
        <v>10434</v>
      </c>
      <c r="F821" s="1" t="s">
        <v>10435</v>
      </c>
      <c r="H821" s="2" t="s">
        <v>8</v>
      </c>
      <c r="I821" s="2" t="s">
        <v>7</v>
      </c>
      <c r="J821" s="2" t="s">
        <v>8</v>
      </c>
      <c r="K821" s="2" t="s">
        <v>8</v>
      </c>
      <c r="L821" s="2" t="s">
        <v>9</v>
      </c>
      <c r="M821" s="1" t="s">
        <v>10436</v>
      </c>
      <c r="N821" s="1" t="s">
        <v>10437</v>
      </c>
      <c r="O821" s="2" t="s">
        <v>688</v>
      </c>
      <c r="Q821" s="2" t="s">
        <v>12</v>
      </c>
      <c r="R821" s="2" t="s">
        <v>13</v>
      </c>
      <c r="T821" s="2" t="s">
        <v>14</v>
      </c>
      <c r="U821" s="3">
        <v>12</v>
      </c>
      <c r="V821" s="3">
        <v>12</v>
      </c>
      <c r="W821" s="4" t="s">
        <v>10438</v>
      </c>
      <c r="X821" s="4" t="s">
        <v>10438</v>
      </c>
      <c r="Y821" s="4" t="s">
        <v>10439</v>
      </c>
      <c r="Z821" s="4" t="s">
        <v>10439</v>
      </c>
      <c r="AA821" s="3">
        <v>455</v>
      </c>
      <c r="AB821" s="3">
        <v>414</v>
      </c>
      <c r="AC821" s="3">
        <v>434</v>
      </c>
      <c r="AD821" s="3">
        <v>1</v>
      </c>
      <c r="AE821" s="3">
        <v>1</v>
      </c>
      <c r="AF821" s="3">
        <v>14</v>
      </c>
      <c r="AG821" s="3">
        <v>14</v>
      </c>
      <c r="AH821" s="3">
        <v>3</v>
      </c>
      <c r="AI821" s="3">
        <v>3</v>
      </c>
      <c r="AJ821" s="3">
        <v>4</v>
      </c>
      <c r="AK821" s="3">
        <v>4</v>
      </c>
      <c r="AL821" s="3">
        <v>13</v>
      </c>
      <c r="AM821" s="3">
        <v>13</v>
      </c>
      <c r="AN821" s="3">
        <v>0</v>
      </c>
      <c r="AO821" s="3">
        <v>0</v>
      </c>
      <c r="AP821" s="3">
        <v>0</v>
      </c>
      <c r="AQ821" s="3">
        <v>0</v>
      </c>
      <c r="AR821" s="2" t="s">
        <v>8</v>
      </c>
      <c r="AS821" s="2" t="s">
        <v>6</v>
      </c>
      <c r="AT821" s="5" t="str">
        <f>HYPERLINK("http://catalog.hathitrust.org/Record/002900640","HathiTrust Record")</f>
        <v>HathiTrust Record</v>
      </c>
      <c r="AU821" s="5" t="str">
        <f>HYPERLINK("https://creighton-primo.hosted.exlibrisgroup.com/primo-explore/search?tab=default_tab&amp;search_scope=EVERYTHING&amp;vid=01CRU&amp;lang=en_US&amp;offset=0&amp;query=any,contains,991001397199702656","Catalog Record")</f>
        <v>Catalog Record</v>
      </c>
      <c r="AV821" s="5" t="str">
        <f>HYPERLINK("http://www.worldcat.org/oclc/30814160","WorldCat Record")</f>
        <v>WorldCat Record</v>
      </c>
      <c r="AW821" s="2" t="s">
        <v>10440</v>
      </c>
      <c r="AX821" s="2" t="s">
        <v>10441</v>
      </c>
      <c r="AY821" s="2" t="s">
        <v>10442</v>
      </c>
      <c r="AZ821" s="2" t="s">
        <v>10442</v>
      </c>
      <c r="BA821" s="2" t="s">
        <v>10443</v>
      </c>
      <c r="BB821" s="2" t="s">
        <v>21</v>
      </c>
      <c r="BD821" s="2" t="s">
        <v>10444</v>
      </c>
      <c r="BE821" s="2" t="s">
        <v>10445</v>
      </c>
      <c r="BF821" s="2" t="s">
        <v>10446</v>
      </c>
    </row>
    <row r="822" spans="1:58" ht="42.75" customHeight="1" x14ac:dyDescent="0.25">
      <c r="A822" s="8" t="s">
        <v>8</v>
      </c>
      <c r="B822" s="1" t="s">
        <v>0</v>
      </c>
      <c r="C822" s="1" t="s">
        <v>1</v>
      </c>
      <c r="D822" s="1" t="s">
        <v>10447</v>
      </c>
      <c r="E822" s="1" t="s">
        <v>10448</v>
      </c>
      <c r="F822" s="1" t="s">
        <v>10449</v>
      </c>
      <c r="H822" s="2" t="s">
        <v>8</v>
      </c>
      <c r="I822" s="2" t="s">
        <v>7</v>
      </c>
      <c r="J822" s="2" t="s">
        <v>8</v>
      </c>
      <c r="K822" s="2" t="s">
        <v>6</v>
      </c>
      <c r="L822" s="2" t="s">
        <v>9</v>
      </c>
      <c r="M822" s="1" t="s">
        <v>10450</v>
      </c>
      <c r="N822" s="1" t="s">
        <v>9242</v>
      </c>
      <c r="O822" s="2" t="s">
        <v>224</v>
      </c>
      <c r="Q822" s="2" t="s">
        <v>12</v>
      </c>
      <c r="R822" s="2" t="s">
        <v>13</v>
      </c>
      <c r="S822" s="1" t="s">
        <v>4441</v>
      </c>
      <c r="T822" s="2" t="s">
        <v>14</v>
      </c>
      <c r="U822" s="3">
        <v>2</v>
      </c>
      <c r="V822" s="3">
        <v>2</v>
      </c>
      <c r="W822" s="4" t="s">
        <v>10451</v>
      </c>
      <c r="X822" s="4" t="s">
        <v>10451</v>
      </c>
      <c r="Y822" s="4" t="s">
        <v>16</v>
      </c>
      <c r="Z822" s="4" t="s">
        <v>16</v>
      </c>
      <c r="AA822" s="3">
        <v>350</v>
      </c>
      <c r="AB822" s="3">
        <v>298</v>
      </c>
      <c r="AC822" s="3">
        <v>701</v>
      </c>
      <c r="AD822" s="3">
        <v>1</v>
      </c>
      <c r="AE822" s="3">
        <v>3</v>
      </c>
      <c r="AF822" s="3">
        <v>11</v>
      </c>
      <c r="AG822" s="3">
        <v>26</v>
      </c>
      <c r="AH822" s="3">
        <v>3</v>
      </c>
      <c r="AI822" s="3">
        <v>10</v>
      </c>
      <c r="AJ822" s="3">
        <v>3</v>
      </c>
      <c r="AK822" s="3">
        <v>8</v>
      </c>
      <c r="AL822" s="3">
        <v>9</v>
      </c>
      <c r="AM822" s="3">
        <v>14</v>
      </c>
      <c r="AN822" s="3">
        <v>0</v>
      </c>
      <c r="AO822" s="3">
        <v>1</v>
      </c>
      <c r="AP822" s="3">
        <v>1</v>
      </c>
      <c r="AQ822" s="3">
        <v>2</v>
      </c>
      <c r="AR822" s="2" t="s">
        <v>8</v>
      </c>
      <c r="AS822" s="2" t="s">
        <v>6</v>
      </c>
      <c r="AT822" s="5" t="str">
        <f>HYPERLINK("http://catalog.hathitrust.org/Record/004416708","HathiTrust Record")</f>
        <v>HathiTrust Record</v>
      </c>
      <c r="AU822" s="5" t="str">
        <f>HYPERLINK("https://creighton-primo.hosted.exlibrisgroup.com/primo-explore/search?tab=default_tab&amp;search_scope=EVERYTHING&amp;vid=01CRU&amp;lang=en_US&amp;offset=0&amp;query=any,contains,991000658019702656","Catalog Record")</f>
        <v>Catalog Record</v>
      </c>
      <c r="AV822" s="5" t="str">
        <f>HYPERLINK("http://www.worldcat.org/oclc/5946309","WorldCat Record")</f>
        <v>WorldCat Record</v>
      </c>
      <c r="AW822" s="2" t="s">
        <v>10452</v>
      </c>
      <c r="AX822" s="2" t="s">
        <v>10453</v>
      </c>
      <c r="AY822" s="2" t="s">
        <v>10454</v>
      </c>
      <c r="AZ822" s="2" t="s">
        <v>10454</v>
      </c>
      <c r="BA822" s="2" t="s">
        <v>10455</v>
      </c>
      <c r="BB822" s="2" t="s">
        <v>21</v>
      </c>
      <c r="BD822" s="2" t="s">
        <v>10456</v>
      </c>
      <c r="BE822" s="2" t="s">
        <v>10457</v>
      </c>
      <c r="BF822" s="2" t="s">
        <v>10458</v>
      </c>
    </row>
    <row r="823" spans="1:58" ht="42.75" customHeight="1" x14ac:dyDescent="0.25">
      <c r="A823" s="8" t="s">
        <v>8</v>
      </c>
      <c r="B823" s="1" t="s">
        <v>0</v>
      </c>
      <c r="C823" s="1" t="s">
        <v>1</v>
      </c>
      <c r="D823" s="1" t="s">
        <v>10459</v>
      </c>
      <c r="E823" s="1" t="s">
        <v>10460</v>
      </c>
      <c r="F823" s="1" t="s">
        <v>10461</v>
      </c>
      <c r="H823" s="2" t="s">
        <v>8</v>
      </c>
      <c r="I823" s="2" t="s">
        <v>7</v>
      </c>
      <c r="J823" s="2" t="s">
        <v>8</v>
      </c>
      <c r="K823" s="2" t="s">
        <v>8</v>
      </c>
      <c r="L823" s="2" t="s">
        <v>9</v>
      </c>
      <c r="M823" s="1" t="s">
        <v>10462</v>
      </c>
      <c r="N823" s="1" t="s">
        <v>10463</v>
      </c>
      <c r="O823" s="2" t="s">
        <v>614</v>
      </c>
      <c r="Q823" s="2" t="s">
        <v>12</v>
      </c>
      <c r="R823" s="2" t="s">
        <v>643</v>
      </c>
      <c r="T823" s="2" t="s">
        <v>14</v>
      </c>
      <c r="U823" s="3">
        <v>6</v>
      </c>
      <c r="V823" s="3">
        <v>6</v>
      </c>
      <c r="W823" s="4" t="s">
        <v>10464</v>
      </c>
      <c r="X823" s="4" t="s">
        <v>10464</v>
      </c>
      <c r="Y823" s="4" t="s">
        <v>10465</v>
      </c>
      <c r="Z823" s="4" t="s">
        <v>10465</v>
      </c>
      <c r="AA823" s="3">
        <v>206</v>
      </c>
      <c r="AB823" s="3">
        <v>77</v>
      </c>
      <c r="AC823" s="3">
        <v>84</v>
      </c>
      <c r="AD823" s="3">
        <v>1</v>
      </c>
      <c r="AE823" s="3">
        <v>1</v>
      </c>
      <c r="AF823" s="3">
        <v>2</v>
      </c>
      <c r="AG823" s="3">
        <v>2</v>
      </c>
      <c r="AH823" s="3">
        <v>1</v>
      </c>
      <c r="AI823" s="3">
        <v>1</v>
      </c>
      <c r="AJ823" s="3">
        <v>1</v>
      </c>
      <c r="AK823" s="3">
        <v>1</v>
      </c>
      <c r="AL823" s="3">
        <v>1</v>
      </c>
      <c r="AM823" s="3">
        <v>1</v>
      </c>
      <c r="AN823" s="3">
        <v>0</v>
      </c>
      <c r="AO823" s="3">
        <v>0</v>
      </c>
      <c r="AP823" s="3">
        <v>0</v>
      </c>
      <c r="AQ823" s="3">
        <v>0</v>
      </c>
      <c r="AR823" s="2" t="s">
        <v>8</v>
      </c>
      <c r="AS823" s="2" t="s">
        <v>6</v>
      </c>
      <c r="AT823" s="5" t="str">
        <f>HYPERLINK("http://catalog.hathitrust.org/Record/004551815","HathiTrust Record")</f>
        <v>HathiTrust Record</v>
      </c>
      <c r="AU823" s="5" t="str">
        <f>HYPERLINK("https://creighton-primo.hosted.exlibrisgroup.com/primo-explore/search?tab=default_tab&amp;search_scope=EVERYTHING&amp;vid=01CRU&amp;lang=en_US&amp;offset=0&amp;query=any,contains,991001432169702656","Catalog Record")</f>
        <v>Catalog Record</v>
      </c>
      <c r="AV823" s="5" t="str">
        <f>HYPERLINK("http://www.worldcat.org/oclc/24068595","WorldCat Record")</f>
        <v>WorldCat Record</v>
      </c>
      <c r="AW823" s="2" t="s">
        <v>10466</v>
      </c>
      <c r="AX823" s="2" t="s">
        <v>10467</v>
      </c>
      <c r="AY823" s="2" t="s">
        <v>10468</v>
      </c>
      <c r="AZ823" s="2" t="s">
        <v>10468</v>
      </c>
      <c r="BA823" s="2" t="s">
        <v>10469</v>
      </c>
      <c r="BB823" s="2" t="s">
        <v>21</v>
      </c>
      <c r="BD823" s="2" t="s">
        <v>10470</v>
      </c>
      <c r="BE823" s="2" t="s">
        <v>10471</v>
      </c>
      <c r="BF823" s="2" t="s">
        <v>10472</v>
      </c>
    </row>
    <row r="824" spans="1:58" ht="42.75" customHeight="1" x14ac:dyDescent="0.25">
      <c r="A824" s="8" t="s">
        <v>8</v>
      </c>
      <c r="B824" s="1" t="s">
        <v>0</v>
      </c>
      <c r="C824" s="1" t="s">
        <v>1</v>
      </c>
      <c r="D824" s="1" t="s">
        <v>10473</v>
      </c>
      <c r="E824" s="1" t="s">
        <v>10474</v>
      </c>
      <c r="F824" s="1" t="s">
        <v>10475</v>
      </c>
      <c r="H824" s="2" t="s">
        <v>8</v>
      </c>
      <c r="I824" s="2" t="s">
        <v>7</v>
      </c>
      <c r="J824" s="2" t="s">
        <v>8</v>
      </c>
      <c r="K824" s="2" t="s">
        <v>6</v>
      </c>
      <c r="L824" s="2" t="s">
        <v>885</v>
      </c>
      <c r="M824" s="1" t="s">
        <v>10476</v>
      </c>
      <c r="N824" s="1" t="s">
        <v>10477</v>
      </c>
      <c r="O824" s="2" t="s">
        <v>642</v>
      </c>
      <c r="P824" s="1" t="s">
        <v>732</v>
      </c>
      <c r="Q824" s="2" t="s">
        <v>12</v>
      </c>
      <c r="R824" s="2" t="s">
        <v>1340</v>
      </c>
      <c r="T824" s="2" t="s">
        <v>14</v>
      </c>
      <c r="U824" s="3">
        <v>13</v>
      </c>
      <c r="V824" s="3">
        <v>13</v>
      </c>
      <c r="W824" s="4" t="s">
        <v>10478</v>
      </c>
      <c r="X824" s="4" t="s">
        <v>10478</v>
      </c>
      <c r="Y824" s="4" t="s">
        <v>10479</v>
      </c>
      <c r="Z824" s="4" t="s">
        <v>10479</v>
      </c>
      <c r="AA824" s="3">
        <v>290</v>
      </c>
      <c r="AB824" s="3">
        <v>267</v>
      </c>
      <c r="AC824" s="3">
        <v>989</v>
      </c>
      <c r="AD824" s="3">
        <v>1</v>
      </c>
      <c r="AE824" s="3">
        <v>8</v>
      </c>
      <c r="AF824" s="3">
        <v>11</v>
      </c>
      <c r="AG824" s="3">
        <v>43</v>
      </c>
      <c r="AH824" s="3">
        <v>2</v>
      </c>
      <c r="AI824" s="3">
        <v>16</v>
      </c>
      <c r="AJ824" s="3">
        <v>5</v>
      </c>
      <c r="AK824" s="3">
        <v>8</v>
      </c>
      <c r="AL824" s="3">
        <v>7</v>
      </c>
      <c r="AM824" s="3">
        <v>21</v>
      </c>
      <c r="AN824" s="3">
        <v>0</v>
      </c>
      <c r="AO824" s="3">
        <v>6</v>
      </c>
      <c r="AP824" s="3">
        <v>0</v>
      </c>
      <c r="AQ824" s="3">
        <v>1</v>
      </c>
      <c r="AR824" s="2" t="s">
        <v>8</v>
      </c>
      <c r="AS824" s="2" t="s">
        <v>6</v>
      </c>
      <c r="AT824" s="5" t="str">
        <f>HYPERLINK("http://catalog.hathitrust.org/Record/004342950","HathiTrust Record")</f>
        <v>HathiTrust Record</v>
      </c>
      <c r="AU824" s="5" t="str">
        <f>HYPERLINK("https://creighton-primo.hosted.exlibrisgroup.com/primo-explore/search?tab=default_tab&amp;search_scope=EVERYTHING&amp;vid=01CRU&amp;lang=en_US&amp;offset=0&amp;query=any,contains,991000360859702656","Catalog Record")</f>
        <v>Catalog Record</v>
      </c>
      <c r="AV824" s="5" t="str">
        <f>HYPERLINK("http://www.worldcat.org/oclc/52494322","WorldCat Record")</f>
        <v>WorldCat Record</v>
      </c>
      <c r="AW824" s="2" t="s">
        <v>10480</v>
      </c>
      <c r="AX824" s="2" t="s">
        <v>10481</v>
      </c>
      <c r="AY824" s="2" t="s">
        <v>10482</v>
      </c>
      <c r="AZ824" s="2" t="s">
        <v>10482</v>
      </c>
      <c r="BA824" s="2" t="s">
        <v>10483</v>
      </c>
      <c r="BB824" s="2" t="s">
        <v>21</v>
      </c>
      <c r="BD824" s="2" t="s">
        <v>10484</v>
      </c>
      <c r="BE824" s="2" t="s">
        <v>10485</v>
      </c>
      <c r="BF824" s="2" t="s">
        <v>10486</v>
      </c>
    </row>
    <row r="825" spans="1:58" ht="42.75" customHeight="1" x14ac:dyDescent="0.25">
      <c r="A825" s="8" t="s">
        <v>8</v>
      </c>
      <c r="B825" s="1" t="s">
        <v>0</v>
      </c>
      <c r="C825" s="1" t="s">
        <v>1</v>
      </c>
      <c r="D825" s="1" t="s">
        <v>10487</v>
      </c>
      <c r="E825" s="1" t="s">
        <v>10488</v>
      </c>
      <c r="F825" s="1" t="s">
        <v>10475</v>
      </c>
      <c r="H825" s="2" t="s">
        <v>8</v>
      </c>
      <c r="I825" s="2" t="s">
        <v>7</v>
      </c>
      <c r="J825" s="2" t="s">
        <v>8</v>
      </c>
      <c r="K825" s="2" t="s">
        <v>6</v>
      </c>
      <c r="L825" s="2" t="s">
        <v>885</v>
      </c>
      <c r="M825" s="1" t="s">
        <v>10476</v>
      </c>
      <c r="N825" s="1" t="s">
        <v>4232</v>
      </c>
      <c r="O825" s="2" t="s">
        <v>731</v>
      </c>
      <c r="Q825" s="2" t="s">
        <v>12</v>
      </c>
      <c r="R825" s="2" t="s">
        <v>815</v>
      </c>
      <c r="T825" s="2" t="s">
        <v>14</v>
      </c>
      <c r="U825" s="3">
        <v>19</v>
      </c>
      <c r="V825" s="3">
        <v>19</v>
      </c>
      <c r="W825" s="4" t="s">
        <v>1750</v>
      </c>
      <c r="X825" s="4" t="s">
        <v>1750</v>
      </c>
      <c r="Y825" s="4" t="s">
        <v>6718</v>
      </c>
      <c r="Z825" s="4" t="s">
        <v>6718</v>
      </c>
      <c r="AA825" s="3">
        <v>213</v>
      </c>
      <c r="AB825" s="3">
        <v>201</v>
      </c>
      <c r="AC825" s="3">
        <v>989</v>
      </c>
      <c r="AD825" s="3">
        <v>1</v>
      </c>
      <c r="AE825" s="3">
        <v>8</v>
      </c>
      <c r="AF825" s="3">
        <v>9</v>
      </c>
      <c r="AG825" s="3">
        <v>43</v>
      </c>
      <c r="AH825" s="3">
        <v>4</v>
      </c>
      <c r="AI825" s="3">
        <v>16</v>
      </c>
      <c r="AJ825" s="3">
        <v>0</v>
      </c>
      <c r="AK825" s="3">
        <v>8</v>
      </c>
      <c r="AL825" s="3">
        <v>5</v>
      </c>
      <c r="AM825" s="3">
        <v>21</v>
      </c>
      <c r="AN825" s="3">
        <v>0</v>
      </c>
      <c r="AO825" s="3">
        <v>6</v>
      </c>
      <c r="AP825" s="3">
        <v>1</v>
      </c>
      <c r="AQ825" s="3">
        <v>1</v>
      </c>
      <c r="AR825" s="2" t="s">
        <v>8</v>
      </c>
      <c r="AS825" s="2" t="s">
        <v>8</v>
      </c>
      <c r="AU825" s="5" t="str">
        <f>HYPERLINK("https://creighton-primo.hosted.exlibrisgroup.com/primo-explore/search?tab=default_tab&amp;search_scope=EVERYTHING&amp;vid=01CRU&amp;lang=en_US&amp;offset=0&amp;query=any,contains,991001531909702656","Catalog Record")</f>
        <v>Catalog Record</v>
      </c>
      <c r="AV825" s="5" t="str">
        <f>HYPERLINK("http://www.worldcat.org/oclc/39116645","WorldCat Record")</f>
        <v>WorldCat Record</v>
      </c>
      <c r="AW825" s="2" t="s">
        <v>10480</v>
      </c>
      <c r="AX825" s="2" t="s">
        <v>10489</v>
      </c>
      <c r="AY825" s="2" t="s">
        <v>10490</v>
      </c>
      <c r="AZ825" s="2" t="s">
        <v>10490</v>
      </c>
      <c r="BA825" s="2" t="s">
        <v>10491</v>
      </c>
      <c r="BB825" s="2" t="s">
        <v>21</v>
      </c>
      <c r="BD825" s="2" t="s">
        <v>10492</v>
      </c>
      <c r="BE825" s="2" t="s">
        <v>10493</v>
      </c>
      <c r="BF825" s="2" t="s">
        <v>10494</v>
      </c>
    </row>
    <row r="826" spans="1:58" ht="42.75" customHeight="1" x14ac:dyDescent="0.25">
      <c r="A826" s="8" t="s">
        <v>8</v>
      </c>
      <c r="B826" s="1" t="s">
        <v>0</v>
      </c>
      <c r="C826" s="1" t="s">
        <v>1</v>
      </c>
      <c r="D826" s="1" t="s">
        <v>10495</v>
      </c>
      <c r="E826" s="1" t="s">
        <v>10496</v>
      </c>
      <c r="F826" s="1" t="s">
        <v>10497</v>
      </c>
      <c r="H826" s="2" t="s">
        <v>8</v>
      </c>
      <c r="I826" s="2" t="s">
        <v>7</v>
      </c>
      <c r="J826" s="2" t="s">
        <v>8</v>
      </c>
      <c r="K826" s="2" t="s">
        <v>8</v>
      </c>
      <c r="L826" s="2" t="s">
        <v>9</v>
      </c>
      <c r="N826" s="1" t="s">
        <v>10498</v>
      </c>
      <c r="O826" s="2" t="s">
        <v>602</v>
      </c>
      <c r="Q826" s="2" t="s">
        <v>12</v>
      </c>
      <c r="R826" s="2" t="s">
        <v>267</v>
      </c>
      <c r="T826" s="2" t="s">
        <v>14</v>
      </c>
      <c r="U826" s="3">
        <v>3</v>
      </c>
      <c r="V826" s="3">
        <v>3</v>
      </c>
      <c r="W826" s="4" t="s">
        <v>10499</v>
      </c>
      <c r="X826" s="4" t="s">
        <v>10499</v>
      </c>
      <c r="Y826" s="4" t="s">
        <v>10500</v>
      </c>
      <c r="Z826" s="4" t="s">
        <v>10500</v>
      </c>
      <c r="AA826" s="3">
        <v>34</v>
      </c>
      <c r="AB826" s="3">
        <v>34</v>
      </c>
      <c r="AC826" s="3">
        <v>34</v>
      </c>
      <c r="AD826" s="3">
        <v>1</v>
      </c>
      <c r="AE826" s="3">
        <v>1</v>
      </c>
      <c r="AF826" s="3">
        <v>1</v>
      </c>
      <c r="AG826" s="3">
        <v>1</v>
      </c>
      <c r="AH826" s="3">
        <v>0</v>
      </c>
      <c r="AI826" s="3">
        <v>0</v>
      </c>
      <c r="AJ826" s="3">
        <v>0</v>
      </c>
      <c r="AK826" s="3">
        <v>0</v>
      </c>
      <c r="AL826" s="3">
        <v>0</v>
      </c>
      <c r="AM826" s="3">
        <v>0</v>
      </c>
      <c r="AN826" s="3">
        <v>0</v>
      </c>
      <c r="AO826" s="3">
        <v>0</v>
      </c>
      <c r="AP826" s="3">
        <v>1</v>
      </c>
      <c r="AQ826" s="3">
        <v>1</v>
      </c>
      <c r="AR826" s="2" t="s">
        <v>8</v>
      </c>
      <c r="AS826" s="2" t="s">
        <v>8</v>
      </c>
      <c r="AU826" s="5" t="str">
        <f>HYPERLINK("https://creighton-primo.hosted.exlibrisgroup.com/primo-explore/search?tab=default_tab&amp;search_scope=EVERYTHING&amp;vid=01CRU&amp;lang=en_US&amp;offset=0&amp;query=any,contains,991000945979702656","Catalog Record")</f>
        <v>Catalog Record</v>
      </c>
      <c r="AV826" s="5" t="str">
        <f>HYPERLINK("http://www.worldcat.org/oclc/26318683","WorldCat Record")</f>
        <v>WorldCat Record</v>
      </c>
      <c r="AW826" s="2" t="s">
        <v>10501</v>
      </c>
      <c r="AX826" s="2" t="s">
        <v>10502</v>
      </c>
      <c r="AY826" s="2" t="s">
        <v>10503</v>
      </c>
      <c r="AZ826" s="2" t="s">
        <v>10503</v>
      </c>
      <c r="BA826" s="2" t="s">
        <v>10504</v>
      </c>
      <c r="BB826" s="2" t="s">
        <v>21</v>
      </c>
      <c r="BE826" s="2" t="s">
        <v>10505</v>
      </c>
      <c r="BF826" s="2" t="s">
        <v>10506</v>
      </c>
    </row>
    <row r="827" spans="1:58" ht="42.75" customHeight="1" x14ac:dyDescent="0.25">
      <c r="A827" s="8" t="s">
        <v>8</v>
      </c>
      <c r="B827" s="1" t="s">
        <v>0</v>
      </c>
      <c r="C827" s="1" t="s">
        <v>1</v>
      </c>
      <c r="D827" s="1" t="s">
        <v>10507</v>
      </c>
      <c r="E827" s="1" t="s">
        <v>10508</v>
      </c>
      <c r="F827" s="1" t="s">
        <v>10509</v>
      </c>
      <c r="H827" s="2" t="s">
        <v>8</v>
      </c>
      <c r="I827" s="2" t="s">
        <v>7</v>
      </c>
      <c r="J827" s="2" t="s">
        <v>8</v>
      </c>
      <c r="K827" s="2" t="s">
        <v>8</v>
      </c>
      <c r="L827" s="2" t="s">
        <v>9</v>
      </c>
      <c r="M827" s="1" t="s">
        <v>10510</v>
      </c>
      <c r="N827" s="1" t="s">
        <v>10511</v>
      </c>
      <c r="O827" s="2" t="s">
        <v>614</v>
      </c>
      <c r="Q827" s="2" t="s">
        <v>12</v>
      </c>
      <c r="R827" s="2" t="s">
        <v>520</v>
      </c>
      <c r="T827" s="2" t="s">
        <v>14</v>
      </c>
      <c r="U827" s="3">
        <v>6</v>
      </c>
      <c r="V827" s="3">
        <v>6</v>
      </c>
      <c r="W827" s="4" t="s">
        <v>2172</v>
      </c>
      <c r="X827" s="4" t="s">
        <v>2172</v>
      </c>
      <c r="Y827" s="4" t="s">
        <v>4520</v>
      </c>
      <c r="Z827" s="4" t="s">
        <v>4520</v>
      </c>
      <c r="AA827" s="3">
        <v>3</v>
      </c>
      <c r="AB827" s="3">
        <v>3</v>
      </c>
      <c r="AC827" s="3">
        <v>5</v>
      </c>
      <c r="AD827" s="3">
        <v>1</v>
      </c>
      <c r="AE827" s="3">
        <v>1</v>
      </c>
      <c r="AF827" s="3">
        <v>0</v>
      </c>
      <c r="AG827" s="3">
        <v>0</v>
      </c>
      <c r="AH827" s="3">
        <v>0</v>
      </c>
      <c r="AI827" s="3">
        <v>0</v>
      </c>
      <c r="AJ827" s="3">
        <v>0</v>
      </c>
      <c r="AK827" s="3">
        <v>0</v>
      </c>
      <c r="AL827" s="3">
        <v>0</v>
      </c>
      <c r="AM827" s="3">
        <v>0</v>
      </c>
      <c r="AN827" s="3">
        <v>0</v>
      </c>
      <c r="AO827" s="3">
        <v>0</v>
      </c>
      <c r="AP827" s="3">
        <v>0</v>
      </c>
      <c r="AQ827" s="3">
        <v>0</v>
      </c>
      <c r="AR827" s="2" t="s">
        <v>8</v>
      </c>
      <c r="AS827" s="2" t="s">
        <v>6</v>
      </c>
      <c r="AT827" s="5" t="str">
        <f>HYPERLINK("http://catalog.hathitrust.org/Record/002628071","HathiTrust Record")</f>
        <v>HathiTrust Record</v>
      </c>
      <c r="AU827" s="5" t="str">
        <f>HYPERLINK("https://creighton-primo.hosted.exlibrisgroup.com/primo-explore/search?tab=default_tab&amp;search_scope=EVERYTHING&amp;vid=01CRU&amp;lang=en_US&amp;offset=0&amp;query=any,contains,991001509769702656","Catalog Record")</f>
        <v>Catalog Record</v>
      </c>
      <c r="AV827" s="5" t="str">
        <f>HYPERLINK("http://www.worldcat.org/oclc/27212369","WorldCat Record")</f>
        <v>WorldCat Record</v>
      </c>
      <c r="AW827" s="2" t="s">
        <v>10512</v>
      </c>
      <c r="AX827" s="2" t="s">
        <v>10513</v>
      </c>
      <c r="AY827" s="2" t="s">
        <v>10514</v>
      </c>
      <c r="AZ827" s="2" t="s">
        <v>10514</v>
      </c>
      <c r="BA827" s="2" t="s">
        <v>10515</v>
      </c>
      <c r="BB827" s="2" t="s">
        <v>21</v>
      </c>
      <c r="BE827" s="2" t="s">
        <v>10516</v>
      </c>
      <c r="BF827" s="2" t="s">
        <v>10517</v>
      </c>
    </row>
    <row r="828" spans="1:58" ht="42.75" customHeight="1" x14ac:dyDescent="0.25">
      <c r="A828" s="8" t="s">
        <v>8</v>
      </c>
      <c r="B828" s="1" t="s">
        <v>0</v>
      </c>
      <c r="C828" s="1" t="s">
        <v>1</v>
      </c>
      <c r="D828" s="1" t="s">
        <v>10518</v>
      </c>
      <c r="E828" s="1" t="s">
        <v>10519</v>
      </c>
      <c r="F828" s="1" t="s">
        <v>10520</v>
      </c>
      <c r="H828" s="2" t="s">
        <v>8</v>
      </c>
      <c r="I828" s="2" t="s">
        <v>7</v>
      </c>
      <c r="J828" s="2" t="s">
        <v>8</v>
      </c>
      <c r="K828" s="2" t="s">
        <v>8</v>
      </c>
      <c r="L828" s="2" t="s">
        <v>9</v>
      </c>
      <c r="M828" s="1" t="s">
        <v>10521</v>
      </c>
      <c r="N828" s="1" t="s">
        <v>5544</v>
      </c>
      <c r="O828" s="2" t="s">
        <v>627</v>
      </c>
      <c r="Q828" s="2" t="s">
        <v>12</v>
      </c>
      <c r="R828" s="2" t="s">
        <v>34</v>
      </c>
      <c r="T828" s="2" t="s">
        <v>14</v>
      </c>
      <c r="U828" s="3">
        <v>3</v>
      </c>
      <c r="V828" s="3">
        <v>3</v>
      </c>
      <c r="W828" s="4" t="s">
        <v>10522</v>
      </c>
      <c r="X828" s="4" t="s">
        <v>10522</v>
      </c>
      <c r="Y828" s="4" t="s">
        <v>9986</v>
      </c>
      <c r="Z828" s="4" t="s">
        <v>9986</v>
      </c>
      <c r="AA828" s="3">
        <v>196</v>
      </c>
      <c r="AB828" s="3">
        <v>178</v>
      </c>
      <c r="AC828" s="3">
        <v>183</v>
      </c>
      <c r="AD828" s="3">
        <v>1</v>
      </c>
      <c r="AE828" s="3">
        <v>1</v>
      </c>
      <c r="AF828" s="3">
        <v>11</v>
      </c>
      <c r="AG828" s="3">
        <v>11</v>
      </c>
      <c r="AH828" s="3">
        <v>3</v>
      </c>
      <c r="AI828" s="3">
        <v>3</v>
      </c>
      <c r="AJ828" s="3">
        <v>1</v>
      </c>
      <c r="AK828" s="3">
        <v>1</v>
      </c>
      <c r="AL828" s="3">
        <v>3</v>
      </c>
      <c r="AM828" s="3">
        <v>3</v>
      </c>
      <c r="AN828" s="3">
        <v>0</v>
      </c>
      <c r="AO828" s="3">
        <v>0</v>
      </c>
      <c r="AP828" s="3">
        <v>5</v>
      </c>
      <c r="AQ828" s="3">
        <v>5</v>
      </c>
      <c r="AR828" s="2" t="s">
        <v>8</v>
      </c>
      <c r="AS828" s="2" t="s">
        <v>8</v>
      </c>
      <c r="AU828" s="5" t="str">
        <f>HYPERLINK("https://creighton-primo.hosted.exlibrisgroup.com/primo-explore/search?tab=default_tab&amp;search_scope=EVERYTHING&amp;vid=01CRU&amp;lang=en_US&amp;offset=0&amp;query=any,contains,991001383309702656","Catalog Record")</f>
        <v>Catalog Record</v>
      </c>
      <c r="AV828" s="5" t="str">
        <f>HYPERLINK("http://www.worldcat.org/oclc/19814503","WorldCat Record")</f>
        <v>WorldCat Record</v>
      </c>
      <c r="AW828" s="2" t="s">
        <v>10523</v>
      </c>
      <c r="AX828" s="2" t="s">
        <v>10524</v>
      </c>
      <c r="AY828" s="2" t="s">
        <v>10525</v>
      </c>
      <c r="AZ828" s="2" t="s">
        <v>10525</v>
      </c>
      <c r="BA828" s="2" t="s">
        <v>10526</v>
      </c>
      <c r="BB828" s="2" t="s">
        <v>21</v>
      </c>
      <c r="BD828" s="2" t="s">
        <v>10527</v>
      </c>
      <c r="BE828" s="2" t="s">
        <v>10528</v>
      </c>
      <c r="BF828" s="2" t="s">
        <v>10529</v>
      </c>
    </row>
    <row r="829" spans="1:58" ht="42.75" customHeight="1" x14ac:dyDescent="0.25">
      <c r="A829" s="8" t="s">
        <v>8</v>
      </c>
      <c r="B829" s="1" t="s">
        <v>0</v>
      </c>
      <c r="C829" s="1" t="s">
        <v>1</v>
      </c>
      <c r="D829" s="1" t="s">
        <v>10530</v>
      </c>
      <c r="E829" s="1" t="s">
        <v>10531</v>
      </c>
      <c r="F829" s="1" t="s">
        <v>10532</v>
      </c>
      <c r="H829" s="2" t="s">
        <v>8</v>
      </c>
      <c r="I829" s="2" t="s">
        <v>7</v>
      </c>
      <c r="J829" s="2" t="s">
        <v>8</v>
      </c>
      <c r="K829" s="2" t="s">
        <v>8</v>
      </c>
      <c r="L829" s="2" t="s">
        <v>9</v>
      </c>
      <c r="M829" s="1" t="s">
        <v>10533</v>
      </c>
      <c r="N829" s="1" t="s">
        <v>10534</v>
      </c>
      <c r="O829" s="2" t="s">
        <v>410</v>
      </c>
      <c r="Q829" s="2" t="s">
        <v>12</v>
      </c>
      <c r="R829" s="2" t="s">
        <v>643</v>
      </c>
      <c r="T829" s="2" t="s">
        <v>14</v>
      </c>
      <c r="U829" s="3">
        <v>6</v>
      </c>
      <c r="V829" s="3">
        <v>6</v>
      </c>
      <c r="W829" s="4" t="s">
        <v>10535</v>
      </c>
      <c r="X829" s="4" t="s">
        <v>10535</v>
      </c>
      <c r="Y829" s="4" t="s">
        <v>10536</v>
      </c>
      <c r="Z829" s="4" t="s">
        <v>10536</v>
      </c>
      <c r="AA829" s="3">
        <v>162</v>
      </c>
      <c r="AB829" s="3">
        <v>112</v>
      </c>
      <c r="AC829" s="3">
        <v>113</v>
      </c>
      <c r="AD829" s="3">
        <v>1</v>
      </c>
      <c r="AE829" s="3">
        <v>1</v>
      </c>
      <c r="AF829" s="3">
        <v>3</v>
      </c>
      <c r="AG829" s="3">
        <v>3</v>
      </c>
      <c r="AH829" s="3">
        <v>0</v>
      </c>
      <c r="AI829" s="3">
        <v>0</v>
      </c>
      <c r="AJ829" s="3">
        <v>2</v>
      </c>
      <c r="AK829" s="3">
        <v>2</v>
      </c>
      <c r="AL829" s="3">
        <v>2</v>
      </c>
      <c r="AM829" s="3">
        <v>2</v>
      </c>
      <c r="AN829" s="3">
        <v>0</v>
      </c>
      <c r="AO829" s="3">
        <v>0</v>
      </c>
      <c r="AP829" s="3">
        <v>0</v>
      </c>
      <c r="AQ829" s="3">
        <v>0</v>
      </c>
      <c r="AR829" s="2" t="s">
        <v>8</v>
      </c>
      <c r="AS829" s="2" t="s">
        <v>8</v>
      </c>
      <c r="AU829" s="5" t="str">
        <f>HYPERLINK("https://creighton-primo.hosted.exlibrisgroup.com/primo-explore/search?tab=default_tab&amp;search_scope=EVERYTHING&amp;vid=01CRU&amp;lang=en_US&amp;offset=0&amp;query=any,contains,991000646469702656","Catalog Record")</f>
        <v>Catalog Record</v>
      </c>
      <c r="AV829" s="5" t="str">
        <f>HYPERLINK("http://www.worldcat.org/oclc/27728640","WorldCat Record")</f>
        <v>WorldCat Record</v>
      </c>
      <c r="AW829" s="2" t="s">
        <v>10537</v>
      </c>
      <c r="AX829" s="2" t="s">
        <v>10538</v>
      </c>
      <c r="AY829" s="2" t="s">
        <v>10539</v>
      </c>
      <c r="AZ829" s="2" t="s">
        <v>10539</v>
      </c>
      <c r="BA829" s="2" t="s">
        <v>10540</v>
      </c>
      <c r="BB829" s="2" t="s">
        <v>21</v>
      </c>
      <c r="BD829" s="2" t="s">
        <v>10541</v>
      </c>
      <c r="BE829" s="2" t="s">
        <v>10542</v>
      </c>
      <c r="BF829" s="2" t="s">
        <v>10543</v>
      </c>
    </row>
    <row r="830" spans="1:58" ht="42.75" customHeight="1" x14ac:dyDescent="0.25">
      <c r="A830" s="8" t="s">
        <v>8</v>
      </c>
      <c r="B830" s="1" t="s">
        <v>0</v>
      </c>
      <c r="C830" s="1" t="s">
        <v>1</v>
      </c>
      <c r="D830" s="1" t="s">
        <v>10544</v>
      </c>
      <c r="E830" s="1" t="s">
        <v>10545</v>
      </c>
      <c r="F830" s="1" t="s">
        <v>10546</v>
      </c>
      <c r="H830" s="2" t="s">
        <v>8</v>
      </c>
      <c r="I830" s="2" t="s">
        <v>7</v>
      </c>
      <c r="J830" s="2" t="s">
        <v>8</v>
      </c>
      <c r="K830" s="2" t="s">
        <v>6</v>
      </c>
      <c r="L830" s="2" t="s">
        <v>9</v>
      </c>
      <c r="M830" s="1" t="s">
        <v>10547</v>
      </c>
      <c r="N830" s="1" t="s">
        <v>10548</v>
      </c>
      <c r="O830" s="2" t="s">
        <v>298</v>
      </c>
      <c r="Q830" s="2" t="s">
        <v>12</v>
      </c>
      <c r="R830" s="2" t="s">
        <v>34</v>
      </c>
      <c r="T830" s="2" t="s">
        <v>14</v>
      </c>
      <c r="U830" s="3">
        <v>11</v>
      </c>
      <c r="V830" s="3">
        <v>11</v>
      </c>
      <c r="W830" s="4" t="s">
        <v>1182</v>
      </c>
      <c r="X830" s="4" t="s">
        <v>1182</v>
      </c>
      <c r="Y830" s="4" t="s">
        <v>10549</v>
      </c>
      <c r="Z830" s="4" t="s">
        <v>10549</v>
      </c>
      <c r="AA830" s="3">
        <v>305</v>
      </c>
      <c r="AB830" s="3">
        <v>260</v>
      </c>
      <c r="AC830" s="3">
        <v>769</v>
      </c>
      <c r="AD830" s="3">
        <v>2</v>
      </c>
      <c r="AE830" s="3">
        <v>6</v>
      </c>
      <c r="AF830" s="3">
        <v>12</v>
      </c>
      <c r="AG830" s="3">
        <v>37</v>
      </c>
      <c r="AH830" s="3">
        <v>1</v>
      </c>
      <c r="AI830" s="3">
        <v>16</v>
      </c>
      <c r="AJ830" s="3">
        <v>3</v>
      </c>
      <c r="AK830" s="3">
        <v>8</v>
      </c>
      <c r="AL830" s="3">
        <v>7</v>
      </c>
      <c r="AM830" s="3">
        <v>16</v>
      </c>
      <c r="AN830" s="3">
        <v>1</v>
      </c>
      <c r="AO830" s="3">
        <v>3</v>
      </c>
      <c r="AP830" s="3">
        <v>1</v>
      </c>
      <c r="AQ830" s="3">
        <v>3</v>
      </c>
      <c r="AR830" s="2" t="s">
        <v>8</v>
      </c>
      <c r="AS830" s="2" t="s">
        <v>6</v>
      </c>
      <c r="AT830" s="5" t="str">
        <f>HYPERLINK("http://catalog.hathitrust.org/Record/000832433","HathiTrust Record")</f>
        <v>HathiTrust Record</v>
      </c>
      <c r="AU830" s="5" t="str">
        <f>HYPERLINK("https://creighton-primo.hosted.exlibrisgroup.com/primo-explore/search?tab=default_tab&amp;search_scope=EVERYTHING&amp;vid=01CRU&amp;lang=en_US&amp;offset=0&amp;query=any,contains,991001191549702656","Catalog Record")</f>
        <v>Catalog Record</v>
      </c>
      <c r="AV830" s="5" t="str">
        <f>HYPERLINK("http://www.worldcat.org/oclc/15107372","WorldCat Record")</f>
        <v>WorldCat Record</v>
      </c>
      <c r="AW830" s="2" t="s">
        <v>10550</v>
      </c>
      <c r="AX830" s="2" t="s">
        <v>10551</v>
      </c>
      <c r="AY830" s="2" t="s">
        <v>10552</v>
      </c>
      <c r="AZ830" s="2" t="s">
        <v>10552</v>
      </c>
      <c r="BA830" s="2" t="s">
        <v>10553</v>
      </c>
      <c r="BB830" s="2" t="s">
        <v>21</v>
      </c>
      <c r="BD830" s="2" t="s">
        <v>10554</v>
      </c>
      <c r="BE830" s="2" t="s">
        <v>10555</v>
      </c>
      <c r="BF830" s="2" t="s">
        <v>10556</v>
      </c>
    </row>
    <row r="831" spans="1:58" ht="42.75" customHeight="1" x14ac:dyDescent="0.25">
      <c r="A831" s="8" t="s">
        <v>8</v>
      </c>
      <c r="B831" s="1" t="s">
        <v>0</v>
      </c>
      <c r="C831" s="1" t="s">
        <v>1</v>
      </c>
      <c r="D831" s="1" t="s">
        <v>10557</v>
      </c>
      <c r="E831" s="1" t="s">
        <v>10558</v>
      </c>
      <c r="F831" s="1" t="s">
        <v>10559</v>
      </c>
      <c r="H831" s="2" t="s">
        <v>8</v>
      </c>
      <c r="I831" s="2" t="s">
        <v>7</v>
      </c>
      <c r="J831" s="2" t="s">
        <v>8</v>
      </c>
      <c r="K831" s="2" t="s">
        <v>6</v>
      </c>
      <c r="L831" s="2" t="s">
        <v>9</v>
      </c>
      <c r="M831" s="1" t="s">
        <v>10547</v>
      </c>
      <c r="N831" s="1" t="s">
        <v>10560</v>
      </c>
      <c r="O831" s="2" t="s">
        <v>959</v>
      </c>
      <c r="P831" s="1" t="s">
        <v>761</v>
      </c>
      <c r="Q831" s="2" t="s">
        <v>12</v>
      </c>
      <c r="R831" s="2" t="s">
        <v>815</v>
      </c>
      <c r="T831" s="2" t="s">
        <v>14</v>
      </c>
      <c r="U831" s="3">
        <v>5</v>
      </c>
      <c r="V831" s="3">
        <v>5</v>
      </c>
      <c r="W831" s="4" t="s">
        <v>7049</v>
      </c>
      <c r="X831" s="4" t="s">
        <v>7049</v>
      </c>
      <c r="Y831" s="4" t="s">
        <v>10561</v>
      </c>
      <c r="Z831" s="4" t="s">
        <v>10561</v>
      </c>
      <c r="AA831" s="3">
        <v>361</v>
      </c>
      <c r="AB831" s="3">
        <v>296</v>
      </c>
      <c r="AC831" s="3">
        <v>769</v>
      </c>
      <c r="AD831" s="3">
        <v>2</v>
      </c>
      <c r="AE831" s="3">
        <v>6</v>
      </c>
      <c r="AF831" s="3">
        <v>14</v>
      </c>
      <c r="AG831" s="3">
        <v>37</v>
      </c>
      <c r="AH831" s="3">
        <v>6</v>
      </c>
      <c r="AI831" s="3">
        <v>16</v>
      </c>
      <c r="AJ831" s="3">
        <v>4</v>
      </c>
      <c r="AK831" s="3">
        <v>8</v>
      </c>
      <c r="AL831" s="3">
        <v>6</v>
      </c>
      <c r="AM831" s="3">
        <v>16</v>
      </c>
      <c r="AN831" s="3">
        <v>0</v>
      </c>
      <c r="AO831" s="3">
        <v>3</v>
      </c>
      <c r="AP831" s="3">
        <v>1</v>
      </c>
      <c r="AQ831" s="3">
        <v>3</v>
      </c>
      <c r="AR831" s="2" t="s">
        <v>8</v>
      </c>
      <c r="AS831" s="2" t="s">
        <v>6</v>
      </c>
      <c r="AT831" s="5" t="str">
        <f>HYPERLINK("http://catalog.hathitrust.org/Record/004930146","HathiTrust Record")</f>
        <v>HathiTrust Record</v>
      </c>
      <c r="AU831" s="5" t="str">
        <f>HYPERLINK("https://creighton-primo.hosted.exlibrisgroup.com/primo-explore/search?tab=default_tab&amp;search_scope=EVERYTHING&amp;vid=01CRU&amp;lang=en_US&amp;offset=0&amp;query=any,contains,991000432579702656","Catalog Record")</f>
        <v>Catalog Record</v>
      </c>
      <c r="AV831" s="5" t="str">
        <f>HYPERLINK("http://www.worldcat.org/oclc/55738858","WorldCat Record")</f>
        <v>WorldCat Record</v>
      </c>
      <c r="AW831" s="2" t="s">
        <v>10550</v>
      </c>
      <c r="AX831" s="2" t="s">
        <v>10562</v>
      </c>
      <c r="AY831" s="2" t="s">
        <v>10563</v>
      </c>
      <c r="AZ831" s="2" t="s">
        <v>10563</v>
      </c>
      <c r="BA831" s="2" t="s">
        <v>10564</v>
      </c>
      <c r="BB831" s="2" t="s">
        <v>21</v>
      </c>
      <c r="BD831" s="2" t="s">
        <v>10565</v>
      </c>
      <c r="BE831" s="2" t="s">
        <v>10566</v>
      </c>
      <c r="BF831" s="2" t="s">
        <v>10567</v>
      </c>
    </row>
    <row r="832" spans="1:58" ht="42.75" customHeight="1" x14ac:dyDescent="0.25">
      <c r="A832" s="8" t="s">
        <v>8</v>
      </c>
      <c r="B832" s="1" t="s">
        <v>0</v>
      </c>
      <c r="C832" s="1" t="s">
        <v>1</v>
      </c>
      <c r="D832" s="1" t="s">
        <v>10568</v>
      </c>
      <c r="E832" s="1" t="s">
        <v>10569</v>
      </c>
      <c r="F832" s="1" t="s">
        <v>10570</v>
      </c>
      <c r="H832" s="2" t="s">
        <v>8</v>
      </c>
      <c r="I832" s="2" t="s">
        <v>7</v>
      </c>
      <c r="J832" s="2" t="s">
        <v>8</v>
      </c>
      <c r="K832" s="2" t="s">
        <v>8</v>
      </c>
      <c r="L832" s="2" t="s">
        <v>9</v>
      </c>
      <c r="N832" s="1" t="s">
        <v>10571</v>
      </c>
      <c r="O832" s="2" t="s">
        <v>657</v>
      </c>
      <c r="Q832" s="2" t="s">
        <v>12</v>
      </c>
      <c r="R832" s="2" t="s">
        <v>643</v>
      </c>
      <c r="T832" s="2" t="s">
        <v>14</v>
      </c>
      <c r="U832" s="3">
        <v>2</v>
      </c>
      <c r="V832" s="3">
        <v>2</v>
      </c>
      <c r="W832" s="4" t="s">
        <v>10572</v>
      </c>
      <c r="X832" s="4" t="s">
        <v>10572</v>
      </c>
      <c r="Y832" s="4" t="s">
        <v>8507</v>
      </c>
      <c r="Z832" s="4" t="s">
        <v>8507</v>
      </c>
      <c r="AA832" s="3">
        <v>237</v>
      </c>
      <c r="AB832" s="3">
        <v>126</v>
      </c>
      <c r="AC832" s="3">
        <v>171</v>
      </c>
      <c r="AD832" s="3">
        <v>1</v>
      </c>
      <c r="AE832" s="3">
        <v>2</v>
      </c>
      <c r="AF832" s="3">
        <v>7</v>
      </c>
      <c r="AG832" s="3">
        <v>10</v>
      </c>
      <c r="AH832" s="3">
        <v>3</v>
      </c>
      <c r="AI832" s="3">
        <v>4</v>
      </c>
      <c r="AJ832" s="3">
        <v>1</v>
      </c>
      <c r="AK832" s="3">
        <v>2</v>
      </c>
      <c r="AL832" s="3">
        <v>4</v>
      </c>
      <c r="AM832" s="3">
        <v>6</v>
      </c>
      <c r="AN832" s="3">
        <v>0</v>
      </c>
      <c r="AO832" s="3">
        <v>1</v>
      </c>
      <c r="AP832" s="3">
        <v>0</v>
      </c>
      <c r="AQ832" s="3">
        <v>0</v>
      </c>
      <c r="AR832" s="2" t="s">
        <v>8</v>
      </c>
      <c r="AS832" s="2" t="s">
        <v>8</v>
      </c>
      <c r="AU832" s="5" t="str">
        <f>HYPERLINK("https://creighton-primo.hosted.exlibrisgroup.com/primo-explore/search?tab=default_tab&amp;search_scope=EVERYTHING&amp;vid=01CRU&amp;lang=en_US&amp;offset=0&amp;query=any,contains,991000358789702656","Catalog Record")</f>
        <v>Catalog Record</v>
      </c>
      <c r="AV832" s="5" t="str">
        <f>HYPERLINK("http://www.worldcat.org/oclc/46402451","WorldCat Record")</f>
        <v>WorldCat Record</v>
      </c>
      <c r="AW832" s="2" t="s">
        <v>10573</v>
      </c>
      <c r="AX832" s="2" t="s">
        <v>10574</v>
      </c>
      <c r="AY832" s="2" t="s">
        <v>10575</v>
      </c>
      <c r="AZ832" s="2" t="s">
        <v>10575</v>
      </c>
      <c r="BA832" s="2" t="s">
        <v>10576</v>
      </c>
      <c r="BB832" s="2" t="s">
        <v>21</v>
      </c>
      <c r="BD832" s="2" t="s">
        <v>10577</v>
      </c>
      <c r="BE832" s="2" t="s">
        <v>10578</v>
      </c>
      <c r="BF832" s="2" t="s">
        <v>10579</v>
      </c>
    </row>
    <row r="833" spans="1:58" ht="42.75" customHeight="1" x14ac:dyDescent="0.25">
      <c r="A833" s="8" t="s">
        <v>8</v>
      </c>
      <c r="B833" s="1" t="s">
        <v>0</v>
      </c>
      <c r="C833" s="1" t="s">
        <v>1</v>
      </c>
      <c r="D833" s="1" t="s">
        <v>10580</v>
      </c>
      <c r="E833" s="1" t="s">
        <v>10581</v>
      </c>
      <c r="F833" s="1" t="s">
        <v>10582</v>
      </c>
      <c r="G833" s="2" t="s">
        <v>25</v>
      </c>
      <c r="H833" s="2" t="s">
        <v>8</v>
      </c>
      <c r="I833" s="2" t="s">
        <v>7</v>
      </c>
      <c r="J833" s="2" t="s">
        <v>8</v>
      </c>
      <c r="K833" s="2" t="s">
        <v>8</v>
      </c>
      <c r="L833" s="2" t="s">
        <v>9</v>
      </c>
      <c r="N833" s="1" t="s">
        <v>10583</v>
      </c>
      <c r="O833" s="2" t="s">
        <v>688</v>
      </c>
      <c r="Q833" s="2" t="s">
        <v>12</v>
      </c>
      <c r="R833" s="2" t="s">
        <v>13</v>
      </c>
      <c r="S833" s="1" t="s">
        <v>10584</v>
      </c>
      <c r="T833" s="2" t="s">
        <v>14</v>
      </c>
      <c r="U833" s="3">
        <v>2</v>
      </c>
      <c r="V833" s="3">
        <v>2</v>
      </c>
      <c r="W833" s="4" t="s">
        <v>10585</v>
      </c>
      <c r="X833" s="4" t="s">
        <v>10585</v>
      </c>
      <c r="Y833" s="4" t="s">
        <v>10586</v>
      </c>
      <c r="Z833" s="4" t="s">
        <v>10586</v>
      </c>
      <c r="AA833" s="3">
        <v>54</v>
      </c>
      <c r="AB833" s="3">
        <v>51</v>
      </c>
      <c r="AC833" s="3">
        <v>51</v>
      </c>
      <c r="AD833" s="3">
        <v>1</v>
      </c>
      <c r="AE833" s="3">
        <v>1</v>
      </c>
      <c r="AF833" s="3">
        <v>2</v>
      </c>
      <c r="AG833" s="3">
        <v>2</v>
      </c>
      <c r="AH833" s="3">
        <v>2</v>
      </c>
      <c r="AI833" s="3">
        <v>2</v>
      </c>
      <c r="AJ833" s="3">
        <v>0</v>
      </c>
      <c r="AK833" s="3">
        <v>0</v>
      </c>
      <c r="AL833" s="3">
        <v>2</v>
      </c>
      <c r="AM833" s="3">
        <v>2</v>
      </c>
      <c r="AN833" s="3">
        <v>0</v>
      </c>
      <c r="AO833" s="3">
        <v>0</v>
      </c>
      <c r="AP833" s="3">
        <v>0</v>
      </c>
      <c r="AQ833" s="3">
        <v>0</v>
      </c>
      <c r="AR833" s="2" t="s">
        <v>8</v>
      </c>
      <c r="AS833" s="2" t="s">
        <v>8</v>
      </c>
      <c r="AU833" s="5" t="str">
        <f>HYPERLINK("https://creighton-primo.hosted.exlibrisgroup.com/primo-explore/search?tab=default_tab&amp;search_scope=EVERYTHING&amp;vid=01CRU&amp;lang=en_US&amp;offset=0&amp;query=any,contains,991000835249702656","Catalog Record")</f>
        <v>Catalog Record</v>
      </c>
      <c r="AV833" s="5" t="str">
        <f>HYPERLINK("http://www.worldcat.org/oclc/30992807","WorldCat Record")</f>
        <v>WorldCat Record</v>
      </c>
      <c r="AW833" s="2" t="s">
        <v>10587</v>
      </c>
      <c r="AX833" s="2" t="s">
        <v>10588</v>
      </c>
      <c r="AY833" s="2" t="s">
        <v>10589</v>
      </c>
      <c r="AZ833" s="2" t="s">
        <v>10589</v>
      </c>
      <c r="BA833" s="2" t="s">
        <v>10590</v>
      </c>
      <c r="BB833" s="2" t="s">
        <v>21</v>
      </c>
      <c r="BD833" s="2" t="s">
        <v>10591</v>
      </c>
      <c r="BE833" s="2" t="s">
        <v>10592</v>
      </c>
      <c r="BF833" s="2" t="s">
        <v>10593</v>
      </c>
    </row>
    <row r="834" spans="1:58" ht="42.75" customHeight="1" x14ac:dyDescent="0.25">
      <c r="A834" s="8" t="s">
        <v>8</v>
      </c>
      <c r="B834" s="1" t="s">
        <v>0</v>
      </c>
      <c r="C834" s="1" t="s">
        <v>1</v>
      </c>
      <c r="D834" s="1" t="s">
        <v>10594</v>
      </c>
      <c r="E834" s="1" t="s">
        <v>10595</v>
      </c>
      <c r="F834" s="1" t="s">
        <v>10596</v>
      </c>
      <c r="H834" s="2" t="s">
        <v>8</v>
      </c>
      <c r="I834" s="2" t="s">
        <v>7</v>
      </c>
      <c r="J834" s="2" t="s">
        <v>8</v>
      </c>
      <c r="K834" s="2" t="s">
        <v>8</v>
      </c>
      <c r="L834" s="2" t="s">
        <v>7</v>
      </c>
      <c r="M834" s="1" t="s">
        <v>10597</v>
      </c>
      <c r="N834" s="1" t="s">
        <v>10598</v>
      </c>
      <c r="O834" s="2" t="s">
        <v>2044</v>
      </c>
      <c r="Q834" s="2" t="s">
        <v>12</v>
      </c>
      <c r="R834" s="2" t="s">
        <v>520</v>
      </c>
      <c r="T834" s="2" t="s">
        <v>14</v>
      </c>
      <c r="U834" s="3">
        <v>2</v>
      </c>
      <c r="V834" s="3">
        <v>2</v>
      </c>
      <c r="W834" s="4" t="s">
        <v>10599</v>
      </c>
      <c r="X834" s="4" t="s">
        <v>10599</v>
      </c>
      <c r="Y834" s="4" t="s">
        <v>10600</v>
      </c>
      <c r="Z834" s="4" t="s">
        <v>10600</v>
      </c>
      <c r="AA834" s="3">
        <v>102</v>
      </c>
      <c r="AB834" s="3">
        <v>93</v>
      </c>
      <c r="AC834" s="3">
        <v>1400</v>
      </c>
      <c r="AD834" s="3">
        <v>1</v>
      </c>
      <c r="AE834" s="3">
        <v>33</v>
      </c>
      <c r="AF834" s="3">
        <v>3</v>
      </c>
      <c r="AG834" s="3">
        <v>44</v>
      </c>
      <c r="AH834" s="3">
        <v>0</v>
      </c>
      <c r="AI834" s="3">
        <v>11</v>
      </c>
      <c r="AJ834" s="3">
        <v>2</v>
      </c>
      <c r="AK834" s="3">
        <v>8</v>
      </c>
      <c r="AL834" s="3">
        <v>3</v>
      </c>
      <c r="AM834" s="3">
        <v>14</v>
      </c>
      <c r="AN834" s="3">
        <v>0</v>
      </c>
      <c r="AO834" s="3">
        <v>17</v>
      </c>
      <c r="AP834" s="3">
        <v>0</v>
      </c>
      <c r="AQ834" s="3">
        <v>1</v>
      </c>
      <c r="AR834" s="2" t="s">
        <v>8</v>
      </c>
      <c r="AS834" s="2" t="s">
        <v>6</v>
      </c>
      <c r="AT834" s="5" t="str">
        <f>HYPERLINK("http://catalog.hathitrust.org/Record/004598320","HathiTrust Record")</f>
        <v>HathiTrust Record</v>
      </c>
      <c r="AU834" s="5" t="str">
        <f>HYPERLINK("https://creighton-primo.hosted.exlibrisgroup.com/primo-explore/search?tab=default_tab&amp;search_scope=EVERYTHING&amp;vid=01CRU&amp;lang=en_US&amp;offset=0&amp;query=any,contains,991000350029702656","Catalog Record")</f>
        <v>Catalog Record</v>
      </c>
      <c r="AV834" s="5" t="str">
        <f>HYPERLINK("http://www.worldcat.org/oclc/49711637","WorldCat Record")</f>
        <v>WorldCat Record</v>
      </c>
      <c r="AW834" s="2" t="s">
        <v>10601</v>
      </c>
      <c r="AX834" s="2" t="s">
        <v>10602</v>
      </c>
      <c r="AY834" s="2" t="s">
        <v>10603</v>
      </c>
      <c r="AZ834" s="2" t="s">
        <v>10603</v>
      </c>
      <c r="BA834" s="2" t="s">
        <v>10604</v>
      </c>
      <c r="BB834" s="2" t="s">
        <v>21</v>
      </c>
      <c r="BD834" s="2" t="s">
        <v>10605</v>
      </c>
      <c r="BE834" s="2" t="s">
        <v>10606</v>
      </c>
      <c r="BF834" s="2" t="s">
        <v>10607</v>
      </c>
    </row>
    <row r="835" spans="1:58" ht="42.75" customHeight="1" x14ac:dyDescent="0.25">
      <c r="A835" s="8" t="s">
        <v>8</v>
      </c>
      <c r="B835" s="1" t="s">
        <v>0</v>
      </c>
      <c r="C835" s="1" t="s">
        <v>1</v>
      </c>
      <c r="D835" s="1" t="s">
        <v>10608</v>
      </c>
      <c r="E835" s="1" t="s">
        <v>10609</v>
      </c>
      <c r="F835" s="1" t="s">
        <v>10610</v>
      </c>
      <c r="H835" s="2" t="s">
        <v>8</v>
      </c>
      <c r="I835" s="2" t="s">
        <v>7</v>
      </c>
      <c r="J835" s="2" t="s">
        <v>8</v>
      </c>
      <c r="K835" s="2" t="s">
        <v>8</v>
      </c>
      <c r="L835" s="2" t="s">
        <v>7</v>
      </c>
      <c r="M835" s="1" t="s">
        <v>10611</v>
      </c>
      <c r="N835" s="1" t="s">
        <v>10612</v>
      </c>
      <c r="O835" s="2" t="s">
        <v>814</v>
      </c>
      <c r="Q835" s="2" t="s">
        <v>12</v>
      </c>
      <c r="R835" s="2" t="s">
        <v>1170</v>
      </c>
      <c r="T835" s="2" t="s">
        <v>14</v>
      </c>
      <c r="U835" s="3">
        <v>4</v>
      </c>
      <c r="V835" s="3">
        <v>4</v>
      </c>
      <c r="W835" s="4" t="s">
        <v>5426</v>
      </c>
      <c r="X835" s="4" t="s">
        <v>5426</v>
      </c>
      <c r="Y835" s="4" t="s">
        <v>10613</v>
      </c>
      <c r="Z835" s="4" t="s">
        <v>10613</v>
      </c>
      <c r="AA835" s="3">
        <v>179</v>
      </c>
      <c r="AB835" s="3">
        <v>132</v>
      </c>
      <c r="AC835" s="3">
        <v>923</v>
      </c>
      <c r="AD835" s="3">
        <v>1</v>
      </c>
      <c r="AE835" s="3">
        <v>14</v>
      </c>
      <c r="AF835" s="3">
        <v>3</v>
      </c>
      <c r="AG835" s="3">
        <v>31</v>
      </c>
      <c r="AH835" s="3">
        <v>1</v>
      </c>
      <c r="AI835" s="3">
        <v>8</v>
      </c>
      <c r="AJ835" s="3">
        <v>1</v>
      </c>
      <c r="AK835" s="3">
        <v>6</v>
      </c>
      <c r="AL835" s="3">
        <v>2</v>
      </c>
      <c r="AM835" s="3">
        <v>9</v>
      </c>
      <c r="AN835" s="3">
        <v>0</v>
      </c>
      <c r="AO835" s="3">
        <v>12</v>
      </c>
      <c r="AP835" s="3">
        <v>0</v>
      </c>
      <c r="AQ835" s="3">
        <v>1</v>
      </c>
      <c r="AR835" s="2" t="s">
        <v>8</v>
      </c>
      <c r="AS835" s="2" t="s">
        <v>8</v>
      </c>
      <c r="AU835" s="5" t="str">
        <f>HYPERLINK("https://creighton-primo.hosted.exlibrisgroup.com/primo-explore/search?tab=default_tab&amp;search_scope=EVERYTHING&amp;vid=01CRU&amp;lang=en_US&amp;offset=0&amp;query=any,contains,991001573999702656","Catalog Record")</f>
        <v>Catalog Record</v>
      </c>
      <c r="AV835" s="5" t="str">
        <f>HYPERLINK("http://www.worldcat.org/oclc/39289824","WorldCat Record")</f>
        <v>WorldCat Record</v>
      </c>
      <c r="AW835" s="2" t="s">
        <v>10614</v>
      </c>
      <c r="AX835" s="2" t="s">
        <v>10615</v>
      </c>
      <c r="AY835" s="2" t="s">
        <v>10616</v>
      </c>
      <c r="AZ835" s="2" t="s">
        <v>10616</v>
      </c>
      <c r="BA835" s="2" t="s">
        <v>10617</v>
      </c>
      <c r="BB835" s="2" t="s">
        <v>21</v>
      </c>
      <c r="BD835" s="2" t="s">
        <v>10618</v>
      </c>
      <c r="BE835" s="2" t="s">
        <v>10619</v>
      </c>
      <c r="BF835" s="2" t="s">
        <v>10620</v>
      </c>
    </row>
    <row r="836" spans="1:58" ht="42.75" customHeight="1" x14ac:dyDescent="0.25">
      <c r="A836" s="8" t="s">
        <v>8</v>
      </c>
      <c r="B836" s="1" t="s">
        <v>0</v>
      </c>
      <c r="C836" s="1" t="s">
        <v>1</v>
      </c>
      <c r="D836" s="1" t="s">
        <v>10621</v>
      </c>
      <c r="E836" s="1" t="s">
        <v>10622</v>
      </c>
      <c r="F836" s="1" t="s">
        <v>10623</v>
      </c>
      <c r="H836" s="2" t="s">
        <v>8</v>
      </c>
      <c r="I836" s="2" t="s">
        <v>7</v>
      </c>
      <c r="J836" s="2" t="s">
        <v>8</v>
      </c>
      <c r="K836" s="2" t="s">
        <v>8</v>
      </c>
      <c r="L836" s="2" t="s">
        <v>9</v>
      </c>
      <c r="M836" s="1" t="s">
        <v>10624</v>
      </c>
      <c r="N836" s="1" t="s">
        <v>4046</v>
      </c>
      <c r="O836" s="2" t="s">
        <v>252</v>
      </c>
      <c r="Q836" s="2" t="s">
        <v>12</v>
      </c>
      <c r="R836" s="2" t="s">
        <v>34</v>
      </c>
      <c r="S836" s="1" t="s">
        <v>4047</v>
      </c>
      <c r="T836" s="2" t="s">
        <v>14</v>
      </c>
      <c r="U836" s="3">
        <v>3</v>
      </c>
      <c r="V836" s="3">
        <v>3</v>
      </c>
      <c r="W836" s="4" t="s">
        <v>10625</v>
      </c>
      <c r="X836" s="4" t="s">
        <v>10625</v>
      </c>
      <c r="Y836" s="4" t="s">
        <v>16</v>
      </c>
      <c r="Z836" s="4" t="s">
        <v>16</v>
      </c>
      <c r="AA836" s="3">
        <v>301</v>
      </c>
      <c r="AB836" s="3">
        <v>276</v>
      </c>
      <c r="AC836" s="3">
        <v>282</v>
      </c>
      <c r="AD836" s="3">
        <v>1</v>
      </c>
      <c r="AE836" s="3">
        <v>1</v>
      </c>
      <c r="AF836" s="3">
        <v>9</v>
      </c>
      <c r="AG836" s="3">
        <v>9</v>
      </c>
      <c r="AH836" s="3">
        <v>5</v>
      </c>
      <c r="AI836" s="3">
        <v>5</v>
      </c>
      <c r="AJ836" s="3">
        <v>3</v>
      </c>
      <c r="AK836" s="3">
        <v>3</v>
      </c>
      <c r="AL836" s="3">
        <v>5</v>
      </c>
      <c r="AM836" s="3">
        <v>5</v>
      </c>
      <c r="AN836" s="3">
        <v>0</v>
      </c>
      <c r="AO836" s="3">
        <v>0</v>
      </c>
      <c r="AP836" s="3">
        <v>0</v>
      </c>
      <c r="AQ836" s="3">
        <v>0</v>
      </c>
      <c r="AR836" s="2" t="s">
        <v>8</v>
      </c>
      <c r="AS836" s="2" t="s">
        <v>6</v>
      </c>
      <c r="AT836" s="5" t="str">
        <f>HYPERLINK("http://catalog.hathitrust.org/Record/000223305","HathiTrust Record")</f>
        <v>HathiTrust Record</v>
      </c>
      <c r="AU836" s="5" t="str">
        <f>HYPERLINK("https://creighton-primo.hosted.exlibrisgroup.com/primo-explore/search?tab=default_tab&amp;search_scope=EVERYTHING&amp;vid=01CRU&amp;lang=en_US&amp;offset=0&amp;query=any,contains,991000658739702656","Catalog Record")</f>
        <v>Catalog Record</v>
      </c>
      <c r="AV836" s="5" t="str">
        <f>HYPERLINK("http://www.worldcat.org/oclc/6915052","WorldCat Record")</f>
        <v>WorldCat Record</v>
      </c>
      <c r="AW836" s="2" t="s">
        <v>10626</v>
      </c>
      <c r="AX836" s="2" t="s">
        <v>10627</v>
      </c>
      <c r="AY836" s="2" t="s">
        <v>10628</v>
      </c>
      <c r="AZ836" s="2" t="s">
        <v>10628</v>
      </c>
      <c r="BA836" s="2" t="s">
        <v>10629</v>
      </c>
      <c r="BB836" s="2" t="s">
        <v>21</v>
      </c>
      <c r="BD836" s="2" t="s">
        <v>10630</v>
      </c>
      <c r="BE836" s="2" t="s">
        <v>10631</v>
      </c>
      <c r="BF836" s="2" t="s">
        <v>10632</v>
      </c>
    </row>
    <row r="837" spans="1:58" ht="42.75" customHeight="1" x14ac:dyDescent="0.25">
      <c r="A837" s="8" t="s">
        <v>8</v>
      </c>
      <c r="B837" s="1" t="s">
        <v>0</v>
      </c>
      <c r="C837" s="1" t="s">
        <v>1</v>
      </c>
      <c r="D837" s="1" t="s">
        <v>10633</v>
      </c>
      <c r="E837" s="1" t="s">
        <v>10634</v>
      </c>
      <c r="F837" s="1" t="s">
        <v>10635</v>
      </c>
      <c r="H837" s="2" t="s">
        <v>8</v>
      </c>
      <c r="I837" s="2" t="s">
        <v>7</v>
      </c>
      <c r="J837" s="2" t="s">
        <v>8</v>
      </c>
      <c r="K837" s="2" t="s">
        <v>8</v>
      </c>
      <c r="L837" s="2" t="s">
        <v>9</v>
      </c>
      <c r="M837" s="1" t="s">
        <v>10636</v>
      </c>
      <c r="N837" s="1" t="s">
        <v>10148</v>
      </c>
      <c r="O837" s="2" t="s">
        <v>642</v>
      </c>
      <c r="Q837" s="2" t="s">
        <v>12</v>
      </c>
      <c r="R837" s="2" t="s">
        <v>1340</v>
      </c>
      <c r="T837" s="2" t="s">
        <v>14</v>
      </c>
      <c r="U837" s="3">
        <v>1</v>
      </c>
      <c r="V837" s="3">
        <v>1</v>
      </c>
      <c r="W837" s="4" t="s">
        <v>4588</v>
      </c>
      <c r="X837" s="4" t="s">
        <v>4588</v>
      </c>
      <c r="Y837" s="4" t="s">
        <v>10637</v>
      </c>
      <c r="Z837" s="4" t="s">
        <v>10637</v>
      </c>
      <c r="AA837" s="3">
        <v>156</v>
      </c>
      <c r="AB837" s="3">
        <v>124</v>
      </c>
      <c r="AC837" s="3">
        <v>124</v>
      </c>
      <c r="AD837" s="3">
        <v>2</v>
      </c>
      <c r="AE837" s="3">
        <v>2</v>
      </c>
      <c r="AF837" s="3">
        <v>7</v>
      </c>
      <c r="AG837" s="3">
        <v>7</v>
      </c>
      <c r="AH837" s="3">
        <v>1</v>
      </c>
      <c r="AI837" s="3">
        <v>1</v>
      </c>
      <c r="AJ837" s="3">
        <v>3</v>
      </c>
      <c r="AK837" s="3">
        <v>3</v>
      </c>
      <c r="AL837" s="3">
        <v>4</v>
      </c>
      <c r="AM837" s="3">
        <v>4</v>
      </c>
      <c r="AN837" s="3">
        <v>1</v>
      </c>
      <c r="AO837" s="3">
        <v>1</v>
      </c>
      <c r="AP837" s="3">
        <v>0</v>
      </c>
      <c r="AQ837" s="3">
        <v>0</v>
      </c>
      <c r="AR837" s="2" t="s">
        <v>8</v>
      </c>
      <c r="AS837" s="2" t="s">
        <v>8</v>
      </c>
      <c r="AU837" s="5" t="str">
        <f>HYPERLINK("https://creighton-primo.hosted.exlibrisgroup.com/primo-explore/search?tab=default_tab&amp;search_scope=EVERYTHING&amp;vid=01CRU&amp;lang=en_US&amp;offset=0&amp;query=any,contains,991000377099702656","Catalog Record")</f>
        <v>Catalog Record</v>
      </c>
      <c r="AV837" s="5" t="str">
        <f>HYPERLINK("http://www.worldcat.org/oclc/53926837","WorldCat Record")</f>
        <v>WorldCat Record</v>
      </c>
      <c r="AW837" s="2" t="s">
        <v>10638</v>
      </c>
      <c r="AX837" s="2" t="s">
        <v>10639</v>
      </c>
      <c r="AY837" s="2" t="s">
        <v>10640</v>
      </c>
      <c r="AZ837" s="2" t="s">
        <v>10640</v>
      </c>
      <c r="BA837" s="2" t="s">
        <v>10641</v>
      </c>
      <c r="BB837" s="2" t="s">
        <v>21</v>
      </c>
      <c r="BD837" s="2" t="s">
        <v>10642</v>
      </c>
      <c r="BE837" s="2" t="s">
        <v>10643</v>
      </c>
      <c r="BF837" s="2" t="s">
        <v>10644</v>
      </c>
    </row>
    <row r="838" spans="1:58" ht="42.75" customHeight="1" x14ac:dyDescent="0.25">
      <c r="A838" s="8" t="s">
        <v>8</v>
      </c>
      <c r="B838" s="1" t="s">
        <v>0</v>
      </c>
      <c r="C838" s="1" t="s">
        <v>1</v>
      </c>
      <c r="D838" s="1" t="s">
        <v>10645</v>
      </c>
      <c r="E838" s="1" t="s">
        <v>10646</v>
      </c>
      <c r="F838" s="1" t="s">
        <v>10647</v>
      </c>
      <c r="H838" s="2" t="s">
        <v>8</v>
      </c>
      <c r="I838" s="2" t="s">
        <v>7</v>
      </c>
      <c r="J838" s="2" t="s">
        <v>8</v>
      </c>
      <c r="K838" s="2" t="s">
        <v>8</v>
      </c>
      <c r="L838" s="2" t="s">
        <v>9</v>
      </c>
      <c r="N838" s="1" t="s">
        <v>10648</v>
      </c>
      <c r="O838" s="2" t="s">
        <v>266</v>
      </c>
      <c r="Q838" s="2" t="s">
        <v>12</v>
      </c>
      <c r="R838" s="2" t="s">
        <v>34</v>
      </c>
      <c r="T838" s="2" t="s">
        <v>14</v>
      </c>
      <c r="U838" s="3">
        <v>5</v>
      </c>
      <c r="V838" s="3">
        <v>5</v>
      </c>
      <c r="W838" s="4" t="s">
        <v>7290</v>
      </c>
      <c r="X838" s="4" t="s">
        <v>7290</v>
      </c>
      <c r="Y838" s="4" t="s">
        <v>16</v>
      </c>
      <c r="Z838" s="4" t="s">
        <v>16</v>
      </c>
      <c r="AA838" s="3">
        <v>21</v>
      </c>
      <c r="AB838" s="3">
        <v>20</v>
      </c>
      <c r="AC838" s="3">
        <v>21</v>
      </c>
      <c r="AD838" s="3">
        <v>1</v>
      </c>
      <c r="AE838" s="3">
        <v>1</v>
      </c>
      <c r="AF838" s="3">
        <v>2</v>
      </c>
      <c r="AG838" s="3">
        <v>2</v>
      </c>
      <c r="AH838" s="3">
        <v>0</v>
      </c>
      <c r="AI838" s="3">
        <v>0</v>
      </c>
      <c r="AJ838" s="3">
        <v>0</v>
      </c>
      <c r="AK838" s="3">
        <v>0</v>
      </c>
      <c r="AL838" s="3">
        <v>1</v>
      </c>
      <c r="AM838" s="3">
        <v>1</v>
      </c>
      <c r="AN838" s="3">
        <v>0</v>
      </c>
      <c r="AO838" s="3">
        <v>0</v>
      </c>
      <c r="AP838" s="3">
        <v>1</v>
      </c>
      <c r="AQ838" s="3">
        <v>1</v>
      </c>
      <c r="AR838" s="2" t="s">
        <v>8</v>
      </c>
      <c r="AS838" s="2" t="s">
        <v>8</v>
      </c>
      <c r="AU838" s="5" t="str">
        <f>HYPERLINK("https://creighton-primo.hosted.exlibrisgroup.com/primo-explore/search?tab=default_tab&amp;search_scope=EVERYTHING&amp;vid=01CRU&amp;lang=en_US&amp;offset=0&amp;query=any,contains,991000658569702656","Catalog Record")</f>
        <v>Catalog Record</v>
      </c>
      <c r="AV838" s="5" t="str">
        <f>HYPERLINK("http://www.worldcat.org/oclc/9576550","WorldCat Record")</f>
        <v>WorldCat Record</v>
      </c>
      <c r="AW838" s="2" t="s">
        <v>10649</v>
      </c>
      <c r="AX838" s="2" t="s">
        <v>10650</v>
      </c>
      <c r="AY838" s="2" t="s">
        <v>10651</v>
      </c>
      <c r="AZ838" s="2" t="s">
        <v>10651</v>
      </c>
      <c r="BA838" s="2" t="s">
        <v>10652</v>
      </c>
      <c r="BB838" s="2" t="s">
        <v>21</v>
      </c>
      <c r="BD838" s="2" t="s">
        <v>10653</v>
      </c>
      <c r="BE838" s="2" t="s">
        <v>10654</v>
      </c>
      <c r="BF838" s="2" t="s">
        <v>10655</v>
      </c>
    </row>
    <row r="839" spans="1:58" ht="42.75" customHeight="1" x14ac:dyDescent="0.25">
      <c r="A839" s="8" t="s">
        <v>8</v>
      </c>
      <c r="B839" s="1" t="s">
        <v>0</v>
      </c>
      <c r="C839" s="1" t="s">
        <v>1</v>
      </c>
      <c r="D839" s="1" t="s">
        <v>10656</v>
      </c>
      <c r="E839" s="1" t="s">
        <v>10657</v>
      </c>
      <c r="F839" s="1" t="s">
        <v>10658</v>
      </c>
      <c r="H839" s="2" t="s">
        <v>8</v>
      </c>
      <c r="I839" s="2" t="s">
        <v>7</v>
      </c>
      <c r="J839" s="2" t="s">
        <v>8</v>
      </c>
      <c r="K839" s="2" t="s">
        <v>8</v>
      </c>
      <c r="L839" s="2" t="s">
        <v>9</v>
      </c>
      <c r="M839" s="1" t="s">
        <v>10659</v>
      </c>
      <c r="N839" s="1" t="s">
        <v>10660</v>
      </c>
      <c r="O839" s="2" t="s">
        <v>688</v>
      </c>
      <c r="Q839" s="2" t="s">
        <v>12</v>
      </c>
      <c r="R839" s="2" t="s">
        <v>1170</v>
      </c>
      <c r="S839" s="1" t="s">
        <v>10661</v>
      </c>
      <c r="T839" s="2" t="s">
        <v>14</v>
      </c>
      <c r="U839" s="3">
        <v>10</v>
      </c>
      <c r="V839" s="3">
        <v>10</v>
      </c>
      <c r="W839" s="4" t="s">
        <v>10662</v>
      </c>
      <c r="X839" s="4" t="s">
        <v>10662</v>
      </c>
      <c r="Y839" s="4" t="s">
        <v>8481</v>
      </c>
      <c r="Z839" s="4" t="s">
        <v>8481</v>
      </c>
      <c r="AA839" s="3">
        <v>467</v>
      </c>
      <c r="AB839" s="3">
        <v>355</v>
      </c>
      <c r="AC839" s="3">
        <v>408</v>
      </c>
      <c r="AD839" s="3">
        <v>2</v>
      </c>
      <c r="AE839" s="3">
        <v>2</v>
      </c>
      <c r="AF839" s="3">
        <v>22</v>
      </c>
      <c r="AG839" s="3">
        <v>25</v>
      </c>
      <c r="AH839" s="3">
        <v>7</v>
      </c>
      <c r="AI839" s="3">
        <v>8</v>
      </c>
      <c r="AJ839" s="3">
        <v>4</v>
      </c>
      <c r="AK839" s="3">
        <v>6</v>
      </c>
      <c r="AL839" s="3">
        <v>16</v>
      </c>
      <c r="AM839" s="3">
        <v>16</v>
      </c>
      <c r="AN839" s="3">
        <v>1</v>
      </c>
      <c r="AO839" s="3">
        <v>1</v>
      </c>
      <c r="AP839" s="3">
        <v>0</v>
      </c>
      <c r="AQ839" s="3">
        <v>0</v>
      </c>
      <c r="AR839" s="2" t="s">
        <v>8</v>
      </c>
      <c r="AS839" s="2" t="s">
        <v>6</v>
      </c>
      <c r="AT839" s="5" t="str">
        <f>HYPERLINK("http://catalog.hathitrust.org/Record/002869041","HathiTrust Record")</f>
        <v>HathiTrust Record</v>
      </c>
      <c r="AU839" s="5" t="str">
        <f>HYPERLINK("https://creighton-primo.hosted.exlibrisgroup.com/primo-explore/search?tab=default_tab&amp;search_scope=EVERYTHING&amp;vid=01CRU&amp;lang=en_US&amp;offset=0&amp;query=any,contains,991001405229702656","Catalog Record")</f>
        <v>Catalog Record</v>
      </c>
      <c r="AV839" s="5" t="str">
        <f>HYPERLINK("http://www.worldcat.org/oclc/29704254","WorldCat Record")</f>
        <v>WorldCat Record</v>
      </c>
      <c r="AW839" s="2" t="s">
        <v>10663</v>
      </c>
      <c r="AX839" s="2" t="s">
        <v>10664</v>
      </c>
      <c r="AY839" s="2" t="s">
        <v>10665</v>
      </c>
      <c r="AZ839" s="2" t="s">
        <v>10665</v>
      </c>
      <c r="BA839" s="2" t="s">
        <v>10666</v>
      </c>
      <c r="BB839" s="2" t="s">
        <v>21</v>
      </c>
      <c r="BD839" s="2" t="s">
        <v>10667</v>
      </c>
      <c r="BE839" s="2" t="s">
        <v>10668</v>
      </c>
      <c r="BF839" s="2" t="s">
        <v>10669</v>
      </c>
    </row>
    <row r="840" spans="1:58" ht="42.75" customHeight="1" x14ac:dyDescent="0.25">
      <c r="A840" s="8" t="s">
        <v>8</v>
      </c>
      <c r="B840" s="1" t="s">
        <v>0</v>
      </c>
      <c r="C840" s="1" t="s">
        <v>1</v>
      </c>
      <c r="D840" s="1" t="s">
        <v>10670</v>
      </c>
      <c r="E840" s="1" t="s">
        <v>10671</v>
      </c>
      <c r="F840" s="1" t="s">
        <v>10672</v>
      </c>
      <c r="H840" s="2" t="s">
        <v>8</v>
      </c>
      <c r="I840" s="2" t="s">
        <v>7</v>
      </c>
      <c r="J840" s="2" t="s">
        <v>8</v>
      </c>
      <c r="K840" s="2" t="s">
        <v>6</v>
      </c>
      <c r="L840" s="2" t="s">
        <v>858</v>
      </c>
      <c r="M840" s="1" t="s">
        <v>10673</v>
      </c>
      <c r="N840" s="1" t="s">
        <v>10674</v>
      </c>
      <c r="O840" s="2" t="s">
        <v>907</v>
      </c>
      <c r="Q840" s="2" t="s">
        <v>12</v>
      </c>
      <c r="R840" s="2" t="s">
        <v>520</v>
      </c>
      <c r="T840" s="2" t="s">
        <v>14</v>
      </c>
      <c r="U840" s="3">
        <v>3</v>
      </c>
      <c r="V840" s="3">
        <v>3</v>
      </c>
      <c r="W840" s="4" t="s">
        <v>10675</v>
      </c>
      <c r="X840" s="4" t="s">
        <v>10675</v>
      </c>
      <c r="Y840" s="4" t="s">
        <v>3350</v>
      </c>
      <c r="Z840" s="4" t="s">
        <v>3350</v>
      </c>
      <c r="AA840" s="3">
        <v>124</v>
      </c>
      <c r="AB840" s="3">
        <v>110</v>
      </c>
      <c r="AC840" s="3">
        <v>1035</v>
      </c>
      <c r="AD840" s="3">
        <v>1</v>
      </c>
      <c r="AE840" s="3">
        <v>14</v>
      </c>
      <c r="AF840" s="3">
        <v>7</v>
      </c>
      <c r="AG840" s="3">
        <v>38</v>
      </c>
      <c r="AH840" s="3">
        <v>3</v>
      </c>
      <c r="AI840" s="3">
        <v>12</v>
      </c>
      <c r="AJ840" s="3">
        <v>1</v>
      </c>
      <c r="AK840" s="3">
        <v>7</v>
      </c>
      <c r="AL840" s="3">
        <v>3</v>
      </c>
      <c r="AM840" s="3">
        <v>11</v>
      </c>
      <c r="AN840" s="3">
        <v>0</v>
      </c>
      <c r="AO840" s="3">
        <v>12</v>
      </c>
      <c r="AP840" s="3">
        <v>0</v>
      </c>
      <c r="AQ840" s="3">
        <v>1</v>
      </c>
      <c r="AR840" s="2" t="s">
        <v>8</v>
      </c>
      <c r="AS840" s="2" t="s">
        <v>8</v>
      </c>
      <c r="AU840" s="5" t="str">
        <f>HYPERLINK("https://creighton-primo.hosted.exlibrisgroup.com/primo-explore/search?tab=default_tab&amp;search_scope=EVERYTHING&amp;vid=01CRU&amp;lang=en_US&amp;offset=0&amp;query=any,contains,991000324239702656","Catalog Record")</f>
        <v>Catalog Record</v>
      </c>
      <c r="AV840" s="5" t="str">
        <f>HYPERLINK("http://www.worldcat.org/oclc/43903767","WorldCat Record")</f>
        <v>WorldCat Record</v>
      </c>
      <c r="AW840" s="2" t="s">
        <v>10676</v>
      </c>
      <c r="AX840" s="2" t="s">
        <v>10677</v>
      </c>
      <c r="AY840" s="2" t="s">
        <v>10678</v>
      </c>
      <c r="AZ840" s="2" t="s">
        <v>10678</v>
      </c>
      <c r="BA840" s="2" t="s">
        <v>10679</v>
      </c>
      <c r="BB840" s="2" t="s">
        <v>21</v>
      </c>
      <c r="BD840" s="2" t="s">
        <v>10680</v>
      </c>
      <c r="BE840" s="2" t="s">
        <v>10681</v>
      </c>
      <c r="BF840" s="2" t="s">
        <v>10682</v>
      </c>
    </row>
    <row r="841" spans="1:58" ht="42.75" customHeight="1" x14ac:dyDescent="0.25">
      <c r="A841" s="8" t="s">
        <v>8</v>
      </c>
      <c r="B841" s="1" t="s">
        <v>0</v>
      </c>
      <c r="C841" s="1" t="s">
        <v>1</v>
      </c>
      <c r="D841" s="1" t="s">
        <v>10683</v>
      </c>
      <c r="E841" s="1" t="s">
        <v>10684</v>
      </c>
      <c r="F841" s="1" t="s">
        <v>10685</v>
      </c>
      <c r="H841" s="2" t="s">
        <v>8</v>
      </c>
      <c r="I841" s="2" t="s">
        <v>7</v>
      </c>
      <c r="J841" s="2" t="s">
        <v>8</v>
      </c>
      <c r="K841" s="2" t="s">
        <v>8</v>
      </c>
      <c r="L841" s="2" t="s">
        <v>9</v>
      </c>
      <c r="M841" s="1" t="s">
        <v>10686</v>
      </c>
      <c r="N841" s="1" t="s">
        <v>9520</v>
      </c>
      <c r="O841" s="2" t="s">
        <v>642</v>
      </c>
      <c r="P841" s="1" t="s">
        <v>1225</v>
      </c>
      <c r="Q841" s="2" t="s">
        <v>12</v>
      </c>
      <c r="R841" s="2" t="s">
        <v>1170</v>
      </c>
      <c r="T841" s="2" t="s">
        <v>14</v>
      </c>
      <c r="U841" s="3">
        <v>0</v>
      </c>
      <c r="V841" s="3">
        <v>0</v>
      </c>
      <c r="W841" s="4" t="s">
        <v>10687</v>
      </c>
      <c r="X841" s="4" t="s">
        <v>10687</v>
      </c>
      <c r="Y841" s="4" t="s">
        <v>3487</v>
      </c>
      <c r="Z841" s="4" t="s">
        <v>3487</v>
      </c>
      <c r="AA841" s="3">
        <v>194</v>
      </c>
      <c r="AB841" s="3">
        <v>138</v>
      </c>
      <c r="AC841" s="3">
        <v>934</v>
      </c>
      <c r="AD841" s="3">
        <v>1</v>
      </c>
      <c r="AE841" s="3">
        <v>32</v>
      </c>
      <c r="AF841" s="3">
        <v>4</v>
      </c>
      <c r="AG841" s="3">
        <v>29</v>
      </c>
      <c r="AH841" s="3">
        <v>1</v>
      </c>
      <c r="AI841" s="3">
        <v>6</v>
      </c>
      <c r="AJ841" s="3">
        <v>2</v>
      </c>
      <c r="AK841" s="3">
        <v>4</v>
      </c>
      <c r="AL841" s="3">
        <v>2</v>
      </c>
      <c r="AM841" s="3">
        <v>8</v>
      </c>
      <c r="AN841" s="3">
        <v>0</v>
      </c>
      <c r="AO841" s="3">
        <v>13</v>
      </c>
      <c r="AP841" s="3">
        <v>0</v>
      </c>
      <c r="AQ841" s="3">
        <v>0</v>
      </c>
      <c r="AR841" s="2" t="s">
        <v>8</v>
      </c>
      <c r="AS841" s="2" t="s">
        <v>8</v>
      </c>
      <c r="AU841" s="5" t="str">
        <f>HYPERLINK("https://creighton-primo.hosted.exlibrisgroup.com/primo-explore/search?tab=default_tab&amp;search_scope=EVERYTHING&amp;vid=01CRU&amp;lang=en_US&amp;offset=0&amp;query=any,contains,991000449979702656","Catalog Record")</f>
        <v>Catalog Record</v>
      </c>
      <c r="AV841" s="5" t="str">
        <f>HYPERLINK("http://www.worldcat.org/oclc/54896945","WorldCat Record")</f>
        <v>WorldCat Record</v>
      </c>
      <c r="AW841" s="2" t="s">
        <v>10688</v>
      </c>
      <c r="AX841" s="2" t="s">
        <v>10689</v>
      </c>
      <c r="AY841" s="2" t="s">
        <v>10690</v>
      </c>
      <c r="AZ841" s="2" t="s">
        <v>10690</v>
      </c>
      <c r="BA841" s="2" t="s">
        <v>10691</v>
      </c>
      <c r="BB841" s="2" t="s">
        <v>21</v>
      </c>
      <c r="BD841" s="2" t="s">
        <v>10692</v>
      </c>
      <c r="BE841" s="2" t="s">
        <v>10693</v>
      </c>
      <c r="BF841" s="2" t="s">
        <v>10694</v>
      </c>
    </row>
    <row r="842" spans="1:58" ht="42.75" customHeight="1" x14ac:dyDescent="0.25">
      <c r="A842" s="8" t="s">
        <v>8</v>
      </c>
      <c r="B842" s="1" t="s">
        <v>0</v>
      </c>
      <c r="C842" s="1" t="s">
        <v>1</v>
      </c>
      <c r="D842" s="1" t="s">
        <v>10695</v>
      </c>
      <c r="E842" s="1" t="s">
        <v>10696</v>
      </c>
      <c r="F842" s="1" t="s">
        <v>10697</v>
      </c>
      <c r="H842" s="2" t="s">
        <v>8</v>
      </c>
      <c r="I842" s="2" t="s">
        <v>7</v>
      </c>
      <c r="J842" s="2" t="s">
        <v>8</v>
      </c>
      <c r="K842" s="2" t="s">
        <v>8</v>
      </c>
      <c r="L842" s="2" t="s">
        <v>7</v>
      </c>
      <c r="N842" s="1" t="s">
        <v>10698</v>
      </c>
      <c r="O842" s="2" t="s">
        <v>657</v>
      </c>
      <c r="Q842" s="2" t="s">
        <v>12</v>
      </c>
      <c r="R842" s="2" t="s">
        <v>815</v>
      </c>
      <c r="T842" s="2" t="s">
        <v>14</v>
      </c>
      <c r="U842" s="3">
        <v>1</v>
      </c>
      <c r="V842" s="3">
        <v>1</v>
      </c>
      <c r="W842" s="4" t="s">
        <v>9713</v>
      </c>
      <c r="X842" s="4" t="s">
        <v>9713</v>
      </c>
      <c r="Y842" s="4" t="s">
        <v>196</v>
      </c>
      <c r="Z842" s="4" t="s">
        <v>196</v>
      </c>
      <c r="AA842" s="3">
        <v>471</v>
      </c>
      <c r="AB842" s="3">
        <v>401</v>
      </c>
      <c r="AC842" s="3">
        <v>1451</v>
      </c>
      <c r="AD842" s="3">
        <v>1</v>
      </c>
      <c r="AE842" s="3">
        <v>31</v>
      </c>
      <c r="AF842" s="3">
        <v>22</v>
      </c>
      <c r="AG842" s="3">
        <v>61</v>
      </c>
      <c r="AH842" s="3">
        <v>13</v>
      </c>
      <c r="AI842" s="3">
        <v>25</v>
      </c>
      <c r="AJ842" s="3">
        <v>6</v>
      </c>
      <c r="AK842" s="3">
        <v>11</v>
      </c>
      <c r="AL842" s="3">
        <v>9</v>
      </c>
      <c r="AM842" s="3">
        <v>20</v>
      </c>
      <c r="AN842" s="3">
        <v>0</v>
      </c>
      <c r="AO842" s="3">
        <v>15</v>
      </c>
      <c r="AP842" s="3">
        <v>0</v>
      </c>
      <c r="AQ842" s="3">
        <v>2</v>
      </c>
      <c r="AR842" s="2" t="s">
        <v>8</v>
      </c>
      <c r="AS842" s="2" t="s">
        <v>6</v>
      </c>
      <c r="AT842" s="5" t="str">
        <f>HYPERLINK("http://catalog.hathitrust.org/Record/003550219","HathiTrust Record")</f>
        <v>HathiTrust Record</v>
      </c>
      <c r="AU842" s="5" t="str">
        <f>HYPERLINK("https://creighton-primo.hosted.exlibrisgroup.com/primo-explore/search?tab=default_tab&amp;search_scope=EVERYTHING&amp;vid=01CRU&amp;lang=en_US&amp;offset=0&amp;query=any,contains,991000316289702656","Catalog Record")</f>
        <v>Catalog Record</v>
      </c>
      <c r="AV842" s="5" t="str">
        <f>HYPERLINK("http://www.worldcat.org/oclc/44585959","WorldCat Record")</f>
        <v>WorldCat Record</v>
      </c>
      <c r="AW842" s="2" t="s">
        <v>10699</v>
      </c>
      <c r="AX842" s="2" t="s">
        <v>10700</v>
      </c>
      <c r="AY842" s="2" t="s">
        <v>10701</v>
      </c>
      <c r="AZ842" s="2" t="s">
        <v>10701</v>
      </c>
      <c r="BA842" s="2" t="s">
        <v>10702</v>
      </c>
      <c r="BB842" s="2" t="s">
        <v>21</v>
      </c>
      <c r="BD842" s="2" t="s">
        <v>10703</v>
      </c>
      <c r="BE842" s="2" t="s">
        <v>10704</v>
      </c>
      <c r="BF842" s="2" t="s">
        <v>10705</v>
      </c>
    </row>
    <row r="843" spans="1:58" ht="42.75" customHeight="1" x14ac:dyDescent="0.25">
      <c r="A843" s="8" t="s">
        <v>8</v>
      </c>
      <c r="B843" s="1" t="s">
        <v>0</v>
      </c>
      <c r="C843" s="1" t="s">
        <v>1</v>
      </c>
      <c r="D843" s="1" t="s">
        <v>10706</v>
      </c>
      <c r="E843" s="1" t="s">
        <v>10707</v>
      </c>
      <c r="F843" s="1" t="s">
        <v>10708</v>
      </c>
      <c r="H843" s="2" t="s">
        <v>8</v>
      </c>
      <c r="I843" s="2" t="s">
        <v>7</v>
      </c>
      <c r="J843" s="2" t="s">
        <v>8</v>
      </c>
      <c r="K843" s="2" t="s">
        <v>8</v>
      </c>
      <c r="L843" s="2" t="s">
        <v>9</v>
      </c>
      <c r="M843" s="1" t="s">
        <v>10709</v>
      </c>
      <c r="N843" s="1" t="s">
        <v>4246</v>
      </c>
      <c r="O843" s="2" t="s">
        <v>814</v>
      </c>
      <c r="Q843" s="2" t="s">
        <v>12</v>
      </c>
      <c r="R843" s="2" t="s">
        <v>13</v>
      </c>
      <c r="T843" s="2" t="s">
        <v>14</v>
      </c>
      <c r="U843" s="3">
        <v>0</v>
      </c>
      <c r="V843" s="3">
        <v>0</v>
      </c>
      <c r="W843" s="4" t="s">
        <v>1643</v>
      </c>
      <c r="X843" s="4" t="s">
        <v>1643</v>
      </c>
      <c r="Y843" s="4" t="s">
        <v>1643</v>
      </c>
      <c r="Z843" s="4" t="s">
        <v>1643</v>
      </c>
      <c r="AA843" s="3">
        <v>52</v>
      </c>
      <c r="AB843" s="3">
        <v>48</v>
      </c>
      <c r="AC843" s="3">
        <v>49</v>
      </c>
      <c r="AD843" s="3">
        <v>1</v>
      </c>
      <c r="AE843" s="3">
        <v>1</v>
      </c>
      <c r="AF843" s="3">
        <v>0</v>
      </c>
      <c r="AG843" s="3">
        <v>0</v>
      </c>
      <c r="AH843" s="3">
        <v>0</v>
      </c>
      <c r="AI843" s="3">
        <v>0</v>
      </c>
      <c r="AJ843" s="3">
        <v>0</v>
      </c>
      <c r="AK843" s="3">
        <v>0</v>
      </c>
      <c r="AL843" s="3">
        <v>0</v>
      </c>
      <c r="AM843" s="3">
        <v>0</v>
      </c>
      <c r="AN843" s="3">
        <v>0</v>
      </c>
      <c r="AO843" s="3">
        <v>0</v>
      </c>
      <c r="AP843" s="3">
        <v>0</v>
      </c>
      <c r="AQ843" s="3">
        <v>0</v>
      </c>
      <c r="AR843" s="2" t="s">
        <v>8</v>
      </c>
      <c r="AS843" s="2" t="s">
        <v>6</v>
      </c>
      <c r="AT843" s="5" t="str">
        <f>HYPERLINK("http://catalog.hathitrust.org/Record/012280236","HathiTrust Record")</f>
        <v>HathiTrust Record</v>
      </c>
      <c r="AU843" s="5" t="str">
        <f>HYPERLINK("https://creighton-primo.hosted.exlibrisgroup.com/primo-explore/search?tab=default_tab&amp;search_scope=EVERYTHING&amp;vid=01CRU&amp;lang=en_US&amp;offset=0&amp;query=any,contains,991000396859702656","Catalog Record")</f>
        <v>Catalog Record</v>
      </c>
      <c r="AV843" s="5" t="str">
        <f>HYPERLINK("http://www.worldcat.org/oclc/40255982","WorldCat Record")</f>
        <v>WorldCat Record</v>
      </c>
      <c r="AW843" s="2" t="s">
        <v>10710</v>
      </c>
      <c r="AX843" s="2" t="s">
        <v>10711</v>
      </c>
      <c r="AY843" s="2" t="s">
        <v>10712</v>
      </c>
      <c r="AZ843" s="2" t="s">
        <v>10712</v>
      </c>
      <c r="BA843" s="2" t="s">
        <v>10713</v>
      </c>
      <c r="BB843" s="2" t="s">
        <v>21</v>
      </c>
      <c r="BD843" s="2" t="s">
        <v>10714</v>
      </c>
      <c r="BE843" s="2" t="s">
        <v>10715</v>
      </c>
      <c r="BF843" s="2" t="s">
        <v>10716</v>
      </c>
    </row>
    <row r="844" spans="1:58" ht="42.75" customHeight="1" x14ac:dyDescent="0.25">
      <c r="A844" s="8" t="s">
        <v>8</v>
      </c>
      <c r="B844" s="1" t="s">
        <v>0</v>
      </c>
      <c r="C844" s="1" t="s">
        <v>1</v>
      </c>
      <c r="D844" s="1" t="s">
        <v>10717</v>
      </c>
      <c r="E844" s="1" t="s">
        <v>10718</v>
      </c>
      <c r="F844" s="1" t="s">
        <v>10719</v>
      </c>
      <c r="H844" s="2" t="s">
        <v>8</v>
      </c>
      <c r="I844" s="2" t="s">
        <v>7</v>
      </c>
      <c r="J844" s="2" t="s">
        <v>8</v>
      </c>
      <c r="K844" s="2" t="s">
        <v>8</v>
      </c>
      <c r="L844" s="2" t="s">
        <v>9</v>
      </c>
      <c r="N844" s="1" t="s">
        <v>10720</v>
      </c>
      <c r="O844" s="2" t="s">
        <v>657</v>
      </c>
      <c r="Q844" s="2" t="s">
        <v>12</v>
      </c>
      <c r="R844" s="2" t="s">
        <v>520</v>
      </c>
      <c r="T844" s="2" t="s">
        <v>14</v>
      </c>
      <c r="U844" s="3">
        <v>4</v>
      </c>
      <c r="V844" s="3">
        <v>4</v>
      </c>
      <c r="W844" s="4" t="s">
        <v>7049</v>
      </c>
      <c r="X844" s="4" t="s">
        <v>7049</v>
      </c>
      <c r="Y844" s="4" t="s">
        <v>3350</v>
      </c>
      <c r="Z844" s="4" t="s">
        <v>3350</v>
      </c>
      <c r="AA844" s="3">
        <v>87</v>
      </c>
      <c r="AB844" s="3">
        <v>79</v>
      </c>
      <c r="AC844" s="3">
        <v>81</v>
      </c>
      <c r="AD844" s="3">
        <v>1</v>
      </c>
      <c r="AE844" s="3">
        <v>1</v>
      </c>
      <c r="AF844" s="3">
        <v>5</v>
      </c>
      <c r="AG844" s="3">
        <v>5</v>
      </c>
      <c r="AH844" s="3">
        <v>1</v>
      </c>
      <c r="AI844" s="3">
        <v>1</v>
      </c>
      <c r="AJ844" s="3">
        <v>2</v>
      </c>
      <c r="AK844" s="3">
        <v>2</v>
      </c>
      <c r="AL844" s="3">
        <v>3</v>
      </c>
      <c r="AM844" s="3">
        <v>3</v>
      </c>
      <c r="AN844" s="3">
        <v>0</v>
      </c>
      <c r="AO844" s="3">
        <v>0</v>
      </c>
      <c r="AP844" s="3">
        <v>0</v>
      </c>
      <c r="AQ844" s="3">
        <v>0</v>
      </c>
      <c r="AR844" s="2" t="s">
        <v>8</v>
      </c>
      <c r="AS844" s="2" t="s">
        <v>6</v>
      </c>
      <c r="AT844" s="5" t="str">
        <f>HYPERLINK("http://catalog.hathitrust.org/Record/004584434","HathiTrust Record")</f>
        <v>HathiTrust Record</v>
      </c>
      <c r="AU844" s="5" t="str">
        <f>HYPERLINK("https://creighton-primo.hosted.exlibrisgroup.com/primo-explore/search?tab=default_tab&amp;search_scope=EVERYTHING&amp;vid=01CRU&amp;lang=en_US&amp;offset=0&amp;query=any,contains,991000324169702656","Catalog Record")</f>
        <v>Catalog Record</v>
      </c>
      <c r="AV844" s="5" t="str">
        <f>HYPERLINK("http://www.worldcat.org/oclc/45879809","WorldCat Record")</f>
        <v>WorldCat Record</v>
      </c>
      <c r="AW844" s="2" t="s">
        <v>10721</v>
      </c>
      <c r="AX844" s="2" t="s">
        <v>10722</v>
      </c>
      <c r="AY844" s="2" t="s">
        <v>10723</v>
      </c>
      <c r="AZ844" s="2" t="s">
        <v>10723</v>
      </c>
      <c r="BA844" s="2" t="s">
        <v>10724</v>
      </c>
      <c r="BB844" s="2" t="s">
        <v>21</v>
      </c>
      <c r="BD844" s="2" t="s">
        <v>10725</v>
      </c>
      <c r="BE844" s="2" t="s">
        <v>10726</v>
      </c>
      <c r="BF844" s="2" t="s">
        <v>10727</v>
      </c>
    </row>
    <row r="845" spans="1:58" ht="42.75" customHeight="1" x14ac:dyDescent="0.25">
      <c r="A845" s="8" t="s">
        <v>8</v>
      </c>
      <c r="B845" s="1" t="s">
        <v>0</v>
      </c>
      <c r="C845" s="1" t="s">
        <v>1</v>
      </c>
      <c r="D845" s="1" t="s">
        <v>10728</v>
      </c>
      <c r="E845" s="1" t="s">
        <v>10729</v>
      </c>
      <c r="F845" s="1" t="s">
        <v>10730</v>
      </c>
      <c r="H845" s="2" t="s">
        <v>8</v>
      </c>
      <c r="I845" s="2" t="s">
        <v>7</v>
      </c>
      <c r="J845" s="2" t="s">
        <v>8</v>
      </c>
      <c r="K845" s="2" t="s">
        <v>8</v>
      </c>
      <c r="L845" s="2" t="s">
        <v>9</v>
      </c>
      <c r="N845" s="1" t="s">
        <v>10731</v>
      </c>
      <c r="O845" s="2" t="s">
        <v>298</v>
      </c>
      <c r="Q845" s="2" t="s">
        <v>12</v>
      </c>
      <c r="R845" s="2" t="s">
        <v>34</v>
      </c>
      <c r="T845" s="2" t="s">
        <v>14</v>
      </c>
      <c r="U845" s="3">
        <v>2</v>
      </c>
      <c r="V845" s="3">
        <v>2</v>
      </c>
      <c r="W845" s="4" t="s">
        <v>10732</v>
      </c>
      <c r="X845" s="4" t="s">
        <v>10732</v>
      </c>
      <c r="Y845" s="4" t="s">
        <v>4128</v>
      </c>
      <c r="Z845" s="4" t="s">
        <v>4128</v>
      </c>
      <c r="AA845" s="3">
        <v>354</v>
      </c>
      <c r="AB845" s="3">
        <v>313</v>
      </c>
      <c r="AC845" s="3">
        <v>314</v>
      </c>
      <c r="AD845" s="3">
        <v>4</v>
      </c>
      <c r="AE845" s="3">
        <v>4</v>
      </c>
      <c r="AF845" s="3">
        <v>28</v>
      </c>
      <c r="AG845" s="3">
        <v>28</v>
      </c>
      <c r="AH845" s="3">
        <v>4</v>
      </c>
      <c r="AI845" s="3">
        <v>4</v>
      </c>
      <c r="AJ845" s="3">
        <v>7</v>
      </c>
      <c r="AK845" s="3">
        <v>7</v>
      </c>
      <c r="AL845" s="3">
        <v>7</v>
      </c>
      <c r="AM845" s="3">
        <v>7</v>
      </c>
      <c r="AN845" s="3">
        <v>1</v>
      </c>
      <c r="AO845" s="3">
        <v>1</v>
      </c>
      <c r="AP845" s="3">
        <v>15</v>
      </c>
      <c r="AQ845" s="3">
        <v>15</v>
      </c>
      <c r="AR845" s="2" t="s">
        <v>8</v>
      </c>
      <c r="AS845" s="2" t="s">
        <v>8</v>
      </c>
      <c r="AU845" s="5" t="str">
        <f>HYPERLINK("https://creighton-primo.hosted.exlibrisgroup.com/primo-explore/search?tab=default_tab&amp;search_scope=EVERYTHING&amp;vid=01CRU&amp;lang=en_US&amp;offset=0&amp;query=any,contains,991001251109702656","Catalog Record")</f>
        <v>Catalog Record</v>
      </c>
      <c r="AV845" s="5" t="str">
        <f>HYPERLINK("http://www.worldcat.org/oclc/13796250","WorldCat Record")</f>
        <v>WorldCat Record</v>
      </c>
      <c r="AW845" s="2" t="s">
        <v>10733</v>
      </c>
      <c r="AX845" s="2" t="s">
        <v>10734</v>
      </c>
      <c r="AY845" s="2" t="s">
        <v>10735</v>
      </c>
      <c r="AZ845" s="2" t="s">
        <v>10735</v>
      </c>
      <c r="BA845" s="2" t="s">
        <v>10736</v>
      </c>
      <c r="BB845" s="2" t="s">
        <v>21</v>
      </c>
      <c r="BD845" s="2" t="s">
        <v>10737</v>
      </c>
      <c r="BE845" s="2" t="s">
        <v>10738</v>
      </c>
      <c r="BF845" s="2" t="s">
        <v>10739</v>
      </c>
    </row>
    <row r="846" spans="1:58" ht="42.75" customHeight="1" x14ac:dyDescent="0.25">
      <c r="A846" s="8" t="s">
        <v>8</v>
      </c>
      <c r="B846" s="1" t="s">
        <v>0</v>
      </c>
      <c r="C846" s="1" t="s">
        <v>1</v>
      </c>
      <c r="D846" s="1" t="s">
        <v>10740</v>
      </c>
      <c r="E846" s="1" t="s">
        <v>10741</v>
      </c>
      <c r="F846" s="1" t="s">
        <v>10742</v>
      </c>
      <c r="H846" s="2" t="s">
        <v>8</v>
      </c>
      <c r="I846" s="2" t="s">
        <v>7</v>
      </c>
      <c r="J846" s="2" t="s">
        <v>8</v>
      </c>
      <c r="K846" s="2" t="s">
        <v>6</v>
      </c>
      <c r="L846" s="2" t="s">
        <v>9</v>
      </c>
      <c r="N846" s="1" t="s">
        <v>10743</v>
      </c>
      <c r="O846" s="2" t="s">
        <v>874</v>
      </c>
      <c r="P846" s="1" t="s">
        <v>2031</v>
      </c>
      <c r="Q846" s="2" t="s">
        <v>12</v>
      </c>
      <c r="R846" s="2" t="s">
        <v>5806</v>
      </c>
      <c r="S846" s="1" t="s">
        <v>9700</v>
      </c>
      <c r="T846" s="2" t="s">
        <v>14</v>
      </c>
      <c r="U846" s="3">
        <v>11</v>
      </c>
      <c r="V846" s="3">
        <v>11</v>
      </c>
      <c r="W846" s="4" t="s">
        <v>10744</v>
      </c>
      <c r="X846" s="4" t="s">
        <v>10744</v>
      </c>
      <c r="Y846" s="4" t="s">
        <v>3742</v>
      </c>
      <c r="Z846" s="4" t="s">
        <v>3742</v>
      </c>
      <c r="AA846" s="3">
        <v>319</v>
      </c>
      <c r="AB846" s="3">
        <v>298</v>
      </c>
      <c r="AC846" s="3">
        <v>1279</v>
      </c>
      <c r="AD846" s="3">
        <v>4</v>
      </c>
      <c r="AE846" s="3">
        <v>12</v>
      </c>
      <c r="AF846" s="3">
        <v>12</v>
      </c>
      <c r="AG846" s="3">
        <v>40</v>
      </c>
      <c r="AH846" s="3">
        <v>2</v>
      </c>
      <c r="AI846" s="3">
        <v>15</v>
      </c>
      <c r="AJ846" s="3">
        <v>4</v>
      </c>
      <c r="AK846" s="3">
        <v>9</v>
      </c>
      <c r="AL846" s="3">
        <v>8</v>
      </c>
      <c r="AM846" s="3">
        <v>15</v>
      </c>
      <c r="AN846" s="3">
        <v>2</v>
      </c>
      <c r="AO846" s="3">
        <v>8</v>
      </c>
      <c r="AP846" s="3">
        <v>0</v>
      </c>
      <c r="AQ846" s="3">
        <v>1</v>
      </c>
      <c r="AR846" s="2" t="s">
        <v>8</v>
      </c>
      <c r="AS846" s="2" t="s">
        <v>6</v>
      </c>
      <c r="AT846" s="5" t="str">
        <f>HYPERLINK("http://catalog.hathitrust.org/Record/004538555","HathiTrust Record")</f>
        <v>HathiTrust Record</v>
      </c>
      <c r="AU846" s="5" t="str">
        <f>HYPERLINK("https://creighton-primo.hosted.exlibrisgroup.com/primo-explore/search?tab=default_tab&amp;search_scope=EVERYTHING&amp;vid=01CRU&amp;lang=en_US&amp;offset=0&amp;query=any,contains,991000839969702656","Catalog Record")</f>
        <v>Catalog Record</v>
      </c>
      <c r="AV846" s="5" t="str">
        <f>HYPERLINK("http://www.worldcat.org/oclc/36476977","WorldCat Record")</f>
        <v>WorldCat Record</v>
      </c>
      <c r="AW846" s="2" t="s">
        <v>10745</v>
      </c>
      <c r="AX846" s="2" t="s">
        <v>10746</v>
      </c>
      <c r="AY846" s="2" t="s">
        <v>10747</v>
      </c>
      <c r="AZ846" s="2" t="s">
        <v>10747</v>
      </c>
      <c r="BA846" s="2" t="s">
        <v>10748</v>
      </c>
      <c r="BB846" s="2" t="s">
        <v>21</v>
      </c>
      <c r="BD846" s="2" t="s">
        <v>10749</v>
      </c>
      <c r="BE846" s="2" t="s">
        <v>10750</v>
      </c>
      <c r="BF846" s="2" t="s">
        <v>10751</v>
      </c>
    </row>
    <row r="847" spans="1:58" ht="42.75" customHeight="1" x14ac:dyDescent="0.25">
      <c r="A847" s="8" t="s">
        <v>8</v>
      </c>
      <c r="B847" s="1" t="s">
        <v>0</v>
      </c>
      <c r="C847" s="1" t="s">
        <v>1</v>
      </c>
      <c r="D847" s="1" t="s">
        <v>10752</v>
      </c>
      <c r="E847" s="1" t="s">
        <v>10753</v>
      </c>
      <c r="F847" s="1" t="s">
        <v>10754</v>
      </c>
      <c r="H847" s="2" t="s">
        <v>8</v>
      </c>
      <c r="I847" s="2" t="s">
        <v>7</v>
      </c>
      <c r="J847" s="2" t="s">
        <v>8</v>
      </c>
      <c r="K847" s="2" t="s">
        <v>6</v>
      </c>
      <c r="L847" s="2" t="s">
        <v>9</v>
      </c>
      <c r="N847" s="1" t="s">
        <v>10755</v>
      </c>
      <c r="O847" s="2" t="s">
        <v>830</v>
      </c>
      <c r="P847" s="1" t="s">
        <v>2090</v>
      </c>
      <c r="Q847" s="2" t="s">
        <v>12</v>
      </c>
      <c r="R847" s="2" t="s">
        <v>1340</v>
      </c>
      <c r="T847" s="2" t="s">
        <v>14</v>
      </c>
      <c r="U847" s="3">
        <v>3</v>
      </c>
      <c r="V847" s="3">
        <v>3</v>
      </c>
      <c r="W847" s="4" t="s">
        <v>10756</v>
      </c>
      <c r="X847" s="4" t="s">
        <v>10756</v>
      </c>
      <c r="Y847" s="4" t="s">
        <v>10757</v>
      </c>
      <c r="Z847" s="4" t="s">
        <v>10757</v>
      </c>
      <c r="AA847" s="3">
        <v>396</v>
      </c>
      <c r="AB847" s="3">
        <v>354</v>
      </c>
      <c r="AC847" s="3">
        <v>1279</v>
      </c>
      <c r="AD847" s="3">
        <v>3</v>
      </c>
      <c r="AE847" s="3">
        <v>12</v>
      </c>
      <c r="AF847" s="3">
        <v>15</v>
      </c>
      <c r="AG847" s="3">
        <v>40</v>
      </c>
      <c r="AH847" s="3">
        <v>4</v>
      </c>
      <c r="AI847" s="3">
        <v>15</v>
      </c>
      <c r="AJ847" s="3">
        <v>6</v>
      </c>
      <c r="AK847" s="3">
        <v>9</v>
      </c>
      <c r="AL847" s="3">
        <v>5</v>
      </c>
      <c r="AM847" s="3">
        <v>15</v>
      </c>
      <c r="AN847" s="3">
        <v>2</v>
      </c>
      <c r="AO847" s="3">
        <v>8</v>
      </c>
      <c r="AP847" s="3">
        <v>0</v>
      </c>
      <c r="AQ847" s="3">
        <v>1</v>
      </c>
      <c r="AR847" s="2" t="s">
        <v>8</v>
      </c>
      <c r="AS847" s="2" t="s">
        <v>8</v>
      </c>
      <c r="AU847" s="5" t="str">
        <f>HYPERLINK("https://creighton-primo.hosted.exlibrisgroup.com/primo-explore/search?tab=default_tab&amp;search_scope=EVERYTHING&amp;vid=01CRU&amp;lang=en_US&amp;offset=0&amp;query=any,contains,991001721429702656","Catalog Record")</f>
        <v>Catalog Record</v>
      </c>
      <c r="AV847" s="5" t="str">
        <f>HYPERLINK("http://www.worldcat.org/oclc/51046827","WorldCat Record")</f>
        <v>WorldCat Record</v>
      </c>
      <c r="AW847" s="2" t="s">
        <v>10745</v>
      </c>
      <c r="AX847" s="2" t="s">
        <v>10758</v>
      </c>
      <c r="AY847" s="2" t="s">
        <v>10759</v>
      </c>
      <c r="AZ847" s="2" t="s">
        <v>10759</v>
      </c>
      <c r="BA847" s="2" t="s">
        <v>10760</v>
      </c>
      <c r="BB847" s="2" t="s">
        <v>21</v>
      </c>
      <c r="BD847" s="2" t="s">
        <v>10761</v>
      </c>
      <c r="BE847" s="2" t="s">
        <v>10762</v>
      </c>
      <c r="BF847" s="2" t="s">
        <v>10763</v>
      </c>
    </row>
    <row r="848" spans="1:58" ht="42.75" customHeight="1" x14ac:dyDescent="0.25">
      <c r="A848" s="8" t="s">
        <v>8</v>
      </c>
      <c r="B848" s="1" t="s">
        <v>0</v>
      </c>
      <c r="C848" s="1" t="s">
        <v>1</v>
      </c>
      <c r="D848" s="1" t="s">
        <v>10764</v>
      </c>
      <c r="E848" s="1" t="s">
        <v>10765</v>
      </c>
      <c r="F848" s="1" t="s">
        <v>10766</v>
      </c>
      <c r="H848" s="2" t="s">
        <v>8</v>
      </c>
      <c r="I848" s="2" t="s">
        <v>7</v>
      </c>
      <c r="J848" s="2" t="s">
        <v>8</v>
      </c>
      <c r="K848" s="2" t="s">
        <v>8</v>
      </c>
      <c r="L848" s="2" t="s">
        <v>9</v>
      </c>
      <c r="N848" s="1" t="s">
        <v>10110</v>
      </c>
      <c r="O848" s="2" t="s">
        <v>266</v>
      </c>
      <c r="Q848" s="2" t="s">
        <v>12</v>
      </c>
      <c r="R848" s="2" t="s">
        <v>34</v>
      </c>
      <c r="T848" s="2" t="s">
        <v>14</v>
      </c>
      <c r="U848" s="3">
        <v>1</v>
      </c>
      <c r="V848" s="3">
        <v>1</v>
      </c>
      <c r="W848" s="4" t="s">
        <v>10767</v>
      </c>
      <c r="X848" s="4" t="s">
        <v>10767</v>
      </c>
      <c r="Y848" s="4" t="s">
        <v>10768</v>
      </c>
      <c r="Z848" s="4" t="s">
        <v>10768</v>
      </c>
      <c r="AA848" s="3">
        <v>239</v>
      </c>
      <c r="AB848" s="3">
        <v>220</v>
      </c>
      <c r="AC848" s="3">
        <v>222</v>
      </c>
      <c r="AD848" s="3">
        <v>1</v>
      </c>
      <c r="AE848" s="3">
        <v>1</v>
      </c>
      <c r="AF848" s="3">
        <v>9</v>
      </c>
      <c r="AG848" s="3">
        <v>9</v>
      </c>
      <c r="AH848" s="3">
        <v>3</v>
      </c>
      <c r="AI848" s="3">
        <v>3</v>
      </c>
      <c r="AJ848" s="3">
        <v>4</v>
      </c>
      <c r="AK848" s="3">
        <v>4</v>
      </c>
      <c r="AL848" s="3">
        <v>6</v>
      </c>
      <c r="AM848" s="3">
        <v>6</v>
      </c>
      <c r="AN848" s="3">
        <v>0</v>
      </c>
      <c r="AO848" s="3">
        <v>0</v>
      </c>
      <c r="AP848" s="3">
        <v>0</v>
      </c>
      <c r="AQ848" s="3">
        <v>0</v>
      </c>
      <c r="AR848" s="2" t="s">
        <v>8</v>
      </c>
      <c r="AS848" s="2" t="s">
        <v>6</v>
      </c>
      <c r="AT848" s="5" t="str">
        <f>HYPERLINK("http://catalog.hathitrust.org/Record/000153479","HathiTrust Record")</f>
        <v>HathiTrust Record</v>
      </c>
      <c r="AU848" s="5" t="str">
        <f>HYPERLINK("https://creighton-primo.hosted.exlibrisgroup.com/primo-explore/search?tab=default_tab&amp;search_scope=EVERYTHING&amp;vid=01CRU&amp;lang=en_US&amp;offset=0&amp;query=any,contains,991000659019702656","Catalog Record")</f>
        <v>Catalog Record</v>
      </c>
      <c r="AV848" s="5" t="str">
        <f>HYPERLINK("http://www.worldcat.org/oclc/9084242","WorldCat Record")</f>
        <v>WorldCat Record</v>
      </c>
      <c r="AW848" s="2" t="s">
        <v>10769</v>
      </c>
      <c r="AX848" s="2" t="s">
        <v>10770</v>
      </c>
      <c r="AY848" s="2" t="s">
        <v>10771</v>
      </c>
      <c r="AZ848" s="2" t="s">
        <v>10771</v>
      </c>
      <c r="BA848" s="2" t="s">
        <v>10772</v>
      </c>
      <c r="BB848" s="2" t="s">
        <v>21</v>
      </c>
      <c r="BD848" s="2" t="s">
        <v>10773</v>
      </c>
      <c r="BE848" s="2" t="s">
        <v>10774</v>
      </c>
      <c r="BF848" s="2" t="s">
        <v>10775</v>
      </c>
    </row>
    <row r="849" spans="1:58" ht="42.75" customHeight="1" x14ac:dyDescent="0.25">
      <c r="A849" s="8" t="s">
        <v>8</v>
      </c>
      <c r="B849" s="1" t="s">
        <v>0</v>
      </c>
      <c r="C849" s="1" t="s">
        <v>1</v>
      </c>
      <c r="D849" s="1" t="s">
        <v>10776</v>
      </c>
      <c r="E849" s="1" t="s">
        <v>10777</v>
      </c>
      <c r="F849" s="1" t="s">
        <v>10778</v>
      </c>
      <c r="H849" s="2" t="s">
        <v>8</v>
      </c>
      <c r="I849" s="2" t="s">
        <v>7</v>
      </c>
      <c r="J849" s="2" t="s">
        <v>8</v>
      </c>
      <c r="K849" s="2" t="s">
        <v>8</v>
      </c>
      <c r="L849" s="2" t="s">
        <v>9</v>
      </c>
      <c r="M849" s="1" t="s">
        <v>10779</v>
      </c>
      <c r="N849" s="1" t="s">
        <v>10123</v>
      </c>
      <c r="O849" s="2" t="s">
        <v>731</v>
      </c>
      <c r="Q849" s="2" t="s">
        <v>12</v>
      </c>
      <c r="R849" s="2" t="s">
        <v>520</v>
      </c>
      <c r="T849" s="2" t="s">
        <v>14</v>
      </c>
      <c r="U849" s="3">
        <v>1</v>
      </c>
      <c r="V849" s="3">
        <v>1</v>
      </c>
      <c r="W849" s="4" t="s">
        <v>4588</v>
      </c>
      <c r="X849" s="4" t="s">
        <v>4588</v>
      </c>
      <c r="Y849" s="4" t="s">
        <v>1643</v>
      </c>
      <c r="Z849" s="4" t="s">
        <v>1643</v>
      </c>
      <c r="AA849" s="3">
        <v>102</v>
      </c>
      <c r="AB849" s="3">
        <v>96</v>
      </c>
      <c r="AC849" s="3">
        <v>96</v>
      </c>
      <c r="AD849" s="3">
        <v>1</v>
      </c>
      <c r="AE849" s="3">
        <v>1</v>
      </c>
      <c r="AF849" s="3">
        <v>4</v>
      </c>
      <c r="AG849" s="3">
        <v>4</v>
      </c>
      <c r="AH849" s="3">
        <v>0</v>
      </c>
      <c r="AI849" s="3">
        <v>0</v>
      </c>
      <c r="AJ849" s="3">
        <v>3</v>
      </c>
      <c r="AK849" s="3">
        <v>3</v>
      </c>
      <c r="AL849" s="3">
        <v>3</v>
      </c>
      <c r="AM849" s="3">
        <v>3</v>
      </c>
      <c r="AN849" s="3">
        <v>0</v>
      </c>
      <c r="AO849" s="3">
        <v>0</v>
      </c>
      <c r="AP849" s="3">
        <v>0</v>
      </c>
      <c r="AQ849" s="3">
        <v>0</v>
      </c>
      <c r="AR849" s="2" t="s">
        <v>8</v>
      </c>
      <c r="AS849" s="2" t="s">
        <v>8</v>
      </c>
      <c r="AU849" s="5" t="str">
        <f>HYPERLINK("https://creighton-primo.hosted.exlibrisgroup.com/primo-explore/search?tab=default_tab&amp;search_scope=EVERYTHING&amp;vid=01CRU&amp;lang=en_US&amp;offset=0&amp;query=any,contains,991000396589702656","Catalog Record")</f>
        <v>Catalog Record</v>
      </c>
      <c r="AV849" s="5" t="str">
        <f>HYPERLINK("http://www.worldcat.org/oclc/38249145","WorldCat Record")</f>
        <v>WorldCat Record</v>
      </c>
      <c r="AW849" s="2" t="s">
        <v>10780</v>
      </c>
      <c r="AX849" s="2" t="s">
        <v>10781</v>
      </c>
      <c r="AY849" s="2" t="s">
        <v>10782</v>
      </c>
      <c r="AZ849" s="2" t="s">
        <v>10782</v>
      </c>
      <c r="BA849" s="2" t="s">
        <v>10783</v>
      </c>
      <c r="BB849" s="2" t="s">
        <v>21</v>
      </c>
      <c r="BD849" s="2" t="s">
        <v>10784</v>
      </c>
      <c r="BE849" s="2" t="s">
        <v>10785</v>
      </c>
      <c r="BF849" s="2" t="s">
        <v>10786</v>
      </c>
    </row>
    <row r="850" spans="1:58" ht="42.75" customHeight="1" x14ac:dyDescent="0.25">
      <c r="A850" s="8" t="s">
        <v>8</v>
      </c>
      <c r="B850" s="1" t="s">
        <v>0</v>
      </c>
      <c r="C850" s="1" t="s">
        <v>1</v>
      </c>
      <c r="D850" s="1" t="s">
        <v>10787</v>
      </c>
      <c r="E850" s="1" t="s">
        <v>10788</v>
      </c>
      <c r="F850" s="1" t="s">
        <v>10789</v>
      </c>
      <c r="H850" s="2" t="s">
        <v>8</v>
      </c>
      <c r="I850" s="2" t="s">
        <v>7</v>
      </c>
      <c r="J850" s="2" t="s">
        <v>8</v>
      </c>
      <c r="K850" s="2" t="s">
        <v>8</v>
      </c>
      <c r="L850" s="2" t="s">
        <v>9</v>
      </c>
      <c r="N850" s="1" t="s">
        <v>10790</v>
      </c>
      <c r="O850" s="2" t="s">
        <v>2089</v>
      </c>
      <c r="Q850" s="2" t="s">
        <v>12</v>
      </c>
      <c r="R850" s="2" t="s">
        <v>933</v>
      </c>
      <c r="T850" s="2" t="s">
        <v>14</v>
      </c>
      <c r="U850" s="3">
        <v>1</v>
      </c>
      <c r="V850" s="3">
        <v>1</v>
      </c>
      <c r="W850" s="4" t="s">
        <v>10791</v>
      </c>
      <c r="X850" s="4" t="s">
        <v>10791</v>
      </c>
      <c r="Y850" s="4" t="s">
        <v>10792</v>
      </c>
      <c r="Z850" s="4" t="s">
        <v>10792</v>
      </c>
      <c r="AA850" s="3">
        <v>54</v>
      </c>
      <c r="AB850" s="3">
        <v>53</v>
      </c>
      <c r="AC850" s="3">
        <v>54</v>
      </c>
      <c r="AD850" s="3">
        <v>1</v>
      </c>
      <c r="AE850" s="3">
        <v>1</v>
      </c>
      <c r="AF850" s="3">
        <v>5</v>
      </c>
      <c r="AG850" s="3">
        <v>5</v>
      </c>
      <c r="AH850" s="3">
        <v>2</v>
      </c>
      <c r="AI850" s="3">
        <v>2</v>
      </c>
      <c r="AJ850" s="3">
        <v>2</v>
      </c>
      <c r="AK850" s="3">
        <v>2</v>
      </c>
      <c r="AL850" s="3">
        <v>4</v>
      </c>
      <c r="AM850" s="3">
        <v>4</v>
      </c>
      <c r="AN850" s="3">
        <v>0</v>
      </c>
      <c r="AO850" s="3">
        <v>0</v>
      </c>
      <c r="AP850" s="3">
        <v>0</v>
      </c>
      <c r="AQ850" s="3">
        <v>0</v>
      </c>
      <c r="AR850" s="2" t="s">
        <v>8</v>
      </c>
      <c r="AS850" s="2" t="s">
        <v>6</v>
      </c>
      <c r="AT850" s="5" t="str">
        <f>HYPERLINK("http://catalog.hathitrust.org/Record/009148594","HathiTrust Record")</f>
        <v>HathiTrust Record</v>
      </c>
      <c r="AU850" s="5" t="str">
        <f>HYPERLINK("https://creighton-primo.hosted.exlibrisgroup.com/primo-explore/search?tab=default_tab&amp;search_scope=EVERYTHING&amp;vid=01CRU&amp;lang=en_US&amp;offset=0&amp;query=any,contains,991000062259702656","Catalog Record")</f>
        <v>Catalog Record</v>
      </c>
      <c r="AV850" s="5" t="str">
        <f>HYPERLINK("http://www.worldcat.org/oclc/76942623","WorldCat Record")</f>
        <v>WorldCat Record</v>
      </c>
      <c r="AW850" s="2" t="s">
        <v>10793</v>
      </c>
      <c r="AX850" s="2" t="s">
        <v>10794</v>
      </c>
      <c r="AY850" s="2" t="s">
        <v>10795</v>
      </c>
      <c r="AZ850" s="2" t="s">
        <v>10795</v>
      </c>
      <c r="BA850" s="2" t="s">
        <v>10796</v>
      </c>
      <c r="BB850" s="2" t="s">
        <v>21</v>
      </c>
      <c r="BE850" s="2" t="s">
        <v>10797</v>
      </c>
      <c r="BF850" s="2" t="s">
        <v>10798</v>
      </c>
    </row>
    <row r="851" spans="1:58" ht="42.75" customHeight="1" x14ac:dyDescent="0.25">
      <c r="A851" s="8" t="s">
        <v>8</v>
      </c>
      <c r="B851" s="1" t="s">
        <v>0</v>
      </c>
      <c r="C851" s="1" t="s">
        <v>1</v>
      </c>
      <c r="D851" s="1" t="s">
        <v>10799</v>
      </c>
      <c r="E851" s="1" t="s">
        <v>10800</v>
      </c>
      <c r="F851" s="1" t="s">
        <v>10801</v>
      </c>
      <c r="H851" s="2" t="s">
        <v>8</v>
      </c>
      <c r="I851" s="2" t="s">
        <v>7</v>
      </c>
      <c r="J851" s="2" t="s">
        <v>8</v>
      </c>
      <c r="K851" s="2" t="s">
        <v>8</v>
      </c>
      <c r="L851" s="2" t="s">
        <v>9</v>
      </c>
      <c r="M851" s="1" t="s">
        <v>10802</v>
      </c>
      <c r="N851" s="1" t="s">
        <v>10803</v>
      </c>
      <c r="O851" s="2" t="s">
        <v>2044</v>
      </c>
      <c r="Q851" s="2" t="s">
        <v>12</v>
      </c>
      <c r="R851" s="2" t="s">
        <v>520</v>
      </c>
      <c r="T851" s="2" t="s">
        <v>14</v>
      </c>
      <c r="U851" s="3">
        <v>1</v>
      </c>
      <c r="V851" s="3">
        <v>1</v>
      </c>
      <c r="W851" s="4" t="s">
        <v>5456</v>
      </c>
      <c r="X851" s="4" t="s">
        <v>5456</v>
      </c>
      <c r="Y851" s="4" t="s">
        <v>6817</v>
      </c>
      <c r="Z851" s="4" t="s">
        <v>6817</v>
      </c>
      <c r="AA851" s="3">
        <v>133</v>
      </c>
      <c r="AB851" s="3">
        <v>124</v>
      </c>
      <c r="AC851" s="3">
        <v>653</v>
      </c>
      <c r="AD851" s="3">
        <v>1</v>
      </c>
      <c r="AE851" s="3">
        <v>25</v>
      </c>
      <c r="AF851" s="3">
        <v>7</v>
      </c>
      <c r="AG851" s="3">
        <v>24</v>
      </c>
      <c r="AH851" s="3">
        <v>3</v>
      </c>
      <c r="AI851" s="3">
        <v>7</v>
      </c>
      <c r="AJ851" s="3">
        <v>1</v>
      </c>
      <c r="AK851" s="3">
        <v>4</v>
      </c>
      <c r="AL851" s="3">
        <v>5</v>
      </c>
      <c r="AM851" s="3">
        <v>7</v>
      </c>
      <c r="AN851" s="3">
        <v>0</v>
      </c>
      <c r="AO851" s="3">
        <v>10</v>
      </c>
      <c r="AP851" s="3">
        <v>0</v>
      </c>
      <c r="AQ851" s="3">
        <v>0</v>
      </c>
      <c r="AR851" s="2" t="s">
        <v>8</v>
      </c>
      <c r="AS851" s="2" t="s">
        <v>8</v>
      </c>
      <c r="AU851" s="5" t="str">
        <f>HYPERLINK("https://creighton-primo.hosted.exlibrisgroup.com/primo-explore/search?tab=default_tab&amp;search_scope=EVERYTHING&amp;vid=01CRU&amp;lang=en_US&amp;offset=0&amp;query=any,contains,991000379449702656","Catalog Record")</f>
        <v>Catalog Record</v>
      </c>
      <c r="AV851" s="5" t="str">
        <f>HYPERLINK("http://www.worldcat.org/oclc/47177741","WorldCat Record")</f>
        <v>WorldCat Record</v>
      </c>
      <c r="AW851" s="2" t="s">
        <v>10804</v>
      </c>
      <c r="AX851" s="2" t="s">
        <v>10805</v>
      </c>
      <c r="AY851" s="2" t="s">
        <v>10806</v>
      </c>
      <c r="AZ851" s="2" t="s">
        <v>10806</v>
      </c>
      <c r="BA851" s="2" t="s">
        <v>10807</v>
      </c>
      <c r="BB851" s="2" t="s">
        <v>21</v>
      </c>
      <c r="BD851" s="2" t="s">
        <v>10808</v>
      </c>
      <c r="BE851" s="2" t="s">
        <v>10809</v>
      </c>
      <c r="BF851" s="2" t="s">
        <v>10810</v>
      </c>
    </row>
    <row r="852" spans="1:58" ht="42.75" customHeight="1" x14ac:dyDescent="0.25">
      <c r="A852" s="8" t="s">
        <v>8</v>
      </c>
      <c r="B852" s="1" t="s">
        <v>0</v>
      </c>
      <c r="C852" s="1" t="s">
        <v>1</v>
      </c>
      <c r="D852" s="1" t="s">
        <v>10811</v>
      </c>
      <c r="E852" s="1" t="s">
        <v>10812</v>
      </c>
      <c r="F852" s="1" t="s">
        <v>10813</v>
      </c>
      <c r="H852" s="2" t="s">
        <v>8</v>
      </c>
      <c r="I852" s="2" t="s">
        <v>7</v>
      </c>
      <c r="J852" s="2" t="s">
        <v>8</v>
      </c>
      <c r="K852" s="2" t="s">
        <v>8</v>
      </c>
      <c r="L852" s="2" t="s">
        <v>9</v>
      </c>
      <c r="M852" s="1" t="s">
        <v>10814</v>
      </c>
      <c r="N852" s="1" t="s">
        <v>10815</v>
      </c>
      <c r="O852" s="2" t="s">
        <v>2919</v>
      </c>
      <c r="Q852" s="2" t="s">
        <v>12</v>
      </c>
      <c r="R852" s="2" t="s">
        <v>1340</v>
      </c>
      <c r="T852" s="2" t="s">
        <v>14</v>
      </c>
      <c r="U852" s="3">
        <v>5</v>
      </c>
      <c r="V852" s="3">
        <v>5</v>
      </c>
      <c r="W852" s="4" t="s">
        <v>1694</v>
      </c>
      <c r="X852" s="4" t="s">
        <v>1694</v>
      </c>
      <c r="Y852" s="4" t="s">
        <v>16</v>
      </c>
      <c r="Z852" s="4" t="s">
        <v>16</v>
      </c>
      <c r="AA852" s="3">
        <v>164</v>
      </c>
      <c r="AB852" s="3">
        <v>134</v>
      </c>
      <c r="AC852" s="3">
        <v>136</v>
      </c>
      <c r="AD852" s="3">
        <v>2</v>
      </c>
      <c r="AE852" s="3">
        <v>2</v>
      </c>
      <c r="AF852" s="3">
        <v>5</v>
      </c>
      <c r="AG852" s="3">
        <v>5</v>
      </c>
      <c r="AH852" s="3">
        <v>0</v>
      </c>
      <c r="AI852" s="3">
        <v>0</v>
      </c>
      <c r="AJ852" s="3">
        <v>0</v>
      </c>
      <c r="AK852" s="3">
        <v>0</v>
      </c>
      <c r="AL852" s="3">
        <v>4</v>
      </c>
      <c r="AM852" s="3">
        <v>4</v>
      </c>
      <c r="AN852" s="3">
        <v>1</v>
      </c>
      <c r="AO852" s="3">
        <v>1</v>
      </c>
      <c r="AP852" s="3">
        <v>0</v>
      </c>
      <c r="AQ852" s="3">
        <v>0</v>
      </c>
      <c r="AR852" s="2" t="s">
        <v>8</v>
      </c>
      <c r="AS852" s="2" t="s">
        <v>6</v>
      </c>
      <c r="AT852" s="5" t="str">
        <f>HYPERLINK("http://catalog.hathitrust.org/Record/000020321","HathiTrust Record")</f>
        <v>HathiTrust Record</v>
      </c>
      <c r="AU852" s="5" t="str">
        <f>HYPERLINK("https://creighton-primo.hosted.exlibrisgroup.com/primo-explore/search?tab=default_tab&amp;search_scope=EVERYTHING&amp;vid=01CRU&amp;lang=en_US&amp;offset=0&amp;query=any,contains,991000659049702656","Catalog Record")</f>
        <v>Catalog Record</v>
      </c>
      <c r="AV852" s="5" t="str">
        <f>HYPERLINK("http://www.worldcat.org/oclc/1531881","WorldCat Record")</f>
        <v>WorldCat Record</v>
      </c>
      <c r="AW852" s="2" t="s">
        <v>10816</v>
      </c>
      <c r="AX852" s="2" t="s">
        <v>10817</v>
      </c>
      <c r="AY852" s="2" t="s">
        <v>10818</v>
      </c>
      <c r="AZ852" s="2" t="s">
        <v>10818</v>
      </c>
      <c r="BA852" s="2" t="s">
        <v>10819</v>
      </c>
      <c r="BB852" s="2" t="s">
        <v>21</v>
      </c>
      <c r="BD852" s="2" t="s">
        <v>10820</v>
      </c>
      <c r="BE852" s="2" t="s">
        <v>10821</v>
      </c>
      <c r="BF852" s="2" t="s">
        <v>10822</v>
      </c>
    </row>
    <row r="853" spans="1:58" ht="42.75" customHeight="1" x14ac:dyDescent="0.25">
      <c r="A853" s="8" t="s">
        <v>8</v>
      </c>
      <c r="B853" s="1" t="s">
        <v>0</v>
      </c>
      <c r="C853" s="1" t="s">
        <v>1</v>
      </c>
      <c r="D853" s="1" t="s">
        <v>10823</v>
      </c>
      <c r="E853" s="1" t="s">
        <v>10824</v>
      </c>
      <c r="F853" s="1" t="s">
        <v>10825</v>
      </c>
      <c r="H853" s="2" t="s">
        <v>8</v>
      </c>
      <c r="I853" s="2" t="s">
        <v>7</v>
      </c>
      <c r="J853" s="2" t="s">
        <v>8</v>
      </c>
      <c r="K853" s="2" t="s">
        <v>8</v>
      </c>
      <c r="L853" s="2" t="s">
        <v>9</v>
      </c>
      <c r="N853" s="1" t="s">
        <v>10826</v>
      </c>
      <c r="O853" s="2" t="s">
        <v>298</v>
      </c>
      <c r="Q853" s="2" t="s">
        <v>12</v>
      </c>
      <c r="R853" s="2" t="s">
        <v>34</v>
      </c>
      <c r="T853" s="2" t="s">
        <v>14</v>
      </c>
      <c r="U853" s="3">
        <v>7</v>
      </c>
      <c r="V853" s="3">
        <v>7</v>
      </c>
      <c r="W853" s="4" t="s">
        <v>7290</v>
      </c>
      <c r="X853" s="4" t="s">
        <v>7290</v>
      </c>
      <c r="Y853" s="4" t="s">
        <v>4154</v>
      </c>
      <c r="Z853" s="4" t="s">
        <v>4154</v>
      </c>
      <c r="AA853" s="3">
        <v>125</v>
      </c>
      <c r="AB853" s="3">
        <v>100</v>
      </c>
      <c r="AC853" s="3">
        <v>106</v>
      </c>
      <c r="AD853" s="3">
        <v>3</v>
      </c>
      <c r="AE853" s="3">
        <v>3</v>
      </c>
      <c r="AF853" s="3">
        <v>11</v>
      </c>
      <c r="AG853" s="3">
        <v>11</v>
      </c>
      <c r="AH853" s="3">
        <v>3</v>
      </c>
      <c r="AI853" s="3">
        <v>3</v>
      </c>
      <c r="AJ853" s="3">
        <v>3</v>
      </c>
      <c r="AK853" s="3">
        <v>3</v>
      </c>
      <c r="AL853" s="3">
        <v>8</v>
      </c>
      <c r="AM853" s="3">
        <v>8</v>
      </c>
      <c r="AN853" s="3">
        <v>1</v>
      </c>
      <c r="AO853" s="3">
        <v>1</v>
      </c>
      <c r="AP853" s="3">
        <v>0</v>
      </c>
      <c r="AQ853" s="3">
        <v>0</v>
      </c>
      <c r="AR853" s="2" t="s">
        <v>8</v>
      </c>
      <c r="AS853" s="2" t="s">
        <v>6</v>
      </c>
      <c r="AT853" s="5" t="str">
        <f>HYPERLINK("http://catalog.hathitrust.org/Record/007991568","HathiTrust Record")</f>
        <v>HathiTrust Record</v>
      </c>
      <c r="AU853" s="5" t="str">
        <f>HYPERLINK("https://creighton-primo.hosted.exlibrisgroup.com/primo-explore/search?tab=default_tab&amp;search_scope=EVERYTHING&amp;vid=01CRU&amp;lang=en_US&amp;offset=0&amp;query=any,contains,991001423719702656","Catalog Record")</f>
        <v>Catalog Record</v>
      </c>
      <c r="AV853" s="5" t="str">
        <f>HYPERLINK("http://www.worldcat.org/oclc/16227518","WorldCat Record")</f>
        <v>WorldCat Record</v>
      </c>
      <c r="AW853" s="2" t="s">
        <v>10827</v>
      </c>
      <c r="AX853" s="2" t="s">
        <v>10828</v>
      </c>
      <c r="AY853" s="2" t="s">
        <v>10829</v>
      </c>
      <c r="AZ853" s="2" t="s">
        <v>10829</v>
      </c>
      <c r="BA853" s="2" t="s">
        <v>10830</v>
      </c>
      <c r="BB853" s="2" t="s">
        <v>21</v>
      </c>
      <c r="BD853" s="2" t="s">
        <v>10831</v>
      </c>
      <c r="BE853" s="2" t="s">
        <v>10832</v>
      </c>
      <c r="BF853" s="2" t="s">
        <v>10833</v>
      </c>
    </row>
    <row r="854" spans="1:58" ht="42.75" customHeight="1" x14ac:dyDescent="0.25">
      <c r="A854" s="8" t="s">
        <v>8</v>
      </c>
      <c r="B854" s="1" t="s">
        <v>0</v>
      </c>
      <c r="C854" s="1" t="s">
        <v>1</v>
      </c>
      <c r="D854" s="1" t="s">
        <v>10834</v>
      </c>
      <c r="E854" s="1" t="s">
        <v>10835</v>
      </c>
      <c r="F854" s="1" t="s">
        <v>10836</v>
      </c>
      <c r="H854" s="2" t="s">
        <v>8</v>
      </c>
      <c r="I854" s="2" t="s">
        <v>7</v>
      </c>
      <c r="J854" s="2" t="s">
        <v>6</v>
      </c>
      <c r="K854" s="2" t="s">
        <v>8</v>
      </c>
      <c r="L854" s="2" t="s">
        <v>9</v>
      </c>
      <c r="N854" s="1" t="s">
        <v>10837</v>
      </c>
      <c r="O854" s="2" t="s">
        <v>642</v>
      </c>
      <c r="Q854" s="2" t="s">
        <v>12</v>
      </c>
      <c r="R854" s="2" t="s">
        <v>1211</v>
      </c>
      <c r="T854" s="2" t="s">
        <v>14</v>
      </c>
      <c r="U854" s="3">
        <v>0</v>
      </c>
      <c r="V854" s="3">
        <v>0</v>
      </c>
      <c r="W854" s="4" t="s">
        <v>10838</v>
      </c>
      <c r="X854" s="4" t="s">
        <v>10838</v>
      </c>
      <c r="Y854" s="4" t="s">
        <v>2045</v>
      </c>
      <c r="Z854" s="4" t="s">
        <v>2045</v>
      </c>
      <c r="AA854" s="3">
        <v>170</v>
      </c>
      <c r="AB854" s="3">
        <v>116</v>
      </c>
      <c r="AC854" s="3">
        <v>661</v>
      </c>
      <c r="AD854" s="3">
        <v>2</v>
      </c>
      <c r="AE854" s="3">
        <v>6</v>
      </c>
      <c r="AF854" s="3">
        <v>5</v>
      </c>
      <c r="AG854" s="3">
        <v>29</v>
      </c>
      <c r="AH854" s="3">
        <v>0</v>
      </c>
      <c r="AI854" s="3">
        <v>10</v>
      </c>
      <c r="AJ854" s="3">
        <v>3</v>
      </c>
      <c r="AK854" s="3">
        <v>9</v>
      </c>
      <c r="AL854" s="3">
        <v>4</v>
      </c>
      <c r="AM854" s="3">
        <v>11</v>
      </c>
      <c r="AN854" s="3">
        <v>0</v>
      </c>
      <c r="AO854" s="3">
        <v>4</v>
      </c>
      <c r="AP854" s="3">
        <v>0</v>
      </c>
      <c r="AQ854" s="3">
        <v>1</v>
      </c>
      <c r="AR854" s="2" t="s">
        <v>8</v>
      </c>
      <c r="AS854" s="2" t="s">
        <v>8</v>
      </c>
      <c r="AU854" s="5" t="str">
        <f>HYPERLINK("https://creighton-primo.hosted.exlibrisgroup.com/primo-explore/search?tab=default_tab&amp;search_scope=EVERYTHING&amp;vid=01CRU&amp;lang=en_US&amp;offset=0&amp;query=any,contains,991000674139702656","Catalog Record")</f>
        <v>Catalog Record</v>
      </c>
      <c r="AV854" s="5" t="str">
        <f>HYPERLINK("http://www.worldcat.org/oclc/55885446","WorldCat Record")</f>
        <v>WorldCat Record</v>
      </c>
      <c r="AW854" s="2" t="s">
        <v>10839</v>
      </c>
      <c r="AX854" s="2" t="s">
        <v>10840</v>
      </c>
      <c r="AY854" s="2" t="s">
        <v>10841</v>
      </c>
      <c r="AZ854" s="2" t="s">
        <v>10841</v>
      </c>
      <c r="BA854" s="2" t="s">
        <v>10842</v>
      </c>
      <c r="BB854" s="2" t="s">
        <v>21</v>
      </c>
      <c r="BD854" s="2" t="s">
        <v>10843</v>
      </c>
      <c r="BE854" s="2" t="s">
        <v>10844</v>
      </c>
      <c r="BF854" s="2" t="s">
        <v>10845</v>
      </c>
    </row>
    <row r="855" spans="1:58" ht="42.75" customHeight="1" x14ac:dyDescent="0.25">
      <c r="A855" s="8" t="s">
        <v>8</v>
      </c>
      <c r="B855" s="1" t="s">
        <v>0</v>
      </c>
      <c r="C855" s="1" t="s">
        <v>1</v>
      </c>
      <c r="D855" s="1" t="s">
        <v>10846</v>
      </c>
      <c r="E855" s="1" t="s">
        <v>10847</v>
      </c>
      <c r="F855" s="1" t="s">
        <v>10848</v>
      </c>
      <c r="H855" s="2" t="s">
        <v>8</v>
      </c>
      <c r="I855" s="2" t="s">
        <v>7</v>
      </c>
      <c r="J855" s="2" t="s">
        <v>8</v>
      </c>
      <c r="K855" s="2" t="s">
        <v>8</v>
      </c>
      <c r="L855" s="2" t="s">
        <v>9</v>
      </c>
      <c r="N855" s="1" t="s">
        <v>10849</v>
      </c>
      <c r="O855" s="2" t="s">
        <v>731</v>
      </c>
      <c r="Q855" s="2" t="s">
        <v>12</v>
      </c>
      <c r="R855" s="2" t="s">
        <v>456</v>
      </c>
      <c r="T855" s="2" t="s">
        <v>14</v>
      </c>
      <c r="U855" s="3">
        <v>12</v>
      </c>
      <c r="V855" s="3">
        <v>12</v>
      </c>
      <c r="W855" s="4" t="s">
        <v>10850</v>
      </c>
      <c r="X855" s="4" t="s">
        <v>10850</v>
      </c>
      <c r="Y855" s="4" t="s">
        <v>10851</v>
      </c>
      <c r="Z855" s="4" t="s">
        <v>10851</v>
      </c>
      <c r="AA855" s="3">
        <v>183</v>
      </c>
      <c r="AB855" s="3">
        <v>133</v>
      </c>
      <c r="AC855" s="3">
        <v>140</v>
      </c>
      <c r="AD855" s="3">
        <v>1</v>
      </c>
      <c r="AE855" s="3">
        <v>1</v>
      </c>
      <c r="AF855" s="3">
        <v>4</v>
      </c>
      <c r="AG855" s="3">
        <v>4</v>
      </c>
      <c r="AH855" s="3">
        <v>1</v>
      </c>
      <c r="AI855" s="3">
        <v>1</v>
      </c>
      <c r="AJ855" s="3">
        <v>2</v>
      </c>
      <c r="AK855" s="3">
        <v>2</v>
      </c>
      <c r="AL855" s="3">
        <v>2</v>
      </c>
      <c r="AM855" s="3">
        <v>2</v>
      </c>
      <c r="AN855" s="3">
        <v>0</v>
      </c>
      <c r="AO855" s="3">
        <v>0</v>
      </c>
      <c r="AP855" s="3">
        <v>0</v>
      </c>
      <c r="AQ855" s="3">
        <v>0</v>
      </c>
      <c r="AR855" s="2" t="s">
        <v>8</v>
      </c>
      <c r="AS855" s="2" t="s">
        <v>6</v>
      </c>
      <c r="AT855" s="5" t="str">
        <f>HYPERLINK("http://catalog.hathitrust.org/Record/003984124","HathiTrust Record")</f>
        <v>HathiTrust Record</v>
      </c>
      <c r="AU855" s="5" t="str">
        <f>HYPERLINK("https://creighton-primo.hosted.exlibrisgroup.com/primo-explore/search?tab=default_tab&amp;search_scope=EVERYTHING&amp;vid=01CRU&amp;lang=en_US&amp;offset=0&amp;query=any,contains,991001549019702656","Catalog Record")</f>
        <v>Catalog Record</v>
      </c>
      <c r="AV855" s="5" t="str">
        <f>HYPERLINK("http://www.worldcat.org/oclc/38562382","WorldCat Record")</f>
        <v>WorldCat Record</v>
      </c>
      <c r="AW855" s="2" t="s">
        <v>10852</v>
      </c>
      <c r="AX855" s="2" t="s">
        <v>10853</v>
      </c>
      <c r="AY855" s="2" t="s">
        <v>10854</v>
      </c>
      <c r="AZ855" s="2" t="s">
        <v>10854</v>
      </c>
      <c r="BA855" s="2" t="s">
        <v>10855</v>
      </c>
      <c r="BB855" s="2" t="s">
        <v>21</v>
      </c>
      <c r="BD855" s="2" t="s">
        <v>10856</v>
      </c>
      <c r="BE855" s="2" t="s">
        <v>10857</v>
      </c>
      <c r="BF855" s="2" t="s">
        <v>10858</v>
      </c>
    </row>
    <row r="856" spans="1:58" ht="42.75" customHeight="1" x14ac:dyDescent="0.25">
      <c r="A856" s="8" t="s">
        <v>8</v>
      </c>
      <c r="B856" s="1" t="s">
        <v>0</v>
      </c>
      <c r="C856" s="1" t="s">
        <v>1</v>
      </c>
      <c r="D856" s="1" t="s">
        <v>10859</v>
      </c>
      <c r="E856" s="1" t="s">
        <v>10860</v>
      </c>
      <c r="F856" s="1" t="s">
        <v>10861</v>
      </c>
      <c r="H856" s="2" t="s">
        <v>8</v>
      </c>
      <c r="I856" s="2" t="s">
        <v>7</v>
      </c>
      <c r="J856" s="2" t="s">
        <v>8</v>
      </c>
      <c r="K856" s="2" t="s">
        <v>6</v>
      </c>
      <c r="L856" s="2" t="s">
        <v>9</v>
      </c>
      <c r="M856" s="1" t="s">
        <v>10862</v>
      </c>
      <c r="N856" s="1" t="s">
        <v>10863</v>
      </c>
      <c r="O856" s="2" t="s">
        <v>830</v>
      </c>
      <c r="P856" s="1" t="s">
        <v>83</v>
      </c>
      <c r="Q856" s="2" t="s">
        <v>12</v>
      </c>
      <c r="R856" s="2" t="s">
        <v>1340</v>
      </c>
      <c r="T856" s="2" t="s">
        <v>14</v>
      </c>
      <c r="U856" s="3">
        <v>5</v>
      </c>
      <c r="V856" s="3">
        <v>5</v>
      </c>
      <c r="W856" s="4" t="s">
        <v>10864</v>
      </c>
      <c r="X856" s="4" t="s">
        <v>10864</v>
      </c>
      <c r="Y856" s="4" t="s">
        <v>10865</v>
      </c>
      <c r="Z856" s="4" t="s">
        <v>10865</v>
      </c>
      <c r="AA856" s="3">
        <v>164</v>
      </c>
      <c r="AB856" s="3">
        <v>111</v>
      </c>
      <c r="AC856" s="3">
        <v>640</v>
      </c>
      <c r="AD856" s="3">
        <v>1</v>
      </c>
      <c r="AE856" s="3">
        <v>4</v>
      </c>
      <c r="AF856" s="3">
        <v>4</v>
      </c>
      <c r="AG856" s="3">
        <v>18</v>
      </c>
      <c r="AH856" s="3">
        <v>1</v>
      </c>
      <c r="AI856" s="3">
        <v>10</v>
      </c>
      <c r="AJ856" s="3">
        <v>1</v>
      </c>
      <c r="AK856" s="3">
        <v>3</v>
      </c>
      <c r="AL856" s="3">
        <v>4</v>
      </c>
      <c r="AM856" s="3">
        <v>10</v>
      </c>
      <c r="AN856" s="3">
        <v>0</v>
      </c>
      <c r="AO856" s="3">
        <v>2</v>
      </c>
      <c r="AP856" s="3">
        <v>0</v>
      </c>
      <c r="AQ856" s="3">
        <v>0</v>
      </c>
      <c r="AR856" s="2" t="s">
        <v>8</v>
      </c>
      <c r="AS856" s="2" t="s">
        <v>6</v>
      </c>
      <c r="AT856" s="5" t="str">
        <f>HYPERLINK("http://catalog.hathitrust.org/Record/004296233","HathiTrust Record")</f>
        <v>HathiTrust Record</v>
      </c>
      <c r="AU856" s="5" t="str">
        <f>HYPERLINK("https://creighton-primo.hosted.exlibrisgroup.com/primo-explore/search?tab=default_tab&amp;search_scope=EVERYTHING&amp;vid=01CRU&amp;lang=en_US&amp;offset=0&amp;query=any,contains,991001343159702656","Catalog Record")</f>
        <v>Catalog Record</v>
      </c>
      <c r="AV856" s="5" t="str">
        <f>HYPERLINK("http://www.worldcat.org/oclc/48892511","WorldCat Record")</f>
        <v>WorldCat Record</v>
      </c>
      <c r="AW856" s="2" t="s">
        <v>10866</v>
      </c>
      <c r="AX856" s="2" t="s">
        <v>10867</v>
      </c>
      <c r="AY856" s="2" t="s">
        <v>10868</v>
      </c>
      <c r="AZ856" s="2" t="s">
        <v>10868</v>
      </c>
      <c r="BA856" s="2" t="s">
        <v>10869</v>
      </c>
      <c r="BB856" s="2" t="s">
        <v>21</v>
      </c>
      <c r="BD856" s="2" t="s">
        <v>10870</v>
      </c>
      <c r="BE856" s="2" t="s">
        <v>10871</v>
      </c>
      <c r="BF856" s="2" t="s">
        <v>10872</v>
      </c>
    </row>
    <row r="857" spans="1:58" ht="42.75" customHeight="1" x14ac:dyDescent="0.25">
      <c r="A857" s="8" t="s">
        <v>8</v>
      </c>
      <c r="B857" s="1" t="s">
        <v>0</v>
      </c>
      <c r="C857" s="1" t="s">
        <v>1</v>
      </c>
      <c r="D857" s="1" t="s">
        <v>10873</v>
      </c>
      <c r="E857" s="1" t="s">
        <v>10874</v>
      </c>
      <c r="F857" s="1" t="s">
        <v>10875</v>
      </c>
      <c r="H857" s="2" t="s">
        <v>8</v>
      </c>
      <c r="I857" s="2" t="s">
        <v>7</v>
      </c>
      <c r="J857" s="2" t="s">
        <v>8</v>
      </c>
      <c r="K857" s="2" t="s">
        <v>8</v>
      </c>
      <c r="L857" s="2" t="s">
        <v>9</v>
      </c>
      <c r="M857" s="1" t="s">
        <v>10876</v>
      </c>
      <c r="N857" s="1" t="s">
        <v>10877</v>
      </c>
      <c r="O857" s="2" t="s">
        <v>614</v>
      </c>
      <c r="Q857" s="2" t="s">
        <v>12</v>
      </c>
      <c r="R857" s="2" t="s">
        <v>643</v>
      </c>
      <c r="S857" s="1" t="s">
        <v>8581</v>
      </c>
      <c r="T857" s="2" t="s">
        <v>14</v>
      </c>
      <c r="U857" s="3">
        <v>5</v>
      </c>
      <c r="V857" s="3">
        <v>5</v>
      </c>
      <c r="W857" s="4" t="s">
        <v>10074</v>
      </c>
      <c r="X857" s="4" t="s">
        <v>10074</v>
      </c>
      <c r="Y857" s="4" t="s">
        <v>10465</v>
      </c>
      <c r="Z857" s="4" t="s">
        <v>10465</v>
      </c>
      <c r="AA857" s="3">
        <v>171</v>
      </c>
      <c r="AB857" s="3">
        <v>78</v>
      </c>
      <c r="AC857" s="3">
        <v>83</v>
      </c>
      <c r="AD857" s="3">
        <v>1</v>
      </c>
      <c r="AE857" s="3">
        <v>1</v>
      </c>
      <c r="AF857" s="3">
        <v>3</v>
      </c>
      <c r="AG857" s="3">
        <v>3</v>
      </c>
      <c r="AH857" s="3">
        <v>1</v>
      </c>
      <c r="AI857" s="3">
        <v>1</v>
      </c>
      <c r="AJ857" s="3">
        <v>1</v>
      </c>
      <c r="AK857" s="3">
        <v>1</v>
      </c>
      <c r="AL857" s="3">
        <v>3</v>
      </c>
      <c r="AM857" s="3">
        <v>3</v>
      </c>
      <c r="AN857" s="3">
        <v>0</v>
      </c>
      <c r="AO857" s="3">
        <v>0</v>
      </c>
      <c r="AP857" s="3">
        <v>0</v>
      </c>
      <c r="AQ857" s="3">
        <v>0</v>
      </c>
      <c r="AR857" s="2" t="s">
        <v>8</v>
      </c>
      <c r="AS857" s="2" t="s">
        <v>8</v>
      </c>
      <c r="AU857" s="5" t="str">
        <f>HYPERLINK("https://creighton-primo.hosted.exlibrisgroup.com/primo-explore/search?tab=default_tab&amp;search_scope=EVERYTHING&amp;vid=01CRU&amp;lang=en_US&amp;offset=0&amp;query=any,contains,991001431959702656","Catalog Record")</f>
        <v>Catalog Record</v>
      </c>
      <c r="AV857" s="5" t="str">
        <f>HYPERLINK("http://www.worldcat.org/oclc/25677438","WorldCat Record")</f>
        <v>WorldCat Record</v>
      </c>
      <c r="AW857" s="2" t="s">
        <v>10878</v>
      </c>
      <c r="AX857" s="2" t="s">
        <v>10879</v>
      </c>
      <c r="AY857" s="2" t="s">
        <v>10880</v>
      </c>
      <c r="AZ857" s="2" t="s">
        <v>10880</v>
      </c>
      <c r="BA857" s="2" t="s">
        <v>10881</v>
      </c>
      <c r="BB857" s="2" t="s">
        <v>21</v>
      </c>
      <c r="BD857" s="2" t="s">
        <v>10882</v>
      </c>
      <c r="BE857" s="2" t="s">
        <v>10883</v>
      </c>
      <c r="BF857" s="2" t="s">
        <v>10884</v>
      </c>
    </row>
    <row r="858" spans="1:58" ht="42.75" customHeight="1" x14ac:dyDescent="0.25">
      <c r="A858" s="8" t="s">
        <v>8</v>
      </c>
      <c r="B858" s="1" t="s">
        <v>0</v>
      </c>
      <c r="C858" s="1" t="s">
        <v>1</v>
      </c>
      <c r="D858" s="1" t="s">
        <v>10885</v>
      </c>
      <c r="E858" s="1" t="s">
        <v>10886</v>
      </c>
      <c r="F858" s="1" t="s">
        <v>10887</v>
      </c>
      <c r="H858" s="2" t="s">
        <v>8</v>
      </c>
      <c r="I858" s="2" t="s">
        <v>7</v>
      </c>
      <c r="J858" s="2" t="s">
        <v>8</v>
      </c>
      <c r="K858" s="2" t="s">
        <v>8</v>
      </c>
      <c r="L858" s="2" t="s">
        <v>9</v>
      </c>
      <c r="M858" s="1" t="s">
        <v>10888</v>
      </c>
      <c r="N858" s="1" t="s">
        <v>10889</v>
      </c>
      <c r="O858" s="2" t="s">
        <v>252</v>
      </c>
      <c r="Q858" s="2" t="s">
        <v>12</v>
      </c>
      <c r="R858" s="2" t="s">
        <v>267</v>
      </c>
      <c r="T858" s="2" t="s">
        <v>14</v>
      </c>
      <c r="U858" s="3">
        <v>6</v>
      </c>
      <c r="V858" s="3">
        <v>6</v>
      </c>
      <c r="W858" s="4" t="s">
        <v>10890</v>
      </c>
      <c r="X858" s="4" t="s">
        <v>10890</v>
      </c>
      <c r="Y858" s="4" t="s">
        <v>16</v>
      </c>
      <c r="Z858" s="4" t="s">
        <v>16</v>
      </c>
      <c r="AA858" s="3">
        <v>46</v>
      </c>
      <c r="AB858" s="3">
        <v>36</v>
      </c>
      <c r="AC858" s="3">
        <v>38</v>
      </c>
      <c r="AD858" s="3">
        <v>1</v>
      </c>
      <c r="AE858" s="3">
        <v>1</v>
      </c>
      <c r="AF858" s="3">
        <v>0</v>
      </c>
      <c r="AG858" s="3">
        <v>0</v>
      </c>
      <c r="AH858" s="3">
        <v>0</v>
      </c>
      <c r="AI858" s="3">
        <v>0</v>
      </c>
      <c r="AJ858" s="3">
        <v>0</v>
      </c>
      <c r="AK858" s="3">
        <v>0</v>
      </c>
      <c r="AL858" s="3">
        <v>0</v>
      </c>
      <c r="AM858" s="3">
        <v>0</v>
      </c>
      <c r="AN858" s="3">
        <v>0</v>
      </c>
      <c r="AO858" s="3">
        <v>0</v>
      </c>
      <c r="AP858" s="3">
        <v>0</v>
      </c>
      <c r="AQ858" s="3">
        <v>0</v>
      </c>
      <c r="AR858" s="2" t="s">
        <v>8</v>
      </c>
      <c r="AS858" s="2" t="s">
        <v>6</v>
      </c>
      <c r="AT858" s="5" t="str">
        <f>HYPERLINK("http://catalog.hathitrust.org/Record/010657296","HathiTrust Record")</f>
        <v>HathiTrust Record</v>
      </c>
      <c r="AU858" s="5" t="str">
        <f>HYPERLINK("https://creighton-primo.hosted.exlibrisgroup.com/primo-explore/search?tab=default_tab&amp;search_scope=EVERYTHING&amp;vid=01CRU&amp;lang=en_US&amp;offset=0&amp;query=any,contains,991000659089702656","Catalog Record")</f>
        <v>Catalog Record</v>
      </c>
      <c r="AV858" s="5" t="str">
        <f>HYPERLINK("http://www.worldcat.org/oclc/10724344","WorldCat Record")</f>
        <v>WorldCat Record</v>
      </c>
      <c r="AW858" s="2" t="s">
        <v>10891</v>
      </c>
      <c r="AX858" s="2" t="s">
        <v>10892</v>
      </c>
      <c r="AY858" s="2" t="s">
        <v>10893</v>
      </c>
      <c r="AZ858" s="2" t="s">
        <v>10893</v>
      </c>
      <c r="BA858" s="2" t="s">
        <v>10894</v>
      </c>
      <c r="BB858" s="2" t="s">
        <v>21</v>
      </c>
      <c r="BD858" s="2" t="s">
        <v>10895</v>
      </c>
      <c r="BE858" s="2" t="s">
        <v>10896</v>
      </c>
      <c r="BF858" s="2" t="s">
        <v>10897</v>
      </c>
    </row>
    <row r="859" spans="1:58" ht="42.75" customHeight="1" x14ac:dyDescent="0.25">
      <c r="A859" s="8" t="s">
        <v>8</v>
      </c>
      <c r="B859" s="1" t="s">
        <v>0</v>
      </c>
      <c r="C859" s="1" t="s">
        <v>1</v>
      </c>
      <c r="D859" s="1" t="s">
        <v>10898</v>
      </c>
      <c r="E859" s="1" t="s">
        <v>10899</v>
      </c>
      <c r="F859" s="1" t="s">
        <v>10900</v>
      </c>
      <c r="H859" s="2" t="s">
        <v>8</v>
      </c>
      <c r="I859" s="2" t="s">
        <v>7</v>
      </c>
      <c r="J859" s="2" t="s">
        <v>8</v>
      </c>
      <c r="K859" s="2" t="s">
        <v>6</v>
      </c>
      <c r="L859" s="2" t="s">
        <v>7</v>
      </c>
      <c r="N859" s="1" t="s">
        <v>10901</v>
      </c>
      <c r="O859" s="2" t="s">
        <v>731</v>
      </c>
      <c r="P859" s="1" t="s">
        <v>83</v>
      </c>
      <c r="Q859" s="2" t="s">
        <v>12</v>
      </c>
      <c r="R859" s="2" t="s">
        <v>520</v>
      </c>
      <c r="T859" s="2" t="s">
        <v>14</v>
      </c>
      <c r="U859" s="3">
        <v>6</v>
      </c>
      <c r="V859" s="3">
        <v>6</v>
      </c>
      <c r="W859" s="4" t="s">
        <v>9600</v>
      </c>
      <c r="X859" s="4" t="s">
        <v>9600</v>
      </c>
      <c r="Y859" s="4" t="s">
        <v>9563</v>
      </c>
      <c r="Z859" s="4" t="s">
        <v>9563</v>
      </c>
      <c r="AA859" s="3">
        <v>218</v>
      </c>
      <c r="AB859" s="3">
        <v>189</v>
      </c>
      <c r="AC859" s="3">
        <v>1500</v>
      </c>
      <c r="AD859" s="3">
        <v>1</v>
      </c>
      <c r="AE859" s="3">
        <v>36</v>
      </c>
      <c r="AF859" s="3">
        <v>10</v>
      </c>
      <c r="AG859" s="3">
        <v>49</v>
      </c>
      <c r="AH859" s="3">
        <v>2</v>
      </c>
      <c r="AI859" s="3">
        <v>15</v>
      </c>
      <c r="AJ859" s="3">
        <v>3</v>
      </c>
      <c r="AK859" s="3">
        <v>7</v>
      </c>
      <c r="AL859" s="3">
        <v>7</v>
      </c>
      <c r="AM859" s="3">
        <v>16</v>
      </c>
      <c r="AN859" s="3">
        <v>0</v>
      </c>
      <c r="AO859" s="3">
        <v>16</v>
      </c>
      <c r="AP859" s="3">
        <v>1</v>
      </c>
      <c r="AQ859" s="3">
        <v>2</v>
      </c>
      <c r="AR859" s="2" t="s">
        <v>8</v>
      </c>
      <c r="AS859" s="2" t="s">
        <v>8</v>
      </c>
      <c r="AU859" s="5" t="str">
        <f>HYPERLINK("https://creighton-primo.hosted.exlibrisgroup.com/primo-explore/search?tab=default_tab&amp;search_scope=EVERYTHING&amp;vid=01CRU&amp;lang=en_US&amp;offset=0&amp;query=any,contains,991001561319702656","Catalog Record")</f>
        <v>Catalog Record</v>
      </c>
      <c r="AV859" s="5" t="str">
        <f>HYPERLINK("http://www.worldcat.org/oclc/38386686","WorldCat Record")</f>
        <v>WorldCat Record</v>
      </c>
      <c r="AW859" s="2" t="s">
        <v>10902</v>
      </c>
      <c r="AX859" s="2" t="s">
        <v>10903</v>
      </c>
      <c r="AY859" s="2" t="s">
        <v>10904</v>
      </c>
      <c r="AZ859" s="2" t="s">
        <v>10904</v>
      </c>
      <c r="BA859" s="2" t="s">
        <v>10905</v>
      </c>
      <c r="BB859" s="2" t="s">
        <v>21</v>
      </c>
      <c r="BD859" s="2" t="s">
        <v>10906</v>
      </c>
      <c r="BE859" s="2" t="s">
        <v>10907</v>
      </c>
      <c r="BF859" s="2" t="s">
        <v>10908</v>
      </c>
    </row>
    <row r="860" spans="1:58" ht="42.75" customHeight="1" x14ac:dyDescent="0.25">
      <c r="A860" s="8" t="s">
        <v>8</v>
      </c>
      <c r="B860" s="1" t="s">
        <v>0</v>
      </c>
      <c r="C860" s="1" t="s">
        <v>1</v>
      </c>
      <c r="D860" s="1" t="s">
        <v>10909</v>
      </c>
      <c r="E860" s="1" t="s">
        <v>10910</v>
      </c>
      <c r="F860" s="1" t="s">
        <v>10911</v>
      </c>
      <c r="H860" s="2" t="s">
        <v>8</v>
      </c>
      <c r="I860" s="2" t="s">
        <v>7</v>
      </c>
      <c r="J860" s="2" t="s">
        <v>8</v>
      </c>
      <c r="K860" s="2" t="s">
        <v>8</v>
      </c>
      <c r="L860" s="2" t="s">
        <v>9</v>
      </c>
      <c r="N860" s="1" t="s">
        <v>10912</v>
      </c>
      <c r="O860" s="2" t="s">
        <v>602</v>
      </c>
      <c r="Q860" s="2" t="s">
        <v>12</v>
      </c>
      <c r="R860" s="2" t="s">
        <v>1340</v>
      </c>
      <c r="T860" s="2" t="s">
        <v>14</v>
      </c>
      <c r="U860" s="3">
        <v>7</v>
      </c>
      <c r="V860" s="3">
        <v>7</v>
      </c>
      <c r="W860" s="4" t="s">
        <v>10913</v>
      </c>
      <c r="X860" s="4" t="s">
        <v>10913</v>
      </c>
      <c r="Y860" s="4" t="s">
        <v>10914</v>
      </c>
      <c r="Z860" s="4" t="s">
        <v>10914</v>
      </c>
      <c r="AA860" s="3">
        <v>362</v>
      </c>
      <c r="AB860" s="3">
        <v>296</v>
      </c>
      <c r="AC860" s="3">
        <v>308</v>
      </c>
      <c r="AD860" s="3">
        <v>1</v>
      </c>
      <c r="AE860" s="3">
        <v>1</v>
      </c>
      <c r="AF860" s="3">
        <v>13</v>
      </c>
      <c r="AG860" s="3">
        <v>13</v>
      </c>
      <c r="AH860" s="3">
        <v>3</v>
      </c>
      <c r="AI860" s="3">
        <v>3</v>
      </c>
      <c r="AJ860" s="3">
        <v>5</v>
      </c>
      <c r="AK860" s="3">
        <v>5</v>
      </c>
      <c r="AL860" s="3">
        <v>5</v>
      </c>
      <c r="AM860" s="3">
        <v>5</v>
      </c>
      <c r="AN860" s="3">
        <v>0</v>
      </c>
      <c r="AO860" s="3">
        <v>0</v>
      </c>
      <c r="AP860" s="3">
        <v>2</v>
      </c>
      <c r="AQ860" s="3">
        <v>2</v>
      </c>
      <c r="AR860" s="2" t="s">
        <v>8</v>
      </c>
      <c r="AS860" s="2" t="s">
        <v>8</v>
      </c>
      <c r="AU860" s="5" t="str">
        <f>HYPERLINK("https://creighton-primo.hosted.exlibrisgroup.com/primo-explore/search?tab=default_tab&amp;search_scope=EVERYTHING&amp;vid=01CRU&amp;lang=en_US&amp;offset=0&amp;query=any,contains,991000940369702656","Catalog Record")</f>
        <v>Catalog Record</v>
      </c>
      <c r="AV860" s="5" t="str">
        <f>HYPERLINK("http://www.worldcat.org/oclc/21973604","WorldCat Record")</f>
        <v>WorldCat Record</v>
      </c>
      <c r="AW860" s="2" t="s">
        <v>10915</v>
      </c>
      <c r="AX860" s="2" t="s">
        <v>10916</v>
      </c>
      <c r="AY860" s="2" t="s">
        <v>10917</v>
      </c>
      <c r="AZ860" s="2" t="s">
        <v>10917</v>
      </c>
      <c r="BA860" s="2" t="s">
        <v>10918</v>
      </c>
      <c r="BB860" s="2" t="s">
        <v>21</v>
      </c>
      <c r="BD860" s="2" t="s">
        <v>10919</v>
      </c>
      <c r="BE860" s="2" t="s">
        <v>10920</v>
      </c>
      <c r="BF860" s="2" t="s">
        <v>10921</v>
      </c>
    </row>
    <row r="861" spans="1:58" ht="42.75" customHeight="1" x14ac:dyDescent="0.25">
      <c r="A861" s="8" t="s">
        <v>8</v>
      </c>
      <c r="B861" s="1" t="s">
        <v>0</v>
      </c>
      <c r="C861" s="1" t="s">
        <v>1</v>
      </c>
      <c r="D861" s="1" t="s">
        <v>10922</v>
      </c>
      <c r="E861" s="1" t="s">
        <v>10923</v>
      </c>
      <c r="F861" s="1" t="s">
        <v>10924</v>
      </c>
      <c r="H861" s="2" t="s">
        <v>8</v>
      </c>
      <c r="I861" s="2" t="s">
        <v>7</v>
      </c>
      <c r="J861" s="2" t="s">
        <v>8</v>
      </c>
      <c r="K861" s="2" t="s">
        <v>8</v>
      </c>
      <c r="L861" s="2" t="s">
        <v>9</v>
      </c>
      <c r="N861" s="1" t="s">
        <v>10925</v>
      </c>
      <c r="O861" s="2" t="s">
        <v>614</v>
      </c>
      <c r="Q861" s="2" t="s">
        <v>12</v>
      </c>
      <c r="R861" s="2" t="s">
        <v>1252</v>
      </c>
      <c r="S861" s="1" t="s">
        <v>10926</v>
      </c>
      <c r="T861" s="2" t="s">
        <v>14</v>
      </c>
      <c r="U861" s="3">
        <v>11</v>
      </c>
      <c r="V861" s="3">
        <v>11</v>
      </c>
      <c r="W861" s="4" t="s">
        <v>4588</v>
      </c>
      <c r="X861" s="4" t="s">
        <v>4588</v>
      </c>
      <c r="Y861" s="4" t="s">
        <v>10927</v>
      </c>
      <c r="Z861" s="4" t="s">
        <v>10927</v>
      </c>
      <c r="AA861" s="3">
        <v>349</v>
      </c>
      <c r="AB861" s="3">
        <v>306</v>
      </c>
      <c r="AC861" s="3">
        <v>313</v>
      </c>
      <c r="AD861" s="3">
        <v>2</v>
      </c>
      <c r="AE861" s="3">
        <v>2</v>
      </c>
      <c r="AF861" s="3">
        <v>23</v>
      </c>
      <c r="AG861" s="3">
        <v>23</v>
      </c>
      <c r="AH861" s="3">
        <v>7</v>
      </c>
      <c r="AI861" s="3">
        <v>7</v>
      </c>
      <c r="AJ861" s="3">
        <v>6</v>
      </c>
      <c r="AK861" s="3">
        <v>6</v>
      </c>
      <c r="AL861" s="3">
        <v>12</v>
      </c>
      <c r="AM861" s="3">
        <v>12</v>
      </c>
      <c r="AN861" s="3">
        <v>1</v>
      </c>
      <c r="AO861" s="3">
        <v>1</v>
      </c>
      <c r="AP861" s="3">
        <v>4</v>
      </c>
      <c r="AQ861" s="3">
        <v>4</v>
      </c>
      <c r="AR861" s="2" t="s">
        <v>8</v>
      </c>
      <c r="AS861" s="2" t="s">
        <v>6</v>
      </c>
      <c r="AT861" s="5" t="str">
        <f>HYPERLINK("http://catalog.hathitrust.org/Record/002551831","HathiTrust Record")</f>
        <v>HathiTrust Record</v>
      </c>
      <c r="AU861" s="5" t="str">
        <f>HYPERLINK("https://creighton-primo.hosted.exlibrisgroup.com/primo-explore/search?tab=default_tab&amp;search_scope=EVERYTHING&amp;vid=01CRU&amp;lang=en_US&amp;offset=0&amp;query=any,contains,991001480849702656","Catalog Record")</f>
        <v>Catalog Record</v>
      </c>
      <c r="AV861" s="5" t="str">
        <f>HYPERLINK("http://www.worldcat.org/oclc/25200488","WorldCat Record")</f>
        <v>WorldCat Record</v>
      </c>
      <c r="AW861" s="2" t="s">
        <v>10928</v>
      </c>
      <c r="AX861" s="2" t="s">
        <v>10929</v>
      </c>
      <c r="AY861" s="2" t="s">
        <v>10930</v>
      </c>
      <c r="AZ861" s="2" t="s">
        <v>10930</v>
      </c>
      <c r="BA861" s="2" t="s">
        <v>10931</v>
      </c>
      <c r="BB861" s="2" t="s">
        <v>21</v>
      </c>
      <c r="BD861" s="2" t="s">
        <v>10932</v>
      </c>
      <c r="BE861" s="2" t="s">
        <v>10933</v>
      </c>
      <c r="BF861" s="2" t="s">
        <v>10934</v>
      </c>
    </row>
    <row r="862" spans="1:58" ht="42.75" customHeight="1" x14ac:dyDescent="0.25">
      <c r="A862" s="8" t="s">
        <v>8</v>
      </c>
      <c r="B862" s="1" t="s">
        <v>0</v>
      </c>
      <c r="C862" s="1" t="s">
        <v>1</v>
      </c>
      <c r="D862" s="1" t="s">
        <v>10935</v>
      </c>
      <c r="E862" s="1" t="s">
        <v>10936</v>
      </c>
      <c r="F862" s="1" t="s">
        <v>10937</v>
      </c>
      <c r="H862" s="2" t="s">
        <v>8</v>
      </c>
      <c r="I862" s="2" t="s">
        <v>7</v>
      </c>
      <c r="J862" s="2" t="s">
        <v>8</v>
      </c>
      <c r="K862" s="2" t="s">
        <v>8</v>
      </c>
      <c r="L862" s="2" t="s">
        <v>9</v>
      </c>
      <c r="M862" s="1" t="s">
        <v>10938</v>
      </c>
      <c r="N862" s="1" t="s">
        <v>10939</v>
      </c>
      <c r="O862" s="2" t="s">
        <v>657</v>
      </c>
      <c r="Q862" s="2" t="s">
        <v>12</v>
      </c>
      <c r="R862" s="2" t="s">
        <v>643</v>
      </c>
      <c r="T862" s="2" t="s">
        <v>14</v>
      </c>
      <c r="U862" s="3">
        <v>0</v>
      </c>
      <c r="V862" s="3">
        <v>0</v>
      </c>
      <c r="W862" s="4" t="s">
        <v>10940</v>
      </c>
      <c r="X862" s="4" t="s">
        <v>10940</v>
      </c>
      <c r="Y862" s="4" t="s">
        <v>10941</v>
      </c>
      <c r="Z862" s="4" t="s">
        <v>10941</v>
      </c>
      <c r="AA862" s="3">
        <v>127</v>
      </c>
      <c r="AB862" s="3">
        <v>85</v>
      </c>
      <c r="AC862" s="3">
        <v>102</v>
      </c>
      <c r="AD862" s="3">
        <v>1</v>
      </c>
      <c r="AE862" s="3">
        <v>1</v>
      </c>
      <c r="AF862" s="3">
        <v>2</v>
      </c>
      <c r="AG862" s="3">
        <v>2</v>
      </c>
      <c r="AH862" s="3">
        <v>1</v>
      </c>
      <c r="AI862" s="3">
        <v>1</v>
      </c>
      <c r="AJ862" s="3">
        <v>1</v>
      </c>
      <c r="AK862" s="3">
        <v>1</v>
      </c>
      <c r="AL862" s="3">
        <v>0</v>
      </c>
      <c r="AM862" s="3">
        <v>0</v>
      </c>
      <c r="AN862" s="3">
        <v>0</v>
      </c>
      <c r="AO862" s="3">
        <v>0</v>
      </c>
      <c r="AP862" s="3">
        <v>0</v>
      </c>
      <c r="AQ862" s="3">
        <v>0</v>
      </c>
      <c r="AR862" s="2" t="s">
        <v>8</v>
      </c>
      <c r="AS862" s="2" t="s">
        <v>8</v>
      </c>
      <c r="AU862" s="5" t="str">
        <f>HYPERLINK("https://creighton-primo.hosted.exlibrisgroup.com/primo-explore/search?tab=default_tab&amp;search_scope=EVERYTHING&amp;vid=01CRU&amp;lang=en_US&amp;offset=0&amp;query=any,contains,991000349139702656","Catalog Record")</f>
        <v>Catalog Record</v>
      </c>
      <c r="AV862" s="5" t="str">
        <f>HYPERLINK("http://www.worldcat.org/oclc/45682563","WorldCat Record")</f>
        <v>WorldCat Record</v>
      </c>
      <c r="AW862" s="2" t="s">
        <v>10942</v>
      </c>
      <c r="AX862" s="2" t="s">
        <v>10943</v>
      </c>
      <c r="AY862" s="2" t="s">
        <v>10944</v>
      </c>
      <c r="AZ862" s="2" t="s">
        <v>10944</v>
      </c>
      <c r="BA862" s="2" t="s">
        <v>10945</v>
      </c>
      <c r="BB862" s="2" t="s">
        <v>21</v>
      </c>
      <c r="BD862" s="2" t="s">
        <v>10946</v>
      </c>
      <c r="BE862" s="2" t="s">
        <v>10947</v>
      </c>
      <c r="BF862" s="2" t="s">
        <v>10948</v>
      </c>
    </row>
    <row r="863" spans="1:58" ht="42.75" customHeight="1" x14ac:dyDescent="0.25">
      <c r="A863" s="8" t="s">
        <v>8</v>
      </c>
      <c r="B863" s="1" t="s">
        <v>0</v>
      </c>
      <c r="C863" s="1" t="s">
        <v>1</v>
      </c>
      <c r="D863" s="1" t="s">
        <v>10949</v>
      </c>
      <c r="E863" s="1" t="s">
        <v>10950</v>
      </c>
      <c r="F863" s="1" t="s">
        <v>10951</v>
      </c>
      <c r="H863" s="2" t="s">
        <v>8</v>
      </c>
      <c r="I863" s="2" t="s">
        <v>7</v>
      </c>
      <c r="J863" s="2" t="s">
        <v>8</v>
      </c>
      <c r="K863" s="2" t="s">
        <v>8</v>
      </c>
      <c r="L863" s="2" t="s">
        <v>7</v>
      </c>
      <c r="M863" s="1" t="s">
        <v>10952</v>
      </c>
      <c r="N863" s="1" t="s">
        <v>3134</v>
      </c>
      <c r="O863" s="2" t="s">
        <v>731</v>
      </c>
      <c r="P863" s="1" t="s">
        <v>732</v>
      </c>
      <c r="Q863" s="2" t="s">
        <v>12</v>
      </c>
      <c r="R863" s="2" t="s">
        <v>520</v>
      </c>
      <c r="T863" s="2" t="s">
        <v>14</v>
      </c>
      <c r="U863" s="3">
        <v>5</v>
      </c>
      <c r="V863" s="3">
        <v>5</v>
      </c>
      <c r="W863" s="4" t="s">
        <v>10953</v>
      </c>
      <c r="X863" s="4" t="s">
        <v>10953</v>
      </c>
      <c r="Y863" s="4" t="s">
        <v>8220</v>
      </c>
      <c r="Z863" s="4" t="s">
        <v>8220</v>
      </c>
      <c r="AA863" s="3">
        <v>111</v>
      </c>
      <c r="AB863" s="3">
        <v>97</v>
      </c>
      <c r="AC863" s="3">
        <v>1081</v>
      </c>
      <c r="AD863" s="3">
        <v>1</v>
      </c>
      <c r="AE863" s="3">
        <v>28</v>
      </c>
      <c r="AF863" s="3">
        <v>7</v>
      </c>
      <c r="AG863" s="3">
        <v>34</v>
      </c>
      <c r="AH863" s="3">
        <v>2</v>
      </c>
      <c r="AI863" s="3">
        <v>11</v>
      </c>
      <c r="AJ863" s="3">
        <v>3</v>
      </c>
      <c r="AK863" s="3">
        <v>5</v>
      </c>
      <c r="AL863" s="3">
        <v>5</v>
      </c>
      <c r="AM863" s="3">
        <v>10</v>
      </c>
      <c r="AN863" s="3">
        <v>0</v>
      </c>
      <c r="AO863" s="3">
        <v>13</v>
      </c>
      <c r="AP863" s="3">
        <v>0</v>
      </c>
      <c r="AQ863" s="3">
        <v>0</v>
      </c>
      <c r="AR863" s="2" t="s">
        <v>8</v>
      </c>
      <c r="AS863" s="2" t="s">
        <v>6</v>
      </c>
      <c r="AT863" s="5" t="str">
        <f>HYPERLINK("http://catalog.hathitrust.org/Record/004134802","HathiTrust Record")</f>
        <v>HathiTrust Record</v>
      </c>
      <c r="AU863" s="5" t="str">
        <f>HYPERLINK("https://creighton-primo.hosted.exlibrisgroup.com/primo-explore/search?tab=default_tab&amp;search_scope=EVERYTHING&amp;vid=01CRU&amp;lang=en_US&amp;offset=0&amp;query=any,contains,991000794909702656","Catalog Record")</f>
        <v>Catalog Record</v>
      </c>
      <c r="AV863" s="5" t="str">
        <f>HYPERLINK("http://www.worldcat.org/oclc/39069333","WorldCat Record")</f>
        <v>WorldCat Record</v>
      </c>
      <c r="AW863" s="2" t="s">
        <v>10954</v>
      </c>
      <c r="AX863" s="2" t="s">
        <v>10955</v>
      </c>
      <c r="AY863" s="2" t="s">
        <v>10956</v>
      </c>
      <c r="AZ863" s="2" t="s">
        <v>10956</v>
      </c>
      <c r="BA863" s="2" t="s">
        <v>10957</v>
      </c>
      <c r="BB863" s="2" t="s">
        <v>21</v>
      </c>
      <c r="BD863" s="2" t="s">
        <v>10958</v>
      </c>
      <c r="BE863" s="2" t="s">
        <v>10959</v>
      </c>
      <c r="BF863" s="2" t="s">
        <v>10960</v>
      </c>
    </row>
    <row r="864" spans="1:58" ht="42.75" customHeight="1" x14ac:dyDescent="0.25">
      <c r="A864" s="8" t="s">
        <v>8</v>
      </c>
      <c r="B864" s="1" t="s">
        <v>0</v>
      </c>
      <c r="C864" s="1" t="s">
        <v>1</v>
      </c>
      <c r="D864" s="1" t="s">
        <v>10961</v>
      </c>
      <c r="E864" s="1" t="s">
        <v>10962</v>
      </c>
      <c r="F864" s="1" t="s">
        <v>10963</v>
      </c>
      <c r="H864" s="2" t="s">
        <v>8</v>
      </c>
      <c r="I864" s="2" t="s">
        <v>7</v>
      </c>
      <c r="J864" s="2" t="s">
        <v>8</v>
      </c>
      <c r="K864" s="2" t="s">
        <v>8</v>
      </c>
      <c r="L864" s="2" t="s">
        <v>9</v>
      </c>
      <c r="M864" s="1" t="s">
        <v>3307</v>
      </c>
      <c r="N864" s="1" t="s">
        <v>10964</v>
      </c>
      <c r="O864" s="2" t="s">
        <v>410</v>
      </c>
      <c r="Q864" s="2" t="s">
        <v>12</v>
      </c>
      <c r="R864" s="2" t="s">
        <v>590</v>
      </c>
      <c r="S864" s="1" t="s">
        <v>10965</v>
      </c>
      <c r="T864" s="2" t="s">
        <v>14</v>
      </c>
      <c r="U864" s="3">
        <v>3</v>
      </c>
      <c r="V864" s="3">
        <v>3</v>
      </c>
      <c r="W864" s="4" t="s">
        <v>10966</v>
      </c>
      <c r="X864" s="4" t="s">
        <v>10966</v>
      </c>
      <c r="Y864" s="4" t="s">
        <v>4520</v>
      </c>
      <c r="Z864" s="4" t="s">
        <v>4520</v>
      </c>
      <c r="AA864" s="3">
        <v>98</v>
      </c>
      <c r="AB864" s="3">
        <v>98</v>
      </c>
      <c r="AC864" s="3">
        <v>103</v>
      </c>
      <c r="AD864" s="3">
        <v>1</v>
      </c>
      <c r="AE864" s="3">
        <v>1</v>
      </c>
      <c r="AF864" s="3">
        <v>0</v>
      </c>
      <c r="AG864" s="3">
        <v>0</v>
      </c>
      <c r="AH864" s="3">
        <v>0</v>
      </c>
      <c r="AI864" s="3">
        <v>0</v>
      </c>
      <c r="AJ864" s="3">
        <v>0</v>
      </c>
      <c r="AK864" s="3">
        <v>0</v>
      </c>
      <c r="AL864" s="3">
        <v>0</v>
      </c>
      <c r="AM864" s="3">
        <v>0</v>
      </c>
      <c r="AN864" s="3">
        <v>0</v>
      </c>
      <c r="AO864" s="3">
        <v>0</v>
      </c>
      <c r="AP864" s="3">
        <v>0</v>
      </c>
      <c r="AQ864" s="3">
        <v>0</v>
      </c>
      <c r="AR864" s="2" t="s">
        <v>8</v>
      </c>
      <c r="AS864" s="2" t="s">
        <v>8</v>
      </c>
      <c r="AU864" s="5" t="str">
        <f>HYPERLINK("https://creighton-primo.hosted.exlibrisgroup.com/primo-explore/search?tab=default_tab&amp;search_scope=EVERYTHING&amp;vid=01CRU&amp;lang=en_US&amp;offset=0&amp;query=any,contains,991001509819702656","Catalog Record")</f>
        <v>Catalog Record</v>
      </c>
      <c r="AV864" s="5" t="str">
        <f>HYPERLINK("http://www.worldcat.org/oclc/28938224","WorldCat Record")</f>
        <v>WorldCat Record</v>
      </c>
      <c r="AW864" s="2" t="s">
        <v>10967</v>
      </c>
      <c r="AX864" s="2" t="s">
        <v>10968</v>
      </c>
      <c r="AY864" s="2" t="s">
        <v>10969</v>
      </c>
      <c r="AZ864" s="2" t="s">
        <v>10969</v>
      </c>
      <c r="BA864" s="2" t="s">
        <v>10970</v>
      </c>
      <c r="BB864" s="2" t="s">
        <v>21</v>
      </c>
      <c r="BD864" s="2" t="s">
        <v>4525</v>
      </c>
      <c r="BE864" s="2" t="s">
        <v>10971</v>
      </c>
      <c r="BF864" s="2" t="s">
        <v>10972</v>
      </c>
    </row>
    <row r="865" spans="1:58" ht="42.75" customHeight="1" x14ac:dyDescent="0.25">
      <c r="A865" s="8" t="s">
        <v>8</v>
      </c>
      <c r="B865" s="1" t="s">
        <v>0</v>
      </c>
      <c r="C865" s="1" t="s">
        <v>1</v>
      </c>
      <c r="D865" s="1" t="s">
        <v>10973</v>
      </c>
      <c r="E865" s="1" t="s">
        <v>10974</v>
      </c>
      <c r="F865" s="1" t="s">
        <v>10975</v>
      </c>
      <c r="H865" s="2" t="s">
        <v>8</v>
      </c>
      <c r="I865" s="2" t="s">
        <v>7</v>
      </c>
      <c r="J865" s="2" t="s">
        <v>8</v>
      </c>
      <c r="K865" s="2" t="s">
        <v>8</v>
      </c>
      <c r="L865" s="2" t="s">
        <v>9</v>
      </c>
      <c r="M865" s="1" t="s">
        <v>10976</v>
      </c>
      <c r="N865" s="1" t="s">
        <v>10977</v>
      </c>
      <c r="O865" s="2" t="s">
        <v>128</v>
      </c>
      <c r="Q865" s="2" t="s">
        <v>12</v>
      </c>
      <c r="R865" s="2" t="s">
        <v>13</v>
      </c>
      <c r="T865" s="2" t="s">
        <v>14</v>
      </c>
      <c r="U865" s="3">
        <v>4</v>
      </c>
      <c r="V865" s="3">
        <v>4</v>
      </c>
      <c r="W865" s="4" t="s">
        <v>10978</v>
      </c>
      <c r="X865" s="4" t="s">
        <v>10978</v>
      </c>
      <c r="Y865" s="4" t="s">
        <v>16</v>
      </c>
      <c r="Z865" s="4" t="s">
        <v>16</v>
      </c>
      <c r="AA865" s="3">
        <v>137</v>
      </c>
      <c r="AB865" s="3">
        <v>89</v>
      </c>
      <c r="AC865" s="3">
        <v>89</v>
      </c>
      <c r="AD865" s="3">
        <v>1</v>
      </c>
      <c r="AE865" s="3">
        <v>1</v>
      </c>
      <c r="AF865" s="3">
        <v>3</v>
      </c>
      <c r="AG865" s="3">
        <v>3</v>
      </c>
      <c r="AH865" s="3">
        <v>0</v>
      </c>
      <c r="AI865" s="3">
        <v>0</v>
      </c>
      <c r="AJ865" s="3">
        <v>0</v>
      </c>
      <c r="AK865" s="3">
        <v>0</v>
      </c>
      <c r="AL865" s="3">
        <v>2</v>
      </c>
      <c r="AM865" s="3">
        <v>2</v>
      </c>
      <c r="AN865" s="3">
        <v>0</v>
      </c>
      <c r="AO865" s="3">
        <v>0</v>
      </c>
      <c r="AP865" s="3">
        <v>1</v>
      </c>
      <c r="AQ865" s="3">
        <v>1</v>
      </c>
      <c r="AR865" s="2" t="s">
        <v>8</v>
      </c>
      <c r="AS865" s="2" t="s">
        <v>8</v>
      </c>
      <c r="AU865" s="5" t="str">
        <f>HYPERLINK("https://creighton-primo.hosted.exlibrisgroup.com/primo-explore/search?tab=default_tab&amp;search_scope=EVERYTHING&amp;vid=01CRU&amp;lang=en_US&amp;offset=0&amp;query=any,contains,991000659129702656","Catalog Record")</f>
        <v>Catalog Record</v>
      </c>
      <c r="AV865" s="5" t="str">
        <f>HYPERLINK("http://www.worldcat.org/oclc/3669342","WorldCat Record")</f>
        <v>WorldCat Record</v>
      </c>
      <c r="AW865" s="2" t="s">
        <v>10979</v>
      </c>
      <c r="AX865" s="2" t="s">
        <v>10980</v>
      </c>
      <c r="AY865" s="2" t="s">
        <v>10981</v>
      </c>
      <c r="AZ865" s="2" t="s">
        <v>10981</v>
      </c>
      <c r="BA865" s="2" t="s">
        <v>10982</v>
      </c>
      <c r="BB865" s="2" t="s">
        <v>21</v>
      </c>
      <c r="BD865" s="2" t="s">
        <v>10983</v>
      </c>
      <c r="BE865" s="2" t="s">
        <v>10984</v>
      </c>
      <c r="BF865" s="2" t="s">
        <v>10985</v>
      </c>
    </row>
    <row r="866" spans="1:58" ht="42.75" customHeight="1" x14ac:dyDescent="0.25">
      <c r="A866" s="8" t="s">
        <v>8</v>
      </c>
      <c r="B866" s="1" t="s">
        <v>0</v>
      </c>
      <c r="C866" s="1" t="s">
        <v>1</v>
      </c>
      <c r="D866" s="1" t="s">
        <v>10986</v>
      </c>
      <c r="E866" s="1" t="s">
        <v>10987</v>
      </c>
      <c r="F866" s="1" t="s">
        <v>10988</v>
      </c>
      <c r="H866" s="2" t="s">
        <v>8</v>
      </c>
      <c r="I866" s="2" t="s">
        <v>7</v>
      </c>
      <c r="J866" s="2" t="s">
        <v>8</v>
      </c>
      <c r="K866" s="2" t="s">
        <v>8</v>
      </c>
      <c r="L866" s="2" t="s">
        <v>9</v>
      </c>
      <c r="M866" s="1" t="s">
        <v>10989</v>
      </c>
      <c r="N866" s="1" t="s">
        <v>10548</v>
      </c>
      <c r="O866" s="2" t="s">
        <v>298</v>
      </c>
      <c r="Q866" s="2" t="s">
        <v>12</v>
      </c>
      <c r="R866" s="2" t="s">
        <v>34</v>
      </c>
      <c r="T866" s="2" t="s">
        <v>14</v>
      </c>
      <c r="U866" s="3">
        <v>2</v>
      </c>
      <c r="V866" s="3">
        <v>2</v>
      </c>
      <c r="W866" s="4" t="s">
        <v>3450</v>
      </c>
      <c r="X866" s="4" t="s">
        <v>3450</v>
      </c>
      <c r="Y866" s="4" t="s">
        <v>3450</v>
      </c>
      <c r="Z866" s="4" t="s">
        <v>3450</v>
      </c>
      <c r="AA866" s="3">
        <v>95</v>
      </c>
      <c r="AB866" s="3">
        <v>70</v>
      </c>
      <c r="AC866" s="3">
        <v>84</v>
      </c>
      <c r="AD866" s="3">
        <v>1</v>
      </c>
      <c r="AE866" s="3">
        <v>1</v>
      </c>
      <c r="AF866" s="3">
        <v>5</v>
      </c>
      <c r="AG866" s="3">
        <v>5</v>
      </c>
      <c r="AH866" s="3">
        <v>2</v>
      </c>
      <c r="AI866" s="3">
        <v>2</v>
      </c>
      <c r="AJ866" s="3">
        <v>0</v>
      </c>
      <c r="AK866" s="3">
        <v>0</v>
      </c>
      <c r="AL866" s="3">
        <v>5</v>
      </c>
      <c r="AM866" s="3">
        <v>5</v>
      </c>
      <c r="AN866" s="3">
        <v>0</v>
      </c>
      <c r="AO866" s="3">
        <v>0</v>
      </c>
      <c r="AP866" s="3">
        <v>0</v>
      </c>
      <c r="AQ866" s="3">
        <v>0</v>
      </c>
      <c r="AR866" s="2" t="s">
        <v>8</v>
      </c>
      <c r="AS866" s="2" t="s">
        <v>6</v>
      </c>
      <c r="AT866" s="5" t="str">
        <f>HYPERLINK("http://catalog.hathitrust.org/Record/000930684","HathiTrust Record")</f>
        <v>HathiTrust Record</v>
      </c>
      <c r="AU866" s="5" t="str">
        <f>HYPERLINK("https://creighton-primo.hosted.exlibrisgroup.com/primo-explore/search?tab=default_tab&amp;search_scope=EVERYTHING&amp;vid=01CRU&amp;lang=en_US&amp;offset=0&amp;query=any,contains,991000812289702656","Catalog Record")</f>
        <v>Catalog Record</v>
      </c>
      <c r="AV866" s="5" t="str">
        <f>HYPERLINK("http://www.worldcat.org/oclc/15252047","WorldCat Record")</f>
        <v>WorldCat Record</v>
      </c>
      <c r="AW866" s="2" t="s">
        <v>10990</v>
      </c>
      <c r="AX866" s="2" t="s">
        <v>10991</v>
      </c>
      <c r="AY866" s="2" t="s">
        <v>10992</v>
      </c>
      <c r="AZ866" s="2" t="s">
        <v>10992</v>
      </c>
      <c r="BA866" s="2" t="s">
        <v>10993</v>
      </c>
      <c r="BB866" s="2" t="s">
        <v>21</v>
      </c>
      <c r="BD866" s="2" t="s">
        <v>10994</v>
      </c>
      <c r="BE866" s="2" t="s">
        <v>10995</v>
      </c>
      <c r="BF866" s="2" t="s">
        <v>10996</v>
      </c>
    </row>
    <row r="867" spans="1:58" ht="42.75" customHeight="1" x14ac:dyDescent="0.25">
      <c r="A867" s="8" t="s">
        <v>8</v>
      </c>
      <c r="B867" s="1" t="s">
        <v>0</v>
      </c>
      <c r="C867" s="1" t="s">
        <v>1</v>
      </c>
      <c r="D867" s="1" t="s">
        <v>10997</v>
      </c>
      <c r="E867" s="1" t="s">
        <v>10998</v>
      </c>
      <c r="F867" s="1" t="s">
        <v>10999</v>
      </c>
      <c r="H867" s="2" t="s">
        <v>8</v>
      </c>
      <c r="I867" s="2" t="s">
        <v>7</v>
      </c>
      <c r="J867" s="2" t="s">
        <v>8</v>
      </c>
      <c r="K867" s="2" t="s">
        <v>8</v>
      </c>
      <c r="L867" s="2" t="s">
        <v>9</v>
      </c>
      <c r="N867" s="1" t="s">
        <v>10194</v>
      </c>
      <c r="O867" s="2" t="s">
        <v>830</v>
      </c>
      <c r="Q867" s="2" t="s">
        <v>12</v>
      </c>
      <c r="R867" s="2" t="s">
        <v>1170</v>
      </c>
      <c r="T867" s="2" t="s">
        <v>14</v>
      </c>
      <c r="U867" s="3">
        <v>0</v>
      </c>
      <c r="V867" s="3">
        <v>0</v>
      </c>
      <c r="W867" s="4" t="s">
        <v>11000</v>
      </c>
      <c r="X867" s="4" t="s">
        <v>11000</v>
      </c>
      <c r="Y867" s="4" t="s">
        <v>11000</v>
      </c>
      <c r="Z867" s="4" t="s">
        <v>11000</v>
      </c>
      <c r="AA867" s="3">
        <v>275</v>
      </c>
      <c r="AB867" s="3">
        <v>209</v>
      </c>
      <c r="AC867" s="3">
        <v>215</v>
      </c>
      <c r="AD867" s="3">
        <v>1</v>
      </c>
      <c r="AE867" s="3">
        <v>1</v>
      </c>
      <c r="AF867" s="3">
        <v>5</v>
      </c>
      <c r="AG867" s="3">
        <v>5</v>
      </c>
      <c r="AH867" s="3">
        <v>1</v>
      </c>
      <c r="AI867" s="3">
        <v>1</v>
      </c>
      <c r="AJ867" s="3">
        <v>2</v>
      </c>
      <c r="AK867" s="3">
        <v>2</v>
      </c>
      <c r="AL867" s="3">
        <v>4</v>
      </c>
      <c r="AM867" s="3">
        <v>4</v>
      </c>
      <c r="AN867" s="3">
        <v>0</v>
      </c>
      <c r="AO867" s="3">
        <v>0</v>
      </c>
      <c r="AP867" s="3">
        <v>0</v>
      </c>
      <c r="AQ867" s="3">
        <v>0</v>
      </c>
      <c r="AR867" s="2" t="s">
        <v>8</v>
      </c>
      <c r="AS867" s="2" t="s">
        <v>6</v>
      </c>
      <c r="AT867" s="5" t="str">
        <f>HYPERLINK("http://catalog.hathitrust.org/Record/004323156","HathiTrust Record")</f>
        <v>HathiTrust Record</v>
      </c>
      <c r="AU867" s="5" t="str">
        <f>HYPERLINK("https://creighton-primo.hosted.exlibrisgroup.com/primo-explore/search?tab=default_tab&amp;search_scope=EVERYTHING&amp;vid=01CRU&amp;lang=en_US&amp;offset=0&amp;query=any,contains,991000365539702656","Catalog Record")</f>
        <v>Catalog Record</v>
      </c>
      <c r="AV867" s="5" t="str">
        <f>HYPERLINK("http://www.worldcat.org/oclc/51724604","WorldCat Record")</f>
        <v>WorldCat Record</v>
      </c>
      <c r="AW867" s="2" t="s">
        <v>11001</v>
      </c>
      <c r="AX867" s="2" t="s">
        <v>11002</v>
      </c>
      <c r="AY867" s="2" t="s">
        <v>11003</v>
      </c>
      <c r="AZ867" s="2" t="s">
        <v>11003</v>
      </c>
      <c r="BA867" s="2" t="s">
        <v>11004</v>
      </c>
      <c r="BB867" s="2" t="s">
        <v>21</v>
      </c>
      <c r="BD867" s="2" t="s">
        <v>11005</v>
      </c>
      <c r="BE867" s="2" t="s">
        <v>11006</v>
      </c>
      <c r="BF867" s="2" t="s">
        <v>11007</v>
      </c>
    </row>
    <row r="868" spans="1:58" ht="42.75" customHeight="1" x14ac:dyDescent="0.25">
      <c r="A868" s="8" t="s">
        <v>8</v>
      </c>
      <c r="B868" s="1" t="s">
        <v>0</v>
      </c>
      <c r="C868" s="1" t="s">
        <v>1</v>
      </c>
      <c r="D868" s="1" t="s">
        <v>11008</v>
      </c>
      <c r="E868" s="1" t="s">
        <v>11009</v>
      </c>
      <c r="F868" s="1" t="s">
        <v>11010</v>
      </c>
      <c r="H868" s="2" t="s">
        <v>8</v>
      </c>
      <c r="I868" s="2" t="s">
        <v>7</v>
      </c>
      <c r="J868" s="2" t="s">
        <v>8</v>
      </c>
      <c r="K868" s="2" t="s">
        <v>8</v>
      </c>
      <c r="L868" s="2" t="s">
        <v>9</v>
      </c>
      <c r="N868" s="1" t="s">
        <v>1991</v>
      </c>
      <c r="O868" s="2" t="s">
        <v>874</v>
      </c>
      <c r="P868" s="1" t="s">
        <v>1225</v>
      </c>
      <c r="Q868" s="2" t="s">
        <v>12</v>
      </c>
      <c r="R868" s="2" t="s">
        <v>628</v>
      </c>
      <c r="T868" s="2" t="s">
        <v>14</v>
      </c>
      <c r="U868" s="3">
        <v>21</v>
      </c>
      <c r="V868" s="3">
        <v>21</v>
      </c>
      <c r="W868" s="4" t="s">
        <v>11011</v>
      </c>
      <c r="X868" s="4" t="s">
        <v>11011</v>
      </c>
      <c r="Y868" s="4" t="s">
        <v>7246</v>
      </c>
      <c r="Z868" s="4" t="s">
        <v>7246</v>
      </c>
      <c r="AA868" s="3">
        <v>118</v>
      </c>
      <c r="AB868" s="3">
        <v>98</v>
      </c>
      <c r="AC868" s="3">
        <v>160</v>
      </c>
      <c r="AD868" s="3">
        <v>1</v>
      </c>
      <c r="AE868" s="3">
        <v>2</v>
      </c>
      <c r="AF868" s="3">
        <v>5</v>
      </c>
      <c r="AG868" s="3">
        <v>7</v>
      </c>
      <c r="AH868" s="3">
        <v>0</v>
      </c>
      <c r="AI868" s="3">
        <v>0</v>
      </c>
      <c r="AJ868" s="3">
        <v>1</v>
      </c>
      <c r="AK868" s="3">
        <v>2</v>
      </c>
      <c r="AL868" s="3">
        <v>4</v>
      </c>
      <c r="AM868" s="3">
        <v>5</v>
      </c>
      <c r="AN868" s="3">
        <v>0</v>
      </c>
      <c r="AO868" s="3">
        <v>1</v>
      </c>
      <c r="AP868" s="3">
        <v>0</v>
      </c>
      <c r="AQ868" s="3">
        <v>0</v>
      </c>
      <c r="AR868" s="2" t="s">
        <v>8</v>
      </c>
      <c r="AS868" s="2" t="s">
        <v>6</v>
      </c>
      <c r="AT868" s="5" t="str">
        <f>HYPERLINK("http://catalog.hathitrust.org/Record/003168944","HathiTrust Record")</f>
        <v>HathiTrust Record</v>
      </c>
      <c r="AU868" s="5" t="str">
        <f>HYPERLINK("https://creighton-primo.hosted.exlibrisgroup.com/primo-explore/search?tab=default_tab&amp;search_scope=EVERYTHING&amp;vid=01CRU&amp;lang=en_US&amp;offset=0&amp;query=any,contains,991000785029702656","Catalog Record")</f>
        <v>Catalog Record</v>
      </c>
      <c r="AV868" s="5" t="str">
        <f>HYPERLINK("http://www.worldcat.org/oclc/36986491","WorldCat Record")</f>
        <v>WorldCat Record</v>
      </c>
      <c r="AW868" s="2" t="s">
        <v>11012</v>
      </c>
      <c r="AX868" s="2" t="s">
        <v>11013</v>
      </c>
      <c r="AY868" s="2" t="s">
        <v>11014</v>
      </c>
      <c r="AZ868" s="2" t="s">
        <v>11014</v>
      </c>
      <c r="BA868" s="2" t="s">
        <v>11015</v>
      </c>
      <c r="BB868" s="2" t="s">
        <v>21</v>
      </c>
      <c r="BD868" s="2" t="s">
        <v>11016</v>
      </c>
      <c r="BE868" s="2" t="s">
        <v>11017</v>
      </c>
      <c r="BF868" s="2" t="s">
        <v>11018</v>
      </c>
    </row>
    <row r="869" spans="1:58" ht="42.75" customHeight="1" x14ac:dyDescent="0.25">
      <c r="A869" s="8" t="s">
        <v>8</v>
      </c>
      <c r="B869" s="1" t="s">
        <v>0</v>
      </c>
      <c r="C869" s="1" t="s">
        <v>1</v>
      </c>
      <c r="D869" s="1" t="s">
        <v>11019</v>
      </c>
      <c r="E869" s="1" t="s">
        <v>11020</v>
      </c>
      <c r="F869" s="1" t="s">
        <v>11021</v>
      </c>
      <c r="H869" s="2" t="s">
        <v>8</v>
      </c>
      <c r="I869" s="2" t="s">
        <v>7</v>
      </c>
      <c r="J869" s="2" t="s">
        <v>8</v>
      </c>
      <c r="K869" s="2" t="s">
        <v>8</v>
      </c>
      <c r="L869" s="2" t="s">
        <v>9</v>
      </c>
      <c r="M869" s="1" t="s">
        <v>7495</v>
      </c>
      <c r="N869" s="1" t="s">
        <v>11022</v>
      </c>
      <c r="O869" s="2" t="s">
        <v>874</v>
      </c>
      <c r="Q869" s="2" t="s">
        <v>12</v>
      </c>
      <c r="R869" s="2" t="s">
        <v>13</v>
      </c>
      <c r="T869" s="2" t="s">
        <v>14</v>
      </c>
      <c r="U869" s="3">
        <v>6</v>
      </c>
      <c r="V869" s="3">
        <v>6</v>
      </c>
      <c r="W869" s="4" t="s">
        <v>11023</v>
      </c>
      <c r="X869" s="4" t="s">
        <v>11023</v>
      </c>
      <c r="Y869" s="4" t="s">
        <v>11024</v>
      </c>
      <c r="Z869" s="4" t="s">
        <v>11024</v>
      </c>
      <c r="AA869" s="3">
        <v>275</v>
      </c>
      <c r="AB869" s="3">
        <v>232</v>
      </c>
      <c r="AC869" s="3">
        <v>1115</v>
      </c>
      <c r="AD869" s="3">
        <v>1</v>
      </c>
      <c r="AE869" s="3">
        <v>31</v>
      </c>
      <c r="AF869" s="3">
        <v>8</v>
      </c>
      <c r="AG869" s="3">
        <v>43</v>
      </c>
      <c r="AH869" s="3">
        <v>3</v>
      </c>
      <c r="AI869" s="3">
        <v>13</v>
      </c>
      <c r="AJ869" s="3">
        <v>1</v>
      </c>
      <c r="AK869" s="3">
        <v>8</v>
      </c>
      <c r="AL869" s="3">
        <v>5</v>
      </c>
      <c r="AM869" s="3">
        <v>14</v>
      </c>
      <c r="AN869" s="3">
        <v>0</v>
      </c>
      <c r="AO869" s="3">
        <v>12</v>
      </c>
      <c r="AP869" s="3">
        <v>1</v>
      </c>
      <c r="AQ869" s="3">
        <v>2</v>
      </c>
      <c r="AR869" s="2" t="s">
        <v>8</v>
      </c>
      <c r="AS869" s="2" t="s">
        <v>8</v>
      </c>
      <c r="AU869" s="5" t="str">
        <f>HYPERLINK("https://creighton-primo.hosted.exlibrisgroup.com/primo-explore/search?tab=default_tab&amp;search_scope=EVERYTHING&amp;vid=01CRU&amp;lang=en_US&amp;offset=0&amp;query=any,contains,991001294859702656","Catalog Record")</f>
        <v>Catalog Record</v>
      </c>
      <c r="AV869" s="5" t="str">
        <f>HYPERLINK("http://www.worldcat.org/oclc/35262302","WorldCat Record")</f>
        <v>WorldCat Record</v>
      </c>
      <c r="AW869" s="2" t="s">
        <v>11025</v>
      </c>
      <c r="AX869" s="2" t="s">
        <v>11026</v>
      </c>
      <c r="AY869" s="2" t="s">
        <v>11027</v>
      </c>
      <c r="AZ869" s="2" t="s">
        <v>11027</v>
      </c>
      <c r="BA869" s="2" t="s">
        <v>11028</v>
      </c>
      <c r="BB869" s="2" t="s">
        <v>21</v>
      </c>
      <c r="BD869" s="2" t="s">
        <v>11029</v>
      </c>
      <c r="BE869" s="2" t="s">
        <v>11030</v>
      </c>
      <c r="BF869" s="2" t="s">
        <v>11031</v>
      </c>
    </row>
    <row r="870" spans="1:58" ht="42.75" customHeight="1" x14ac:dyDescent="0.25">
      <c r="A870" s="8" t="s">
        <v>8</v>
      </c>
      <c r="B870" s="1" t="s">
        <v>0</v>
      </c>
      <c r="C870" s="1" t="s">
        <v>1</v>
      </c>
      <c r="D870" s="1" t="s">
        <v>11032</v>
      </c>
      <c r="E870" s="1" t="s">
        <v>11033</v>
      </c>
      <c r="F870" s="1" t="s">
        <v>11034</v>
      </c>
      <c r="H870" s="2" t="s">
        <v>8</v>
      </c>
      <c r="I870" s="2" t="s">
        <v>7</v>
      </c>
      <c r="J870" s="2" t="s">
        <v>8</v>
      </c>
      <c r="K870" s="2" t="s">
        <v>8</v>
      </c>
      <c r="L870" s="2" t="s">
        <v>9</v>
      </c>
      <c r="N870" s="1" t="s">
        <v>11035</v>
      </c>
      <c r="O870" s="2" t="s">
        <v>614</v>
      </c>
      <c r="Q870" s="2" t="s">
        <v>12</v>
      </c>
      <c r="R870" s="2" t="s">
        <v>34</v>
      </c>
      <c r="T870" s="2" t="s">
        <v>14</v>
      </c>
      <c r="U870" s="3">
        <v>4</v>
      </c>
      <c r="V870" s="3">
        <v>4</v>
      </c>
      <c r="W870" s="4" t="s">
        <v>11036</v>
      </c>
      <c r="X870" s="4" t="s">
        <v>11036</v>
      </c>
      <c r="Y870" s="4" t="s">
        <v>3850</v>
      </c>
      <c r="Z870" s="4" t="s">
        <v>3850</v>
      </c>
      <c r="AA870" s="3">
        <v>279</v>
      </c>
      <c r="AB870" s="3">
        <v>253</v>
      </c>
      <c r="AC870" s="3">
        <v>256</v>
      </c>
      <c r="AD870" s="3">
        <v>3</v>
      </c>
      <c r="AE870" s="3">
        <v>3</v>
      </c>
      <c r="AF870" s="3">
        <v>16</v>
      </c>
      <c r="AG870" s="3">
        <v>16</v>
      </c>
      <c r="AH870" s="3">
        <v>6</v>
      </c>
      <c r="AI870" s="3">
        <v>6</v>
      </c>
      <c r="AJ870" s="3">
        <v>3</v>
      </c>
      <c r="AK870" s="3">
        <v>3</v>
      </c>
      <c r="AL870" s="3">
        <v>11</v>
      </c>
      <c r="AM870" s="3">
        <v>11</v>
      </c>
      <c r="AN870" s="3">
        <v>2</v>
      </c>
      <c r="AO870" s="3">
        <v>2</v>
      </c>
      <c r="AP870" s="3">
        <v>0</v>
      </c>
      <c r="AQ870" s="3">
        <v>0</v>
      </c>
      <c r="AR870" s="2" t="s">
        <v>8</v>
      </c>
      <c r="AS870" s="2" t="s">
        <v>6</v>
      </c>
      <c r="AT870" s="5" t="str">
        <f>HYPERLINK("http://catalog.hathitrust.org/Record/004513395","HathiTrust Record")</f>
        <v>HathiTrust Record</v>
      </c>
      <c r="AU870" s="5" t="str">
        <f>HYPERLINK("https://creighton-primo.hosted.exlibrisgroup.com/primo-explore/search?tab=default_tab&amp;search_scope=EVERYTHING&amp;vid=01CRU&amp;lang=en_US&amp;offset=0&amp;query=any,contains,991001033619702656","Catalog Record")</f>
        <v>Catalog Record</v>
      </c>
      <c r="AV870" s="5" t="str">
        <f>HYPERLINK("http://www.worldcat.org/oclc/24319745","WorldCat Record")</f>
        <v>WorldCat Record</v>
      </c>
      <c r="AW870" s="2" t="s">
        <v>11037</v>
      </c>
      <c r="AX870" s="2" t="s">
        <v>11038</v>
      </c>
      <c r="AY870" s="2" t="s">
        <v>11039</v>
      </c>
      <c r="AZ870" s="2" t="s">
        <v>11039</v>
      </c>
      <c r="BA870" s="2" t="s">
        <v>11040</v>
      </c>
      <c r="BB870" s="2" t="s">
        <v>21</v>
      </c>
      <c r="BD870" s="2" t="s">
        <v>11041</v>
      </c>
      <c r="BE870" s="2" t="s">
        <v>11042</v>
      </c>
      <c r="BF870" s="2" t="s">
        <v>11043</v>
      </c>
    </row>
    <row r="871" spans="1:58" ht="42.75" customHeight="1" x14ac:dyDescent="0.25">
      <c r="A871" s="8" t="s">
        <v>8</v>
      </c>
      <c r="B871" s="1" t="s">
        <v>0</v>
      </c>
      <c r="C871" s="1" t="s">
        <v>1</v>
      </c>
      <c r="D871" s="1" t="s">
        <v>11044</v>
      </c>
      <c r="E871" s="1" t="s">
        <v>11045</v>
      </c>
      <c r="F871" s="1" t="s">
        <v>11046</v>
      </c>
      <c r="H871" s="2" t="s">
        <v>8</v>
      </c>
      <c r="I871" s="2" t="s">
        <v>7</v>
      </c>
      <c r="J871" s="2" t="s">
        <v>6</v>
      </c>
      <c r="K871" s="2" t="s">
        <v>8</v>
      </c>
      <c r="L871" s="2" t="s">
        <v>9</v>
      </c>
      <c r="N871" s="1" t="s">
        <v>11047</v>
      </c>
      <c r="O871" s="2" t="s">
        <v>614</v>
      </c>
      <c r="Q871" s="2" t="s">
        <v>12</v>
      </c>
      <c r="R871" s="2" t="s">
        <v>34</v>
      </c>
      <c r="S871" s="1" t="s">
        <v>11048</v>
      </c>
      <c r="T871" s="2" t="s">
        <v>14</v>
      </c>
      <c r="U871" s="3">
        <v>17</v>
      </c>
      <c r="V871" s="3">
        <v>17</v>
      </c>
      <c r="W871" s="4" t="s">
        <v>11049</v>
      </c>
      <c r="X871" s="4" t="s">
        <v>11049</v>
      </c>
      <c r="Y871" s="4" t="s">
        <v>2894</v>
      </c>
      <c r="Z871" s="4" t="s">
        <v>2894</v>
      </c>
      <c r="AA871" s="3">
        <v>487</v>
      </c>
      <c r="AB871" s="3">
        <v>331</v>
      </c>
      <c r="AC871" s="3">
        <v>527</v>
      </c>
      <c r="AD871" s="3">
        <v>4</v>
      </c>
      <c r="AE871" s="3">
        <v>6</v>
      </c>
      <c r="AF871" s="3">
        <v>23</v>
      </c>
      <c r="AG871" s="3">
        <v>34</v>
      </c>
      <c r="AH871" s="3">
        <v>8</v>
      </c>
      <c r="AI871" s="3">
        <v>12</v>
      </c>
      <c r="AJ871" s="3">
        <v>6</v>
      </c>
      <c r="AK871" s="3">
        <v>7</v>
      </c>
      <c r="AL871" s="3">
        <v>15</v>
      </c>
      <c r="AM871" s="3">
        <v>19</v>
      </c>
      <c r="AN871" s="3">
        <v>2</v>
      </c>
      <c r="AO871" s="3">
        <v>4</v>
      </c>
      <c r="AP871" s="3">
        <v>0</v>
      </c>
      <c r="AQ871" s="3">
        <v>0</v>
      </c>
      <c r="AR871" s="2" t="s">
        <v>8</v>
      </c>
      <c r="AS871" s="2" t="s">
        <v>6</v>
      </c>
      <c r="AT871" s="5" t="str">
        <f>HYPERLINK("http://catalog.hathitrust.org/Record/002611903","HathiTrust Record")</f>
        <v>HathiTrust Record</v>
      </c>
      <c r="AU871" s="5" t="str">
        <f>HYPERLINK("https://creighton-primo.hosted.exlibrisgroup.com/primo-explore/search?tab=default_tab&amp;search_scope=EVERYTHING&amp;vid=01CRU&amp;lang=en_US&amp;offset=0&amp;query=any,contains,991001340359702656","Catalog Record")</f>
        <v>Catalog Record</v>
      </c>
      <c r="AV871" s="5" t="str">
        <f>HYPERLINK("http://www.worldcat.org/oclc/25369633","WorldCat Record")</f>
        <v>WorldCat Record</v>
      </c>
      <c r="AW871" s="2" t="s">
        <v>11050</v>
      </c>
      <c r="AX871" s="2" t="s">
        <v>11051</v>
      </c>
      <c r="AY871" s="2" t="s">
        <v>11052</v>
      </c>
      <c r="AZ871" s="2" t="s">
        <v>11052</v>
      </c>
      <c r="BA871" s="2" t="s">
        <v>11053</v>
      </c>
      <c r="BB871" s="2" t="s">
        <v>21</v>
      </c>
      <c r="BD871" s="2" t="s">
        <v>11054</v>
      </c>
      <c r="BE871" s="2" t="s">
        <v>11055</v>
      </c>
      <c r="BF871" s="2" t="s">
        <v>11056</v>
      </c>
    </row>
    <row r="872" spans="1:58" ht="42.75" customHeight="1" x14ac:dyDescent="0.25">
      <c r="A872" s="8" t="s">
        <v>8</v>
      </c>
      <c r="B872" s="1" t="s">
        <v>0</v>
      </c>
      <c r="C872" s="1" t="s">
        <v>1</v>
      </c>
      <c r="D872" s="1" t="s">
        <v>11057</v>
      </c>
      <c r="E872" s="1" t="s">
        <v>11058</v>
      </c>
      <c r="F872" s="1" t="s">
        <v>11059</v>
      </c>
      <c r="H872" s="2" t="s">
        <v>8</v>
      </c>
      <c r="I872" s="2" t="s">
        <v>7</v>
      </c>
      <c r="J872" s="2" t="s">
        <v>8</v>
      </c>
      <c r="K872" s="2" t="s">
        <v>8</v>
      </c>
      <c r="L872" s="2" t="s">
        <v>9</v>
      </c>
      <c r="M872" s="1" t="s">
        <v>11060</v>
      </c>
      <c r="N872" s="1" t="s">
        <v>11061</v>
      </c>
      <c r="O872" s="2" t="s">
        <v>874</v>
      </c>
      <c r="Q872" s="2" t="s">
        <v>12</v>
      </c>
      <c r="R872" s="2" t="s">
        <v>520</v>
      </c>
      <c r="T872" s="2" t="s">
        <v>14</v>
      </c>
      <c r="U872" s="3">
        <v>0</v>
      </c>
      <c r="V872" s="3">
        <v>0</v>
      </c>
      <c r="W872" s="4" t="s">
        <v>1643</v>
      </c>
      <c r="X872" s="4" t="s">
        <v>1643</v>
      </c>
      <c r="Y872" s="4" t="s">
        <v>1643</v>
      </c>
      <c r="Z872" s="4" t="s">
        <v>1643</v>
      </c>
      <c r="AA872" s="3">
        <v>90</v>
      </c>
      <c r="AB872" s="3">
        <v>83</v>
      </c>
      <c r="AC872" s="3">
        <v>84</v>
      </c>
      <c r="AD872" s="3">
        <v>1</v>
      </c>
      <c r="AE872" s="3">
        <v>1</v>
      </c>
      <c r="AF872" s="3">
        <v>3</v>
      </c>
      <c r="AG872" s="3">
        <v>3</v>
      </c>
      <c r="AH872" s="3">
        <v>0</v>
      </c>
      <c r="AI872" s="3">
        <v>0</v>
      </c>
      <c r="AJ872" s="3">
        <v>1</v>
      </c>
      <c r="AK872" s="3">
        <v>1</v>
      </c>
      <c r="AL872" s="3">
        <v>3</v>
      </c>
      <c r="AM872" s="3">
        <v>3</v>
      </c>
      <c r="AN872" s="3">
        <v>0</v>
      </c>
      <c r="AO872" s="3">
        <v>0</v>
      </c>
      <c r="AP872" s="3">
        <v>0</v>
      </c>
      <c r="AQ872" s="3">
        <v>0</v>
      </c>
      <c r="AR872" s="2" t="s">
        <v>8</v>
      </c>
      <c r="AS872" s="2" t="s">
        <v>8</v>
      </c>
      <c r="AU872" s="5" t="str">
        <f>HYPERLINK("https://creighton-primo.hosted.exlibrisgroup.com/primo-explore/search?tab=default_tab&amp;search_scope=EVERYTHING&amp;vid=01CRU&amp;lang=en_US&amp;offset=0&amp;query=any,contains,991000396989702656","Catalog Record")</f>
        <v>Catalog Record</v>
      </c>
      <c r="AV872" s="5" t="str">
        <f>HYPERLINK("http://www.worldcat.org/oclc/36083998","WorldCat Record")</f>
        <v>WorldCat Record</v>
      </c>
      <c r="AW872" s="2" t="s">
        <v>11062</v>
      </c>
      <c r="AX872" s="2" t="s">
        <v>11063</v>
      </c>
      <c r="AY872" s="2" t="s">
        <v>11064</v>
      </c>
      <c r="AZ872" s="2" t="s">
        <v>11064</v>
      </c>
      <c r="BA872" s="2" t="s">
        <v>11065</v>
      </c>
      <c r="BB872" s="2" t="s">
        <v>21</v>
      </c>
      <c r="BD872" s="2" t="s">
        <v>11066</v>
      </c>
      <c r="BE872" s="2" t="s">
        <v>11067</v>
      </c>
      <c r="BF872" s="2" t="s">
        <v>11068</v>
      </c>
    </row>
    <row r="873" spans="1:58" ht="42.75" customHeight="1" x14ac:dyDescent="0.25">
      <c r="A873" s="8" t="s">
        <v>8</v>
      </c>
      <c r="B873" s="1" t="s">
        <v>0</v>
      </c>
      <c r="C873" s="1" t="s">
        <v>1</v>
      </c>
      <c r="D873" s="1" t="s">
        <v>11069</v>
      </c>
      <c r="E873" s="1" t="s">
        <v>11070</v>
      </c>
      <c r="F873" s="1" t="s">
        <v>11071</v>
      </c>
      <c r="H873" s="2" t="s">
        <v>8</v>
      </c>
      <c r="I873" s="2" t="s">
        <v>7</v>
      </c>
      <c r="J873" s="2" t="s">
        <v>8</v>
      </c>
      <c r="K873" s="2" t="s">
        <v>8</v>
      </c>
      <c r="L873" s="2" t="s">
        <v>9</v>
      </c>
      <c r="N873" s="1" t="s">
        <v>11072</v>
      </c>
      <c r="O873" s="2" t="s">
        <v>589</v>
      </c>
      <c r="Q873" s="2" t="s">
        <v>12</v>
      </c>
      <c r="R873" s="2" t="s">
        <v>13</v>
      </c>
      <c r="S873" s="1" t="s">
        <v>1578</v>
      </c>
      <c r="T873" s="2" t="s">
        <v>14</v>
      </c>
      <c r="U873" s="3">
        <v>11</v>
      </c>
      <c r="V873" s="3">
        <v>11</v>
      </c>
      <c r="W873" s="4" t="s">
        <v>11073</v>
      </c>
      <c r="X873" s="4" t="s">
        <v>11073</v>
      </c>
      <c r="Y873" s="4" t="s">
        <v>11074</v>
      </c>
      <c r="Z873" s="4" t="s">
        <v>11074</v>
      </c>
      <c r="AA873" s="3">
        <v>87</v>
      </c>
      <c r="AB873" s="3">
        <v>49</v>
      </c>
      <c r="AC873" s="3">
        <v>53</v>
      </c>
      <c r="AD873" s="3">
        <v>1</v>
      </c>
      <c r="AE873" s="3">
        <v>1</v>
      </c>
      <c r="AF873" s="3">
        <v>0</v>
      </c>
      <c r="AG873" s="3">
        <v>0</v>
      </c>
      <c r="AH873" s="3">
        <v>0</v>
      </c>
      <c r="AI873" s="3">
        <v>0</v>
      </c>
      <c r="AJ873" s="3">
        <v>0</v>
      </c>
      <c r="AK873" s="3">
        <v>0</v>
      </c>
      <c r="AL873" s="3">
        <v>0</v>
      </c>
      <c r="AM873" s="3">
        <v>0</v>
      </c>
      <c r="AN873" s="3">
        <v>0</v>
      </c>
      <c r="AO873" s="3">
        <v>0</v>
      </c>
      <c r="AP873" s="3">
        <v>0</v>
      </c>
      <c r="AQ873" s="3">
        <v>0</v>
      </c>
      <c r="AR873" s="2" t="s">
        <v>8</v>
      </c>
      <c r="AS873" s="2" t="s">
        <v>6</v>
      </c>
      <c r="AT873" s="5" t="str">
        <f>HYPERLINK("http://catalog.hathitrust.org/Record/002238010","HathiTrust Record")</f>
        <v>HathiTrust Record</v>
      </c>
      <c r="AU873" s="5" t="str">
        <f>HYPERLINK("https://creighton-primo.hosted.exlibrisgroup.com/primo-explore/search?tab=default_tab&amp;search_scope=EVERYTHING&amp;vid=01CRU&amp;lang=en_US&amp;offset=0&amp;query=any,contains,991001031769702656","Catalog Record")</f>
        <v>Catalog Record</v>
      </c>
      <c r="AV873" s="5" t="str">
        <f>HYPERLINK("http://www.worldcat.org/oclc/20894192","WorldCat Record")</f>
        <v>WorldCat Record</v>
      </c>
      <c r="AW873" s="2" t="s">
        <v>11075</v>
      </c>
      <c r="AX873" s="2" t="s">
        <v>11076</v>
      </c>
      <c r="AY873" s="2" t="s">
        <v>11077</v>
      </c>
      <c r="AZ873" s="2" t="s">
        <v>11077</v>
      </c>
      <c r="BA873" s="2" t="s">
        <v>11078</v>
      </c>
      <c r="BB873" s="2" t="s">
        <v>21</v>
      </c>
      <c r="BD873" s="2" t="s">
        <v>11079</v>
      </c>
      <c r="BE873" s="2" t="s">
        <v>11080</v>
      </c>
      <c r="BF873" s="2" t="s">
        <v>11081</v>
      </c>
    </row>
    <row r="874" spans="1:58" ht="42.75" customHeight="1" x14ac:dyDescent="0.25">
      <c r="A874" s="8" t="s">
        <v>8</v>
      </c>
      <c r="B874" s="1" t="s">
        <v>0</v>
      </c>
      <c r="C874" s="1" t="s">
        <v>1</v>
      </c>
      <c r="D874" s="1" t="s">
        <v>11082</v>
      </c>
      <c r="E874" s="1" t="s">
        <v>11083</v>
      </c>
      <c r="F874" s="1" t="s">
        <v>11084</v>
      </c>
      <c r="H874" s="2" t="s">
        <v>8</v>
      </c>
      <c r="I874" s="2" t="s">
        <v>7</v>
      </c>
      <c r="J874" s="2" t="s">
        <v>8</v>
      </c>
      <c r="K874" s="2" t="s">
        <v>8</v>
      </c>
      <c r="L874" s="2" t="s">
        <v>858</v>
      </c>
      <c r="M874" s="1" t="s">
        <v>11085</v>
      </c>
      <c r="N874" s="1" t="s">
        <v>11086</v>
      </c>
      <c r="O874" s="2" t="s">
        <v>1060</v>
      </c>
      <c r="Q874" s="2" t="s">
        <v>12</v>
      </c>
      <c r="R874" s="2" t="s">
        <v>1211</v>
      </c>
      <c r="T874" s="2" t="s">
        <v>14</v>
      </c>
      <c r="U874" s="3">
        <v>2</v>
      </c>
      <c r="V874" s="3">
        <v>2</v>
      </c>
      <c r="W874" s="4" t="s">
        <v>11087</v>
      </c>
      <c r="X874" s="4" t="s">
        <v>11087</v>
      </c>
      <c r="Y874" s="4" t="s">
        <v>11088</v>
      </c>
      <c r="Z874" s="4" t="s">
        <v>11088</v>
      </c>
      <c r="AA874" s="3">
        <v>367</v>
      </c>
      <c r="AB874" s="3">
        <v>348</v>
      </c>
      <c r="AC874" s="3">
        <v>1493</v>
      </c>
      <c r="AD874" s="3">
        <v>2</v>
      </c>
      <c r="AE874" s="3">
        <v>32</v>
      </c>
      <c r="AF874" s="3">
        <v>12</v>
      </c>
      <c r="AG874" s="3">
        <v>51</v>
      </c>
      <c r="AH874" s="3">
        <v>3</v>
      </c>
      <c r="AI874" s="3">
        <v>17</v>
      </c>
      <c r="AJ874" s="3">
        <v>3</v>
      </c>
      <c r="AK874" s="3">
        <v>10</v>
      </c>
      <c r="AL874" s="3">
        <v>7</v>
      </c>
      <c r="AM874" s="3">
        <v>15</v>
      </c>
      <c r="AN874" s="3">
        <v>1</v>
      </c>
      <c r="AO874" s="3">
        <v>17</v>
      </c>
      <c r="AP874" s="3">
        <v>1</v>
      </c>
      <c r="AQ874" s="3">
        <v>1</v>
      </c>
      <c r="AR874" s="2" t="s">
        <v>8</v>
      </c>
      <c r="AS874" s="2" t="s">
        <v>8</v>
      </c>
      <c r="AU874" s="5" t="str">
        <f>HYPERLINK("https://creighton-primo.hosted.exlibrisgroup.com/primo-explore/search?tab=default_tab&amp;search_scope=EVERYTHING&amp;vid=01CRU&amp;lang=en_US&amp;offset=0&amp;query=any,contains,991001058439702656","Catalog Record")</f>
        <v>Catalog Record</v>
      </c>
      <c r="AV874" s="5" t="str">
        <f>HYPERLINK("http://www.worldcat.org/oclc/34766631","WorldCat Record")</f>
        <v>WorldCat Record</v>
      </c>
      <c r="AW874" s="2" t="s">
        <v>11089</v>
      </c>
      <c r="AX874" s="2" t="s">
        <v>11090</v>
      </c>
      <c r="AY874" s="2" t="s">
        <v>11091</v>
      </c>
      <c r="AZ874" s="2" t="s">
        <v>11091</v>
      </c>
      <c r="BA874" s="2" t="s">
        <v>11092</v>
      </c>
      <c r="BB874" s="2" t="s">
        <v>21</v>
      </c>
      <c r="BD874" s="2" t="s">
        <v>11093</v>
      </c>
      <c r="BE874" s="2" t="s">
        <v>11094</v>
      </c>
      <c r="BF874" s="2" t="s">
        <v>11095</v>
      </c>
    </row>
    <row r="875" spans="1:58" ht="42.75" customHeight="1" x14ac:dyDescent="0.25">
      <c r="A875" s="8" t="s">
        <v>8</v>
      </c>
      <c r="B875" s="1" t="s">
        <v>0</v>
      </c>
      <c r="C875" s="1" t="s">
        <v>1</v>
      </c>
      <c r="D875" s="1" t="s">
        <v>11096</v>
      </c>
      <c r="E875" s="1" t="s">
        <v>11097</v>
      </c>
      <c r="F875" s="1" t="s">
        <v>11098</v>
      </c>
      <c r="H875" s="2" t="s">
        <v>8</v>
      </c>
      <c r="I875" s="2" t="s">
        <v>7</v>
      </c>
      <c r="J875" s="2" t="s">
        <v>8</v>
      </c>
      <c r="K875" s="2" t="s">
        <v>8</v>
      </c>
      <c r="L875" s="2" t="s">
        <v>9</v>
      </c>
      <c r="N875" s="1" t="s">
        <v>11099</v>
      </c>
      <c r="O875" s="2" t="s">
        <v>814</v>
      </c>
      <c r="Q875" s="2" t="s">
        <v>12</v>
      </c>
      <c r="R875" s="2" t="s">
        <v>1340</v>
      </c>
      <c r="S875" s="1" t="s">
        <v>11100</v>
      </c>
      <c r="T875" s="2" t="s">
        <v>14</v>
      </c>
      <c r="U875" s="3">
        <v>4</v>
      </c>
      <c r="V875" s="3">
        <v>4</v>
      </c>
      <c r="W875" s="4" t="s">
        <v>11101</v>
      </c>
      <c r="X875" s="4" t="s">
        <v>11101</v>
      </c>
      <c r="Y875" s="4" t="s">
        <v>11102</v>
      </c>
      <c r="Z875" s="4" t="s">
        <v>11102</v>
      </c>
      <c r="AA875" s="3">
        <v>320</v>
      </c>
      <c r="AB875" s="3">
        <v>283</v>
      </c>
      <c r="AC875" s="3">
        <v>1120</v>
      </c>
      <c r="AD875" s="3">
        <v>2</v>
      </c>
      <c r="AE875" s="3">
        <v>4</v>
      </c>
      <c r="AF875" s="3">
        <v>15</v>
      </c>
      <c r="AG875" s="3">
        <v>29</v>
      </c>
      <c r="AH875" s="3">
        <v>5</v>
      </c>
      <c r="AI875" s="3">
        <v>16</v>
      </c>
      <c r="AJ875" s="3">
        <v>5</v>
      </c>
      <c r="AK875" s="3">
        <v>6</v>
      </c>
      <c r="AL875" s="3">
        <v>8</v>
      </c>
      <c r="AM875" s="3">
        <v>12</v>
      </c>
      <c r="AN875" s="3">
        <v>0</v>
      </c>
      <c r="AO875" s="3">
        <v>1</v>
      </c>
      <c r="AP875" s="3">
        <v>0</v>
      </c>
      <c r="AQ875" s="3">
        <v>0</v>
      </c>
      <c r="AR875" s="2" t="s">
        <v>8</v>
      </c>
      <c r="AS875" s="2" t="s">
        <v>6</v>
      </c>
      <c r="AT875" s="5" t="str">
        <f>HYPERLINK("http://catalog.hathitrust.org/Record/003331525","HathiTrust Record")</f>
        <v>HathiTrust Record</v>
      </c>
      <c r="AU875" s="5" t="str">
        <f>HYPERLINK("https://creighton-primo.hosted.exlibrisgroup.com/primo-explore/search?tab=default_tab&amp;search_scope=EVERYTHING&amp;vid=01CRU&amp;lang=en_US&amp;offset=0&amp;query=any,contains,991001705239702656","Catalog Record")</f>
        <v>Catalog Record</v>
      </c>
      <c r="AV875" s="5" t="str">
        <f>HYPERLINK("http://www.worldcat.org/oclc/40444072","WorldCat Record")</f>
        <v>WorldCat Record</v>
      </c>
      <c r="AW875" s="2" t="s">
        <v>11103</v>
      </c>
      <c r="AX875" s="2" t="s">
        <v>11104</v>
      </c>
      <c r="AY875" s="2" t="s">
        <v>11105</v>
      </c>
      <c r="AZ875" s="2" t="s">
        <v>11105</v>
      </c>
      <c r="BA875" s="2" t="s">
        <v>11106</v>
      </c>
      <c r="BB875" s="2" t="s">
        <v>21</v>
      </c>
      <c r="BD875" s="2" t="s">
        <v>11107</v>
      </c>
      <c r="BE875" s="2" t="s">
        <v>11108</v>
      </c>
      <c r="BF875" s="2" t="s">
        <v>11109</v>
      </c>
    </row>
    <row r="876" spans="1:58" ht="42.75" customHeight="1" x14ac:dyDescent="0.25">
      <c r="A876" s="8" t="s">
        <v>8</v>
      </c>
      <c r="B876" s="1" t="s">
        <v>0</v>
      </c>
      <c r="C876" s="1" t="s">
        <v>1</v>
      </c>
      <c r="D876" s="1" t="s">
        <v>11110</v>
      </c>
      <c r="E876" s="1" t="s">
        <v>11111</v>
      </c>
      <c r="F876" s="1" t="s">
        <v>11112</v>
      </c>
      <c r="H876" s="2" t="s">
        <v>8</v>
      </c>
      <c r="I876" s="2" t="s">
        <v>7</v>
      </c>
      <c r="J876" s="2" t="s">
        <v>8</v>
      </c>
      <c r="K876" s="2" t="s">
        <v>8</v>
      </c>
      <c r="L876" s="2" t="s">
        <v>9</v>
      </c>
      <c r="N876" s="1" t="s">
        <v>11113</v>
      </c>
      <c r="O876" s="2" t="s">
        <v>1034</v>
      </c>
      <c r="Q876" s="2" t="s">
        <v>12</v>
      </c>
      <c r="R876" s="2" t="s">
        <v>13</v>
      </c>
      <c r="T876" s="2" t="s">
        <v>14</v>
      </c>
      <c r="U876" s="3">
        <v>1</v>
      </c>
      <c r="V876" s="3">
        <v>1</v>
      </c>
      <c r="W876" s="4" t="s">
        <v>11114</v>
      </c>
      <c r="X876" s="4" t="s">
        <v>11114</v>
      </c>
      <c r="Y876" s="4" t="s">
        <v>16</v>
      </c>
      <c r="Z876" s="4" t="s">
        <v>16</v>
      </c>
      <c r="AA876" s="3">
        <v>174</v>
      </c>
      <c r="AB876" s="3">
        <v>151</v>
      </c>
      <c r="AC876" s="3">
        <v>153</v>
      </c>
      <c r="AD876" s="3">
        <v>2</v>
      </c>
      <c r="AE876" s="3">
        <v>2</v>
      </c>
      <c r="AF876" s="3">
        <v>7</v>
      </c>
      <c r="AG876" s="3">
        <v>7</v>
      </c>
      <c r="AH876" s="3">
        <v>2</v>
      </c>
      <c r="AI876" s="3">
        <v>2</v>
      </c>
      <c r="AJ876" s="3">
        <v>3</v>
      </c>
      <c r="AK876" s="3">
        <v>3</v>
      </c>
      <c r="AL876" s="3">
        <v>2</v>
      </c>
      <c r="AM876" s="3">
        <v>2</v>
      </c>
      <c r="AN876" s="3">
        <v>1</v>
      </c>
      <c r="AO876" s="3">
        <v>1</v>
      </c>
      <c r="AP876" s="3">
        <v>0</v>
      </c>
      <c r="AQ876" s="3">
        <v>0</v>
      </c>
      <c r="AR876" s="2" t="s">
        <v>8</v>
      </c>
      <c r="AS876" s="2" t="s">
        <v>6</v>
      </c>
      <c r="AT876" s="5" t="str">
        <f>HYPERLINK("http://catalog.hathitrust.org/Record/000745859","HathiTrust Record")</f>
        <v>HathiTrust Record</v>
      </c>
      <c r="AU876" s="5" t="str">
        <f>HYPERLINK("https://creighton-primo.hosted.exlibrisgroup.com/primo-explore/search?tab=default_tab&amp;search_scope=EVERYTHING&amp;vid=01CRU&amp;lang=en_US&amp;offset=0&amp;query=any,contains,991000659379702656","Catalog Record")</f>
        <v>Catalog Record</v>
      </c>
      <c r="AV876" s="5" t="str">
        <f>HYPERLINK("http://www.worldcat.org/oclc/4504138","WorldCat Record")</f>
        <v>WorldCat Record</v>
      </c>
      <c r="AW876" s="2" t="s">
        <v>11115</v>
      </c>
      <c r="AX876" s="2" t="s">
        <v>11116</v>
      </c>
      <c r="AY876" s="2" t="s">
        <v>11117</v>
      </c>
      <c r="AZ876" s="2" t="s">
        <v>11117</v>
      </c>
      <c r="BA876" s="2" t="s">
        <v>11118</v>
      </c>
      <c r="BB876" s="2" t="s">
        <v>21</v>
      </c>
      <c r="BD876" s="2" t="s">
        <v>11119</v>
      </c>
      <c r="BE876" s="2" t="s">
        <v>11120</v>
      </c>
      <c r="BF876" s="2" t="s">
        <v>11121</v>
      </c>
    </row>
    <row r="877" spans="1:58" ht="42.75" customHeight="1" x14ac:dyDescent="0.25">
      <c r="A877" s="8" t="s">
        <v>8</v>
      </c>
      <c r="B877" s="1" t="s">
        <v>0</v>
      </c>
      <c r="C877" s="1" t="s">
        <v>1</v>
      </c>
      <c r="D877" s="1" t="s">
        <v>11122</v>
      </c>
      <c r="E877" s="1" t="s">
        <v>11123</v>
      </c>
      <c r="F877" s="1" t="s">
        <v>11124</v>
      </c>
      <c r="H877" s="2" t="s">
        <v>8</v>
      </c>
      <c r="I877" s="2" t="s">
        <v>7</v>
      </c>
      <c r="J877" s="2" t="s">
        <v>8</v>
      </c>
      <c r="K877" s="2" t="s">
        <v>8</v>
      </c>
      <c r="L877" s="2" t="s">
        <v>9</v>
      </c>
      <c r="N877" s="1" t="s">
        <v>3486</v>
      </c>
      <c r="O877" s="2" t="s">
        <v>1060</v>
      </c>
      <c r="Q877" s="2" t="s">
        <v>12</v>
      </c>
      <c r="R877" s="2" t="s">
        <v>456</v>
      </c>
      <c r="T877" s="2" t="s">
        <v>14</v>
      </c>
      <c r="U877" s="3">
        <v>19</v>
      </c>
      <c r="V877" s="3">
        <v>19</v>
      </c>
      <c r="W877" s="4" t="s">
        <v>11125</v>
      </c>
      <c r="X877" s="4" t="s">
        <v>11125</v>
      </c>
      <c r="Y877" s="4" t="s">
        <v>6153</v>
      </c>
      <c r="Z877" s="4" t="s">
        <v>6153</v>
      </c>
      <c r="AA877" s="3">
        <v>142</v>
      </c>
      <c r="AB877" s="3">
        <v>103</v>
      </c>
      <c r="AC877" s="3">
        <v>105</v>
      </c>
      <c r="AD877" s="3">
        <v>1</v>
      </c>
      <c r="AE877" s="3">
        <v>1</v>
      </c>
      <c r="AF877" s="3">
        <v>5</v>
      </c>
      <c r="AG877" s="3">
        <v>5</v>
      </c>
      <c r="AH877" s="3">
        <v>3</v>
      </c>
      <c r="AI877" s="3">
        <v>3</v>
      </c>
      <c r="AJ877" s="3">
        <v>1</v>
      </c>
      <c r="AK877" s="3">
        <v>1</v>
      </c>
      <c r="AL877" s="3">
        <v>3</v>
      </c>
      <c r="AM877" s="3">
        <v>3</v>
      </c>
      <c r="AN877" s="3">
        <v>0</v>
      </c>
      <c r="AO877" s="3">
        <v>0</v>
      </c>
      <c r="AP877" s="3">
        <v>0</v>
      </c>
      <c r="AQ877" s="3">
        <v>0</v>
      </c>
      <c r="AR877" s="2" t="s">
        <v>8</v>
      </c>
      <c r="AS877" s="2" t="s">
        <v>6</v>
      </c>
      <c r="AT877" s="5" t="str">
        <f>HYPERLINK("http://catalog.hathitrust.org/Record/003065014","HathiTrust Record")</f>
        <v>HathiTrust Record</v>
      </c>
      <c r="AU877" s="5" t="str">
        <f>HYPERLINK("https://creighton-primo.hosted.exlibrisgroup.com/primo-explore/search?tab=default_tab&amp;search_scope=EVERYTHING&amp;vid=01CRU&amp;lang=en_US&amp;offset=0&amp;query=any,contains,991000852729702656","Catalog Record")</f>
        <v>Catalog Record</v>
      </c>
      <c r="AV877" s="5" t="str">
        <f>HYPERLINK("http://www.worldcat.org/oclc/32705459","WorldCat Record")</f>
        <v>WorldCat Record</v>
      </c>
      <c r="AW877" s="2" t="s">
        <v>11126</v>
      </c>
      <c r="AX877" s="2" t="s">
        <v>11127</v>
      </c>
      <c r="AY877" s="2" t="s">
        <v>11128</v>
      </c>
      <c r="AZ877" s="2" t="s">
        <v>11128</v>
      </c>
      <c r="BA877" s="2" t="s">
        <v>11129</v>
      </c>
      <c r="BB877" s="2" t="s">
        <v>21</v>
      </c>
      <c r="BD877" s="2" t="s">
        <v>11130</v>
      </c>
      <c r="BE877" s="2" t="s">
        <v>11131</v>
      </c>
      <c r="BF877" s="2" t="s">
        <v>11132</v>
      </c>
    </row>
    <row r="878" spans="1:58" ht="42.75" customHeight="1" x14ac:dyDescent="0.25">
      <c r="A878" s="8" t="s">
        <v>8</v>
      </c>
      <c r="B878" s="1" t="s">
        <v>0</v>
      </c>
      <c r="C878" s="1" t="s">
        <v>1</v>
      </c>
      <c r="D878" s="1" t="s">
        <v>11133</v>
      </c>
      <c r="E878" s="1" t="s">
        <v>11134</v>
      </c>
      <c r="F878" s="1" t="s">
        <v>11135</v>
      </c>
      <c r="H878" s="2" t="s">
        <v>8</v>
      </c>
      <c r="I878" s="2" t="s">
        <v>7</v>
      </c>
      <c r="J878" s="2" t="s">
        <v>8</v>
      </c>
      <c r="K878" s="2" t="s">
        <v>6</v>
      </c>
      <c r="L878" s="2" t="s">
        <v>9</v>
      </c>
      <c r="N878" s="1" t="s">
        <v>11136</v>
      </c>
      <c r="O878" s="2" t="s">
        <v>814</v>
      </c>
      <c r="Q878" s="2" t="s">
        <v>12</v>
      </c>
      <c r="R878" s="2" t="s">
        <v>774</v>
      </c>
      <c r="T878" s="2" t="s">
        <v>14</v>
      </c>
      <c r="U878" s="3">
        <v>1</v>
      </c>
      <c r="V878" s="3">
        <v>1</v>
      </c>
      <c r="W878" s="4" t="s">
        <v>11137</v>
      </c>
      <c r="X878" s="4" t="s">
        <v>11137</v>
      </c>
      <c r="Y878" s="4" t="s">
        <v>11138</v>
      </c>
      <c r="Z878" s="4" t="s">
        <v>11138</v>
      </c>
      <c r="AA878" s="3">
        <v>187</v>
      </c>
      <c r="AB878" s="3">
        <v>152</v>
      </c>
      <c r="AC878" s="3">
        <v>506</v>
      </c>
      <c r="AD878" s="3">
        <v>1</v>
      </c>
      <c r="AE878" s="3">
        <v>3</v>
      </c>
      <c r="AF878" s="3">
        <v>6</v>
      </c>
      <c r="AG878" s="3">
        <v>25</v>
      </c>
      <c r="AH878" s="3">
        <v>4</v>
      </c>
      <c r="AI878" s="3">
        <v>12</v>
      </c>
      <c r="AJ878" s="3">
        <v>2</v>
      </c>
      <c r="AK878" s="3">
        <v>5</v>
      </c>
      <c r="AL878" s="3">
        <v>3</v>
      </c>
      <c r="AM878" s="3">
        <v>13</v>
      </c>
      <c r="AN878" s="3">
        <v>0</v>
      </c>
      <c r="AO878" s="3">
        <v>2</v>
      </c>
      <c r="AP878" s="3">
        <v>0</v>
      </c>
      <c r="AQ878" s="3">
        <v>0</v>
      </c>
      <c r="AR878" s="2" t="s">
        <v>8</v>
      </c>
      <c r="AS878" s="2" t="s">
        <v>6</v>
      </c>
      <c r="AT878" s="5" t="str">
        <f>HYPERLINK("http://catalog.hathitrust.org/Record/004038385","HathiTrust Record")</f>
        <v>HathiTrust Record</v>
      </c>
      <c r="AU878" s="5" t="str">
        <f>HYPERLINK("https://creighton-primo.hosted.exlibrisgroup.com/primo-explore/search?tab=default_tab&amp;search_scope=EVERYTHING&amp;vid=01CRU&amp;lang=en_US&amp;offset=0&amp;query=any,contains,991000576229702656","Catalog Record")</f>
        <v>Catalog Record</v>
      </c>
      <c r="AV878" s="5" t="str">
        <f>HYPERLINK("http://www.worldcat.org/oclc/41211416","WorldCat Record")</f>
        <v>WorldCat Record</v>
      </c>
      <c r="AW878" s="2" t="s">
        <v>11139</v>
      </c>
      <c r="AX878" s="2" t="s">
        <v>11140</v>
      </c>
      <c r="AY878" s="2" t="s">
        <v>11141</v>
      </c>
      <c r="AZ878" s="2" t="s">
        <v>11141</v>
      </c>
      <c r="BA878" s="2" t="s">
        <v>11142</v>
      </c>
      <c r="BB878" s="2" t="s">
        <v>21</v>
      </c>
      <c r="BD878" s="2" t="s">
        <v>11143</v>
      </c>
      <c r="BE878" s="2" t="s">
        <v>11144</v>
      </c>
      <c r="BF878" s="2" t="s">
        <v>11145</v>
      </c>
    </row>
    <row r="879" spans="1:58" ht="42.75" customHeight="1" x14ac:dyDescent="0.25">
      <c r="A879" s="8" t="s">
        <v>8</v>
      </c>
      <c r="B879" s="1" t="s">
        <v>0</v>
      </c>
      <c r="C879" s="1" t="s">
        <v>1</v>
      </c>
      <c r="D879" s="1" t="s">
        <v>11146</v>
      </c>
      <c r="E879" s="1" t="s">
        <v>11147</v>
      </c>
      <c r="F879" s="1" t="s">
        <v>11148</v>
      </c>
      <c r="H879" s="2" t="s">
        <v>8</v>
      </c>
      <c r="I879" s="2" t="s">
        <v>7</v>
      </c>
      <c r="J879" s="2" t="s">
        <v>8</v>
      </c>
      <c r="K879" s="2" t="s">
        <v>6</v>
      </c>
      <c r="L879" s="2" t="s">
        <v>885</v>
      </c>
      <c r="N879" s="1" t="s">
        <v>2088</v>
      </c>
      <c r="O879" s="2" t="s">
        <v>2089</v>
      </c>
      <c r="P879" s="1" t="s">
        <v>2031</v>
      </c>
      <c r="Q879" s="2" t="s">
        <v>12</v>
      </c>
      <c r="R879" s="2" t="s">
        <v>456</v>
      </c>
      <c r="T879" s="2" t="s">
        <v>14</v>
      </c>
      <c r="U879" s="3">
        <v>0</v>
      </c>
      <c r="V879" s="3">
        <v>0</v>
      </c>
      <c r="W879" s="4" t="s">
        <v>10687</v>
      </c>
      <c r="X879" s="4" t="s">
        <v>10687</v>
      </c>
      <c r="Y879" s="4" t="s">
        <v>11149</v>
      </c>
      <c r="Z879" s="4" t="s">
        <v>11149</v>
      </c>
      <c r="AA879" s="3">
        <v>274</v>
      </c>
      <c r="AB879" s="3">
        <v>215</v>
      </c>
      <c r="AC879" s="3">
        <v>1151</v>
      </c>
      <c r="AD879" s="3">
        <v>2</v>
      </c>
      <c r="AE879" s="3">
        <v>15</v>
      </c>
      <c r="AF879" s="3">
        <v>8</v>
      </c>
      <c r="AG879" s="3">
        <v>45</v>
      </c>
      <c r="AH879" s="3">
        <v>2</v>
      </c>
      <c r="AI879" s="3">
        <v>12</v>
      </c>
      <c r="AJ879" s="3">
        <v>2</v>
      </c>
      <c r="AK879" s="3">
        <v>9</v>
      </c>
      <c r="AL879" s="3">
        <v>4</v>
      </c>
      <c r="AM879" s="3">
        <v>16</v>
      </c>
      <c r="AN879" s="3">
        <v>1</v>
      </c>
      <c r="AO879" s="3">
        <v>13</v>
      </c>
      <c r="AP879" s="3">
        <v>0</v>
      </c>
      <c r="AQ879" s="3">
        <v>1</v>
      </c>
      <c r="AR879" s="2" t="s">
        <v>8</v>
      </c>
      <c r="AS879" s="2" t="s">
        <v>8</v>
      </c>
      <c r="AU879" s="5" t="str">
        <f>HYPERLINK("https://creighton-primo.hosted.exlibrisgroup.com/primo-explore/search?tab=default_tab&amp;search_scope=EVERYTHING&amp;vid=01CRU&amp;lang=en_US&amp;offset=0&amp;query=any,contains,991000447409702656","Catalog Record")</f>
        <v>Catalog Record</v>
      </c>
      <c r="AV879" s="5" t="str">
        <f>HYPERLINK("http://www.worldcat.org/oclc/60414518","WorldCat Record")</f>
        <v>WorldCat Record</v>
      </c>
      <c r="AW879" s="2" t="s">
        <v>11150</v>
      </c>
      <c r="AX879" s="2" t="s">
        <v>11151</v>
      </c>
      <c r="AY879" s="2" t="s">
        <v>11152</v>
      </c>
      <c r="AZ879" s="2" t="s">
        <v>11152</v>
      </c>
      <c r="BA879" s="2" t="s">
        <v>11153</v>
      </c>
      <c r="BB879" s="2" t="s">
        <v>21</v>
      </c>
      <c r="BD879" s="2" t="s">
        <v>11154</v>
      </c>
      <c r="BE879" s="2" t="s">
        <v>11155</v>
      </c>
      <c r="BF879" s="2" t="s">
        <v>11156</v>
      </c>
    </row>
    <row r="880" spans="1:58" ht="42.75" customHeight="1" x14ac:dyDescent="0.25">
      <c r="A880" s="8" t="s">
        <v>8</v>
      </c>
      <c r="B880" s="1" t="s">
        <v>0</v>
      </c>
      <c r="C880" s="1" t="s">
        <v>1</v>
      </c>
      <c r="D880" s="1" t="s">
        <v>11157</v>
      </c>
      <c r="E880" s="1" t="s">
        <v>11158</v>
      </c>
      <c r="F880" s="1" t="s">
        <v>11159</v>
      </c>
      <c r="H880" s="2" t="s">
        <v>8</v>
      </c>
      <c r="I880" s="2" t="s">
        <v>7</v>
      </c>
      <c r="J880" s="2" t="s">
        <v>8</v>
      </c>
      <c r="K880" s="2" t="s">
        <v>6</v>
      </c>
      <c r="L880" s="2" t="s">
        <v>9</v>
      </c>
      <c r="N880" s="1" t="s">
        <v>11160</v>
      </c>
      <c r="O880" s="2" t="s">
        <v>907</v>
      </c>
      <c r="P880" s="1" t="s">
        <v>1225</v>
      </c>
      <c r="Q880" s="2" t="s">
        <v>12</v>
      </c>
      <c r="R880" s="2" t="s">
        <v>774</v>
      </c>
      <c r="T880" s="2" t="s">
        <v>14</v>
      </c>
      <c r="U880" s="3">
        <v>2</v>
      </c>
      <c r="V880" s="3">
        <v>2</v>
      </c>
      <c r="W880" s="4" t="s">
        <v>1182</v>
      </c>
      <c r="X880" s="4" t="s">
        <v>1182</v>
      </c>
      <c r="Y880" s="4" t="s">
        <v>11161</v>
      </c>
      <c r="Z880" s="4" t="s">
        <v>11161</v>
      </c>
      <c r="AA880" s="3">
        <v>381</v>
      </c>
      <c r="AB880" s="3">
        <v>299</v>
      </c>
      <c r="AC880" s="3">
        <v>445</v>
      </c>
      <c r="AD880" s="3">
        <v>1</v>
      </c>
      <c r="AE880" s="3">
        <v>2</v>
      </c>
      <c r="AF880" s="3">
        <v>14</v>
      </c>
      <c r="AG880" s="3">
        <v>23</v>
      </c>
      <c r="AH880" s="3">
        <v>9</v>
      </c>
      <c r="AI880" s="3">
        <v>13</v>
      </c>
      <c r="AJ880" s="3">
        <v>2</v>
      </c>
      <c r="AK880" s="3">
        <v>3</v>
      </c>
      <c r="AL880" s="3">
        <v>8</v>
      </c>
      <c r="AM880" s="3">
        <v>12</v>
      </c>
      <c r="AN880" s="3">
        <v>0</v>
      </c>
      <c r="AO880" s="3">
        <v>1</v>
      </c>
      <c r="AP880" s="3">
        <v>0</v>
      </c>
      <c r="AQ880" s="3">
        <v>0</v>
      </c>
      <c r="AR880" s="2" t="s">
        <v>8</v>
      </c>
      <c r="AS880" s="2" t="s">
        <v>6</v>
      </c>
      <c r="AT880" s="5" t="str">
        <f>HYPERLINK("http://catalog.hathitrust.org/Record/004094983","HathiTrust Record")</f>
        <v>HathiTrust Record</v>
      </c>
      <c r="AU880" s="5" t="str">
        <f>HYPERLINK("https://creighton-primo.hosted.exlibrisgroup.com/primo-explore/search?tab=default_tab&amp;search_scope=EVERYTHING&amp;vid=01CRU&amp;lang=en_US&amp;offset=0&amp;query=any,contains,991001714749702656","Catalog Record")</f>
        <v>Catalog Record</v>
      </c>
      <c r="AV880" s="5" t="str">
        <f>HYPERLINK("http://www.worldcat.org/oclc/42969532","WorldCat Record")</f>
        <v>WorldCat Record</v>
      </c>
      <c r="AW880" s="2" t="s">
        <v>11162</v>
      </c>
      <c r="AX880" s="2" t="s">
        <v>11163</v>
      </c>
      <c r="AY880" s="2" t="s">
        <v>11164</v>
      </c>
      <c r="AZ880" s="2" t="s">
        <v>11164</v>
      </c>
      <c r="BA880" s="2" t="s">
        <v>11165</v>
      </c>
      <c r="BB880" s="2" t="s">
        <v>21</v>
      </c>
      <c r="BD880" s="2" t="s">
        <v>11166</v>
      </c>
      <c r="BE880" s="2" t="s">
        <v>11167</v>
      </c>
      <c r="BF880" s="2" t="s">
        <v>11168</v>
      </c>
    </row>
    <row r="881" spans="1:58" ht="42.75" customHeight="1" x14ac:dyDescent="0.25">
      <c r="A881" s="8" t="s">
        <v>8</v>
      </c>
      <c r="B881" s="1" t="s">
        <v>0</v>
      </c>
      <c r="C881" s="1" t="s">
        <v>1</v>
      </c>
      <c r="D881" s="1" t="s">
        <v>11169</v>
      </c>
      <c r="E881" s="1" t="s">
        <v>11170</v>
      </c>
      <c r="F881" s="1" t="s">
        <v>11171</v>
      </c>
      <c r="H881" s="2" t="s">
        <v>8</v>
      </c>
      <c r="I881" s="2" t="s">
        <v>7</v>
      </c>
      <c r="J881" s="2" t="s">
        <v>8</v>
      </c>
      <c r="K881" s="2" t="s">
        <v>8</v>
      </c>
      <c r="L881" s="2" t="s">
        <v>9</v>
      </c>
      <c r="N881" s="1" t="s">
        <v>11172</v>
      </c>
      <c r="O881" s="2" t="s">
        <v>602</v>
      </c>
      <c r="Q881" s="2" t="s">
        <v>12</v>
      </c>
      <c r="R881" s="2" t="s">
        <v>34</v>
      </c>
      <c r="S881" s="1" t="s">
        <v>11173</v>
      </c>
      <c r="T881" s="2" t="s">
        <v>14</v>
      </c>
      <c r="U881" s="3">
        <v>5</v>
      </c>
      <c r="V881" s="3">
        <v>5</v>
      </c>
      <c r="W881" s="4" t="s">
        <v>2933</v>
      </c>
      <c r="X881" s="4" t="s">
        <v>2933</v>
      </c>
      <c r="Y881" s="4" t="s">
        <v>11174</v>
      </c>
      <c r="Z881" s="4" t="s">
        <v>11174</v>
      </c>
      <c r="AA881" s="3">
        <v>267</v>
      </c>
      <c r="AB881" s="3">
        <v>177</v>
      </c>
      <c r="AC881" s="3">
        <v>177</v>
      </c>
      <c r="AD881" s="3">
        <v>2</v>
      </c>
      <c r="AE881" s="3">
        <v>2</v>
      </c>
      <c r="AF881" s="3">
        <v>8</v>
      </c>
      <c r="AG881" s="3">
        <v>8</v>
      </c>
      <c r="AH881" s="3">
        <v>3</v>
      </c>
      <c r="AI881" s="3">
        <v>3</v>
      </c>
      <c r="AJ881" s="3">
        <v>2</v>
      </c>
      <c r="AK881" s="3">
        <v>2</v>
      </c>
      <c r="AL881" s="3">
        <v>6</v>
      </c>
      <c r="AM881" s="3">
        <v>6</v>
      </c>
      <c r="AN881" s="3">
        <v>1</v>
      </c>
      <c r="AO881" s="3">
        <v>1</v>
      </c>
      <c r="AP881" s="3">
        <v>0</v>
      </c>
      <c r="AQ881" s="3">
        <v>0</v>
      </c>
      <c r="AR881" s="2" t="s">
        <v>8</v>
      </c>
      <c r="AS881" s="2" t="s">
        <v>8</v>
      </c>
      <c r="AU881" s="5" t="str">
        <f>HYPERLINK("https://creighton-primo.hosted.exlibrisgroup.com/primo-explore/search?tab=default_tab&amp;search_scope=EVERYTHING&amp;vid=01CRU&amp;lang=en_US&amp;offset=0&amp;query=any,contains,991001341409702656","Catalog Record")</f>
        <v>Catalog Record</v>
      </c>
      <c r="AV881" s="5" t="str">
        <f>HYPERLINK("http://www.worldcat.org/oclc/22664412","WorldCat Record")</f>
        <v>WorldCat Record</v>
      </c>
      <c r="AW881" s="2" t="s">
        <v>11175</v>
      </c>
      <c r="AX881" s="2" t="s">
        <v>11176</v>
      </c>
      <c r="AY881" s="2" t="s">
        <v>11177</v>
      </c>
      <c r="AZ881" s="2" t="s">
        <v>11177</v>
      </c>
      <c r="BA881" s="2" t="s">
        <v>11178</v>
      </c>
      <c r="BB881" s="2" t="s">
        <v>21</v>
      </c>
      <c r="BD881" s="2" t="s">
        <v>11179</v>
      </c>
      <c r="BE881" s="2" t="s">
        <v>11180</v>
      </c>
      <c r="BF881" s="2" t="s">
        <v>11181</v>
      </c>
    </row>
    <row r="882" spans="1:58" ht="42.75" customHeight="1" x14ac:dyDescent="0.25">
      <c r="A882" s="8" t="s">
        <v>8</v>
      </c>
      <c r="B882" s="1" t="s">
        <v>0</v>
      </c>
      <c r="C882" s="1" t="s">
        <v>1</v>
      </c>
      <c r="D882" s="1" t="s">
        <v>11182</v>
      </c>
      <c r="E882" s="1" t="s">
        <v>11183</v>
      </c>
      <c r="F882" s="1" t="s">
        <v>11184</v>
      </c>
      <c r="H882" s="2" t="s">
        <v>8</v>
      </c>
      <c r="I882" s="2" t="s">
        <v>7</v>
      </c>
      <c r="J882" s="2" t="s">
        <v>8</v>
      </c>
      <c r="K882" s="2" t="s">
        <v>8</v>
      </c>
      <c r="L882" s="2" t="s">
        <v>9</v>
      </c>
      <c r="N882" s="1" t="s">
        <v>11185</v>
      </c>
      <c r="O882" s="2" t="s">
        <v>1459</v>
      </c>
      <c r="Q882" s="2" t="s">
        <v>12</v>
      </c>
      <c r="R882" s="2" t="s">
        <v>13</v>
      </c>
      <c r="S882" s="1" t="s">
        <v>11186</v>
      </c>
      <c r="T882" s="2" t="s">
        <v>14</v>
      </c>
      <c r="U882" s="3">
        <v>1</v>
      </c>
      <c r="V882" s="3">
        <v>1</v>
      </c>
      <c r="W882" s="4" t="s">
        <v>11187</v>
      </c>
      <c r="X882" s="4" t="s">
        <v>11187</v>
      </c>
      <c r="Y882" s="4" t="s">
        <v>4076</v>
      </c>
      <c r="Z882" s="4" t="s">
        <v>4076</v>
      </c>
      <c r="AA882" s="3">
        <v>67</v>
      </c>
      <c r="AB882" s="3">
        <v>62</v>
      </c>
      <c r="AC882" s="3">
        <v>82</v>
      </c>
      <c r="AD882" s="3">
        <v>1</v>
      </c>
      <c r="AE882" s="3">
        <v>1</v>
      </c>
      <c r="AF882" s="3">
        <v>3</v>
      </c>
      <c r="AG882" s="3">
        <v>3</v>
      </c>
      <c r="AH882" s="3">
        <v>0</v>
      </c>
      <c r="AI882" s="3">
        <v>0</v>
      </c>
      <c r="AJ882" s="3">
        <v>1</v>
      </c>
      <c r="AK882" s="3">
        <v>1</v>
      </c>
      <c r="AL882" s="3">
        <v>3</v>
      </c>
      <c r="AM882" s="3">
        <v>3</v>
      </c>
      <c r="AN882" s="3">
        <v>0</v>
      </c>
      <c r="AO882" s="3">
        <v>0</v>
      </c>
      <c r="AP882" s="3">
        <v>0</v>
      </c>
      <c r="AQ882" s="3">
        <v>0</v>
      </c>
      <c r="AR882" s="2" t="s">
        <v>8</v>
      </c>
      <c r="AS882" s="2" t="s">
        <v>8</v>
      </c>
      <c r="AU882" s="5" t="str">
        <f>HYPERLINK("https://creighton-primo.hosted.exlibrisgroup.com/primo-explore/search?tab=default_tab&amp;search_scope=EVERYTHING&amp;vid=01CRU&amp;lang=en_US&amp;offset=0&amp;query=any,contains,991001384319702656","Catalog Record")</f>
        <v>Catalog Record</v>
      </c>
      <c r="AV882" s="5" t="str">
        <f>HYPERLINK("http://www.worldcat.org/oclc/2932038","WorldCat Record")</f>
        <v>WorldCat Record</v>
      </c>
      <c r="AW882" s="2" t="s">
        <v>11188</v>
      </c>
      <c r="AX882" s="2" t="s">
        <v>11189</v>
      </c>
      <c r="AY882" s="2" t="s">
        <v>11190</v>
      </c>
      <c r="AZ882" s="2" t="s">
        <v>11190</v>
      </c>
      <c r="BA882" s="2" t="s">
        <v>11191</v>
      </c>
      <c r="BB882" s="2" t="s">
        <v>21</v>
      </c>
      <c r="BE882" s="2" t="s">
        <v>11192</v>
      </c>
      <c r="BF882" s="2" t="s">
        <v>11193</v>
      </c>
    </row>
    <row r="883" spans="1:58" ht="42.75" customHeight="1" x14ac:dyDescent="0.25">
      <c r="A883" s="8" t="s">
        <v>8</v>
      </c>
      <c r="B883" s="1" t="s">
        <v>0</v>
      </c>
      <c r="C883" s="1" t="s">
        <v>1</v>
      </c>
      <c r="D883" s="1" t="s">
        <v>11194</v>
      </c>
      <c r="E883" s="1" t="s">
        <v>11195</v>
      </c>
      <c r="F883" s="1" t="s">
        <v>11196</v>
      </c>
      <c r="H883" s="2" t="s">
        <v>8</v>
      </c>
      <c r="I883" s="2" t="s">
        <v>7</v>
      </c>
      <c r="J883" s="2" t="s">
        <v>8</v>
      </c>
      <c r="K883" s="2" t="s">
        <v>8</v>
      </c>
      <c r="L883" s="2" t="s">
        <v>9</v>
      </c>
      <c r="N883" s="1" t="s">
        <v>773</v>
      </c>
      <c r="O883" s="2" t="s">
        <v>688</v>
      </c>
      <c r="Q883" s="2" t="s">
        <v>12</v>
      </c>
      <c r="R883" s="2" t="s">
        <v>774</v>
      </c>
      <c r="S883" s="1" t="s">
        <v>11197</v>
      </c>
      <c r="T883" s="2" t="s">
        <v>14</v>
      </c>
      <c r="U883" s="3">
        <v>5</v>
      </c>
      <c r="V883" s="3">
        <v>5</v>
      </c>
      <c r="W883" s="4" t="s">
        <v>11198</v>
      </c>
      <c r="X883" s="4" t="s">
        <v>11198</v>
      </c>
      <c r="Y883" s="4" t="s">
        <v>11199</v>
      </c>
      <c r="Z883" s="4" t="s">
        <v>11199</v>
      </c>
      <c r="AA883" s="3">
        <v>238</v>
      </c>
      <c r="AB883" s="3">
        <v>205</v>
      </c>
      <c r="AC883" s="3">
        <v>209</v>
      </c>
      <c r="AD883" s="3">
        <v>1</v>
      </c>
      <c r="AE883" s="3">
        <v>1</v>
      </c>
      <c r="AF883" s="3">
        <v>2</v>
      </c>
      <c r="AG883" s="3">
        <v>2</v>
      </c>
      <c r="AH883" s="3">
        <v>1</v>
      </c>
      <c r="AI883" s="3">
        <v>1</v>
      </c>
      <c r="AJ883" s="3">
        <v>0</v>
      </c>
      <c r="AK883" s="3">
        <v>0</v>
      </c>
      <c r="AL883" s="3">
        <v>1</v>
      </c>
      <c r="AM883" s="3">
        <v>1</v>
      </c>
      <c r="AN883" s="3">
        <v>0</v>
      </c>
      <c r="AO883" s="3">
        <v>0</v>
      </c>
      <c r="AP883" s="3">
        <v>0</v>
      </c>
      <c r="AQ883" s="3">
        <v>0</v>
      </c>
      <c r="AR883" s="2" t="s">
        <v>8</v>
      </c>
      <c r="AS883" s="2" t="s">
        <v>6</v>
      </c>
      <c r="AT883" s="5" t="str">
        <f>HYPERLINK("http://catalog.hathitrust.org/Record/002900335","HathiTrust Record")</f>
        <v>HathiTrust Record</v>
      </c>
      <c r="AU883" s="5" t="str">
        <f>HYPERLINK("https://creighton-primo.hosted.exlibrisgroup.com/primo-explore/search?tab=default_tab&amp;search_scope=EVERYTHING&amp;vid=01CRU&amp;lang=en_US&amp;offset=0&amp;query=any,contains,991001500159702656","Catalog Record")</f>
        <v>Catalog Record</v>
      </c>
      <c r="AV883" s="5" t="str">
        <f>HYPERLINK("http://www.worldcat.org/oclc/30068082","WorldCat Record")</f>
        <v>WorldCat Record</v>
      </c>
      <c r="AW883" s="2" t="s">
        <v>11200</v>
      </c>
      <c r="AX883" s="2" t="s">
        <v>11201</v>
      </c>
      <c r="AY883" s="2" t="s">
        <v>11202</v>
      </c>
      <c r="AZ883" s="2" t="s">
        <v>11202</v>
      </c>
      <c r="BA883" s="2" t="s">
        <v>11203</v>
      </c>
      <c r="BB883" s="2" t="s">
        <v>21</v>
      </c>
      <c r="BD883" s="2" t="s">
        <v>11204</v>
      </c>
      <c r="BE883" s="2" t="s">
        <v>11205</v>
      </c>
      <c r="BF883" s="2" t="s">
        <v>11206</v>
      </c>
    </row>
    <row r="884" spans="1:58" ht="42.75" customHeight="1" x14ac:dyDescent="0.25">
      <c r="A884" s="8" t="s">
        <v>8</v>
      </c>
      <c r="B884" s="1" t="s">
        <v>0</v>
      </c>
      <c r="C884" s="1" t="s">
        <v>1</v>
      </c>
      <c r="D884" s="1" t="s">
        <v>11207</v>
      </c>
      <c r="E884" s="1" t="s">
        <v>11208</v>
      </c>
      <c r="F884" s="1" t="s">
        <v>11209</v>
      </c>
      <c r="H884" s="2" t="s">
        <v>8</v>
      </c>
      <c r="I884" s="2" t="s">
        <v>7</v>
      </c>
      <c r="J884" s="2" t="s">
        <v>8</v>
      </c>
      <c r="K884" s="2" t="s">
        <v>8</v>
      </c>
      <c r="L884" s="2" t="s">
        <v>9</v>
      </c>
      <c r="N884" s="1" t="s">
        <v>11210</v>
      </c>
      <c r="O884" s="2" t="s">
        <v>830</v>
      </c>
      <c r="Q884" s="2" t="s">
        <v>12</v>
      </c>
      <c r="R884" s="2" t="s">
        <v>456</v>
      </c>
      <c r="T884" s="2" t="s">
        <v>14</v>
      </c>
      <c r="U884" s="3">
        <v>2</v>
      </c>
      <c r="V884" s="3">
        <v>2</v>
      </c>
      <c r="W884" s="4" t="s">
        <v>5308</v>
      </c>
      <c r="X884" s="4" t="s">
        <v>5308</v>
      </c>
      <c r="Y884" s="4" t="s">
        <v>3363</v>
      </c>
      <c r="Z884" s="4" t="s">
        <v>3363</v>
      </c>
      <c r="AA884" s="3">
        <v>96</v>
      </c>
      <c r="AB884" s="3">
        <v>74</v>
      </c>
      <c r="AC884" s="3">
        <v>76</v>
      </c>
      <c r="AD884" s="3">
        <v>2</v>
      </c>
      <c r="AE884" s="3">
        <v>2</v>
      </c>
      <c r="AF884" s="3">
        <v>3</v>
      </c>
      <c r="AG884" s="3">
        <v>3</v>
      </c>
      <c r="AH884" s="3">
        <v>1</v>
      </c>
      <c r="AI884" s="3">
        <v>1</v>
      </c>
      <c r="AJ884" s="3">
        <v>0</v>
      </c>
      <c r="AK884" s="3">
        <v>0</v>
      </c>
      <c r="AL884" s="3">
        <v>1</v>
      </c>
      <c r="AM884" s="3">
        <v>1</v>
      </c>
      <c r="AN884" s="3">
        <v>1</v>
      </c>
      <c r="AO884" s="3">
        <v>1</v>
      </c>
      <c r="AP884" s="3">
        <v>0</v>
      </c>
      <c r="AQ884" s="3">
        <v>0</v>
      </c>
      <c r="AR884" s="2" t="s">
        <v>8</v>
      </c>
      <c r="AS884" s="2" t="s">
        <v>6</v>
      </c>
      <c r="AT884" s="5" t="str">
        <f>HYPERLINK("http://catalog.hathitrust.org/Record/004280029","HathiTrust Record")</f>
        <v>HathiTrust Record</v>
      </c>
      <c r="AU884" s="5" t="str">
        <f>HYPERLINK("https://creighton-primo.hosted.exlibrisgroup.com/primo-explore/search?tab=default_tab&amp;search_scope=EVERYTHING&amp;vid=01CRU&amp;lang=en_US&amp;offset=0&amp;query=any,contains,991000338799702656","Catalog Record")</f>
        <v>Catalog Record</v>
      </c>
      <c r="AV884" s="5" t="str">
        <f>HYPERLINK("http://www.worldcat.org/oclc/49874661","WorldCat Record")</f>
        <v>WorldCat Record</v>
      </c>
      <c r="AW884" s="2" t="s">
        <v>11211</v>
      </c>
      <c r="AX884" s="2" t="s">
        <v>11212</v>
      </c>
      <c r="AY884" s="2" t="s">
        <v>11213</v>
      </c>
      <c r="AZ884" s="2" t="s">
        <v>11213</v>
      </c>
      <c r="BA884" s="2" t="s">
        <v>11214</v>
      </c>
      <c r="BB884" s="2" t="s">
        <v>21</v>
      </c>
      <c r="BD884" s="2" t="s">
        <v>11215</v>
      </c>
      <c r="BE884" s="2" t="s">
        <v>11216</v>
      </c>
      <c r="BF884" s="2" t="s">
        <v>11217</v>
      </c>
    </row>
    <row r="885" spans="1:58" ht="42.75" customHeight="1" x14ac:dyDescent="0.25">
      <c r="A885" s="8" t="s">
        <v>8</v>
      </c>
      <c r="B885" s="1" t="s">
        <v>0</v>
      </c>
      <c r="C885" s="1" t="s">
        <v>1</v>
      </c>
      <c r="D885" s="1" t="s">
        <v>11218</v>
      </c>
      <c r="E885" s="1" t="s">
        <v>11219</v>
      </c>
      <c r="F885" s="1" t="s">
        <v>11220</v>
      </c>
      <c r="H885" s="2" t="s">
        <v>8</v>
      </c>
      <c r="I885" s="2" t="s">
        <v>7</v>
      </c>
      <c r="J885" s="2" t="s">
        <v>8</v>
      </c>
      <c r="K885" s="2" t="s">
        <v>8</v>
      </c>
      <c r="L885" s="2" t="s">
        <v>9</v>
      </c>
      <c r="M885" s="1" t="s">
        <v>11221</v>
      </c>
      <c r="N885" s="1" t="s">
        <v>11222</v>
      </c>
      <c r="O885" s="2" t="s">
        <v>614</v>
      </c>
      <c r="Q885" s="2" t="s">
        <v>12</v>
      </c>
      <c r="R885" s="2" t="s">
        <v>643</v>
      </c>
      <c r="T885" s="2" t="s">
        <v>14</v>
      </c>
      <c r="U885" s="3">
        <v>5</v>
      </c>
      <c r="V885" s="3">
        <v>5</v>
      </c>
      <c r="W885" s="4" t="s">
        <v>11223</v>
      </c>
      <c r="X885" s="4" t="s">
        <v>11223</v>
      </c>
      <c r="Y885" s="4" t="s">
        <v>11224</v>
      </c>
      <c r="Z885" s="4" t="s">
        <v>11224</v>
      </c>
      <c r="AA885" s="3">
        <v>185</v>
      </c>
      <c r="AB885" s="3">
        <v>108</v>
      </c>
      <c r="AC885" s="3">
        <v>137</v>
      </c>
      <c r="AD885" s="3">
        <v>1</v>
      </c>
      <c r="AE885" s="3">
        <v>1</v>
      </c>
      <c r="AF885" s="3">
        <v>3</v>
      </c>
      <c r="AG885" s="3">
        <v>5</v>
      </c>
      <c r="AH885" s="3">
        <v>1</v>
      </c>
      <c r="AI885" s="3">
        <v>1</v>
      </c>
      <c r="AJ885" s="3">
        <v>1</v>
      </c>
      <c r="AK885" s="3">
        <v>2</v>
      </c>
      <c r="AL885" s="3">
        <v>3</v>
      </c>
      <c r="AM885" s="3">
        <v>5</v>
      </c>
      <c r="AN885" s="3">
        <v>0</v>
      </c>
      <c r="AO885" s="3">
        <v>0</v>
      </c>
      <c r="AP885" s="3">
        <v>0</v>
      </c>
      <c r="AQ885" s="3">
        <v>0</v>
      </c>
      <c r="AR885" s="2" t="s">
        <v>8</v>
      </c>
      <c r="AS885" s="2" t="s">
        <v>6</v>
      </c>
      <c r="AT885" s="5" t="str">
        <f>HYPERLINK("http://catalog.hathitrust.org/Record/002525488","HathiTrust Record")</f>
        <v>HathiTrust Record</v>
      </c>
      <c r="AU885" s="5" t="str">
        <f>HYPERLINK("https://creighton-primo.hosted.exlibrisgroup.com/primo-explore/search?tab=default_tab&amp;search_scope=EVERYTHING&amp;vid=01CRU&amp;lang=en_US&amp;offset=0&amp;query=any,contains,991001301399702656","Catalog Record")</f>
        <v>Catalog Record</v>
      </c>
      <c r="AV885" s="5" t="str">
        <f>HYPERLINK("http://www.worldcat.org/oclc/24318702","WorldCat Record")</f>
        <v>WorldCat Record</v>
      </c>
      <c r="AW885" s="2" t="s">
        <v>11225</v>
      </c>
      <c r="AX885" s="2" t="s">
        <v>11226</v>
      </c>
      <c r="AY885" s="2" t="s">
        <v>11227</v>
      </c>
      <c r="AZ885" s="2" t="s">
        <v>11227</v>
      </c>
      <c r="BA885" s="2" t="s">
        <v>11228</v>
      </c>
      <c r="BB885" s="2" t="s">
        <v>21</v>
      </c>
      <c r="BD885" s="2" t="s">
        <v>11229</v>
      </c>
      <c r="BE885" s="2" t="s">
        <v>11230</v>
      </c>
      <c r="BF885" s="2" t="s">
        <v>11231</v>
      </c>
    </row>
    <row r="886" spans="1:58" ht="42.75" customHeight="1" x14ac:dyDescent="0.25">
      <c r="A886" s="8" t="s">
        <v>8</v>
      </c>
      <c r="B886" s="1" t="s">
        <v>0</v>
      </c>
      <c r="C886" s="1" t="s">
        <v>1</v>
      </c>
      <c r="D886" s="1" t="s">
        <v>11232</v>
      </c>
      <c r="E886" s="1" t="s">
        <v>11233</v>
      </c>
      <c r="F886" s="1" t="s">
        <v>11234</v>
      </c>
      <c r="H886" s="2" t="s">
        <v>8</v>
      </c>
      <c r="I886" s="2" t="s">
        <v>7</v>
      </c>
      <c r="J886" s="2" t="s">
        <v>8</v>
      </c>
      <c r="K886" s="2" t="s">
        <v>8</v>
      </c>
      <c r="L886" s="2" t="s">
        <v>9</v>
      </c>
      <c r="N886" s="1" t="s">
        <v>11061</v>
      </c>
      <c r="O886" s="2" t="s">
        <v>874</v>
      </c>
      <c r="Q886" s="2" t="s">
        <v>12</v>
      </c>
      <c r="R886" s="2" t="s">
        <v>520</v>
      </c>
      <c r="T886" s="2" t="s">
        <v>14</v>
      </c>
      <c r="U886" s="3">
        <v>33</v>
      </c>
      <c r="V886" s="3">
        <v>33</v>
      </c>
      <c r="W886" s="4" t="s">
        <v>11235</v>
      </c>
      <c r="X886" s="4" t="s">
        <v>11235</v>
      </c>
      <c r="Y886" s="4" t="s">
        <v>11236</v>
      </c>
      <c r="Z886" s="4" t="s">
        <v>11236</v>
      </c>
      <c r="AA886" s="3">
        <v>225</v>
      </c>
      <c r="AB886" s="3">
        <v>203</v>
      </c>
      <c r="AC886" s="3">
        <v>218</v>
      </c>
      <c r="AD886" s="3">
        <v>2</v>
      </c>
      <c r="AE886" s="3">
        <v>2</v>
      </c>
      <c r="AF886" s="3">
        <v>8</v>
      </c>
      <c r="AG886" s="3">
        <v>12</v>
      </c>
      <c r="AH886" s="3">
        <v>2</v>
      </c>
      <c r="AI886" s="3">
        <v>4</v>
      </c>
      <c r="AJ886" s="3">
        <v>3</v>
      </c>
      <c r="AK886" s="3">
        <v>4</v>
      </c>
      <c r="AL886" s="3">
        <v>3</v>
      </c>
      <c r="AM886" s="3">
        <v>6</v>
      </c>
      <c r="AN886" s="3">
        <v>1</v>
      </c>
      <c r="AO886" s="3">
        <v>1</v>
      </c>
      <c r="AP886" s="3">
        <v>0</v>
      </c>
      <c r="AQ886" s="3">
        <v>0</v>
      </c>
      <c r="AR886" s="2" t="s">
        <v>8</v>
      </c>
      <c r="AS886" s="2" t="s">
        <v>8</v>
      </c>
      <c r="AU886" s="5" t="str">
        <f>HYPERLINK("https://creighton-primo.hosted.exlibrisgroup.com/primo-explore/search?tab=default_tab&amp;search_scope=EVERYTHING&amp;vid=01CRU&amp;lang=en_US&amp;offset=0&amp;query=any,contains,991001809589702656","Catalog Record")</f>
        <v>Catalog Record</v>
      </c>
      <c r="AV886" s="5" t="str">
        <f>HYPERLINK("http://www.worldcat.org/oclc/35235612","WorldCat Record")</f>
        <v>WorldCat Record</v>
      </c>
      <c r="AW886" s="2" t="s">
        <v>11237</v>
      </c>
      <c r="AX886" s="2" t="s">
        <v>11238</v>
      </c>
      <c r="AY886" s="2" t="s">
        <v>11239</v>
      </c>
      <c r="AZ886" s="2" t="s">
        <v>11239</v>
      </c>
      <c r="BA886" s="2" t="s">
        <v>11240</v>
      </c>
      <c r="BB886" s="2" t="s">
        <v>21</v>
      </c>
      <c r="BD886" s="2" t="s">
        <v>11241</v>
      </c>
      <c r="BE886" s="2" t="s">
        <v>11242</v>
      </c>
      <c r="BF886" s="2" t="s">
        <v>11243</v>
      </c>
    </row>
    <row r="887" spans="1:58" ht="42.75" customHeight="1" x14ac:dyDescent="0.25">
      <c r="A887" s="8" t="s">
        <v>8</v>
      </c>
      <c r="B887" s="1" t="s">
        <v>0</v>
      </c>
      <c r="C887" s="1" t="s">
        <v>1</v>
      </c>
      <c r="D887" s="1" t="s">
        <v>11244</v>
      </c>
      <c r="E887" s="1" t="s">
        <v>11245</v>
      </c>
      <c r="F887" s="1" t="s">
        <v>11246</v>
      </c>
      <c r="H887" s="2" t="s">
        <v>8</v>
      </c>
      <c r="I887" s="2" t="s">
        <v>7</v>
      </c>
      <c r="J887" s="2" t="s">
        <v>8</v>
      </c>
      <c r="K887" s="2" t="s">
        <v>8</v>
      </c>
      <c r="L887" s="2" t="s">
        <v>9</v>
      </c>
      <c r="N887" s="1" t="s">
        <v>8493</v>
      </c>
      <c r="O887" s="2" t="s">
        <v>731</v>
      </c>
      <c r="Q887" s="2" t="s">
        <v>12</v>
      </c>
      <c r="R887" s="2" t="s">
        <v>815</v>
      </c>
      <c r="T887" s="2" t="s">
        <v>14</v>
      </c>
      <c r="U887" s="3">
        <v>5</v>
      </c>
      <c r="V887" s="3">
        <v>5</v>
      </c>
      <c r="W887" s="4" t="s">
        <v>11247</v>
      </c>
      <c r="X887" s="4" t="s">
        <v>11247</v>
      </c>
      <c r="Y887" s="4" t="s">
        <v>3834</v>
      </c>
      <c r="Z887" s="4" t="s">
        <v>3834</v>
      </c>
      <c r="AA887" s="3">
        <v>169</v>
      </c>
      <c r="AB887" s="3">
        <v>142</v>
      </c>
      <c r="AC887" s="3">
        <v>145</v>
      </c>
      <c r="AD887" s="3">
        <v>1</v>
      </c>
      <c r="AE887" s="3">
        <v>1</v>
      </c>
      <c r="AF887" s="3">
        <v>7</v>
      </c>
      <c r="AG887" s="3">
        <v>7</v>
      </c>
      <c r="AH887" s="3">
        <v>2</v>
      </c>
      <c r="AI887" s="3">
        <v>2</v>
      </c>
      <c r="AJ887" s="3">
        <v>2</v>
      </c>
      <c r="AK887" s="3">
        <v>2</v>
      </c>
      <c r="AL887" s="3">
        <v>5</v>
      </c>
      <c r="AM887" s="3">
        <v>5</v>
      </c>
      <c r="AN887" s="3">
        <v>0</v>
      </c>
      <c r="AO887" s="3">
        <v>0</v>
      </c>
      <c r="AP887" s="3">
        <v>0</v>
      </c>
      <c r="AQ887" s="3">
        <v>0</v>
      </c>
      <c r="AR887" s="2" t="s">
        <v>8</v>
      </c>
      <c r="AS887" s="2" t="s">
        <v>6</v>
      </c>
      <c r="AT887" s="5" t="str">
        <f>HYPERLINK("http://catalog.hathitrust.org/Record/003265565","HathiTrust Record")</f>
        <v>HathiTrust Record</v>
      </c>
      <c r="AU887" s="5" t="str">
        <f>HYPERLINK("https://creighton-primo.hosted.exlibrisgroup.com/primo-explore/search?tab=default_tab&amp;search_scope=EVERYTHING&amp;vid=01CRU&amp;lang=en_US&amp;offset=0&amp;query=any,contains,991000595419702656","Catalog Record")</f>
        <v>Catalog Record</v>
      </c>
      <c r="AV887" s="5" t="str">
        <f>HYPERLINK("http://www.worldcat.org/oclc/38431144","WorldCat Record")</f>
        <v>WorldCat Record</v>
      </c>
      <c r="AW887" s="2" t="s">
        <v>11248</v>
      </c>
      <c r="AX887" s="2" t="s">
        <v>11249</v>
      </c>
      <c r="AY887" s="2" t="s">
        <v>11250</v>
      </c>
      <c r="AZ887" s="2" t="s">
        <v>11250</v>
      </c>
      <c r="BA887" s="2" t="s">
        <v>11251</v>
      </c>
      <c r="BB887" s="2" t="s">
        <v>21</v>
      </c>
      <c r="BD887" s="2" t="s">
        <v>11252</v>
      </c>
      <c r="BE887" s="2" t="s">
        <v>11253</v>
      </c>
      <c r="BF887" s="2" t="s">
        <v>11254</v>
      </c>
    </row>
    <row r="888" spans="1:58" ht="42.75" customHeight="1" x14ac:dyDescent="0.25">
      <c r="A888" s="8" t="s">
        <v>8</v>
      </c>
      <c r="B888" s="1" t="s">
        <v>0</v>
      </c>
      <c r="C888" s="1" t="s">
        <v>1</v>
      </c>
      <c r="D888" s="1" t="s">
        <v>11255</v>
      </c>
      <c r="E888" s="1" t="s">
        <v>11256</v>
      </c>
      <c r="F888" s="1" t="s">
        <v>11257</v>
      </c>
      <c r="H888" s="2" t="s">
        <v>8</v>
      </c>
      <c r="I888" s="2" t="s">
        <v>7</v>
      </c>
      <c r="J888" s="2" t="s">
        <v>8</v>
      </c>
      <c r="K888" s="2" t="s">
        <v>8</v>
      </c>
      <c r="L888" s="2" t="s">
        <v>9</v>
      </c>
      <c r="N888" s="1" t="s">
        <v>11258</v>
      </c>
      <c r="O888" s="2" t="s">
        <v>907</v>
      </c>
      <c r="Q888" s="2" t="s">
        <v>12</v>
      </c>
      <c r="R888" s="2" t="s">
        <v>643</v>
      </c>
      <c r="T888" s="2" t="s">
        <v>14</v>
      </c>
      <c r="U888" s="3">
        <v>0</v>
      </c>
      <c r="V888" s="3">
        <v>0</v>
      </c>
      <c r="W888" s="4" t="s">
        <v>1819</v>
      </c>
      <c r="X888" s="4" t="s">
        <v>1819</v>
      </c>
      <c r="Y888" s="4" t="s">
        <v>11161</v>
      </c>
      <c r="Z888" s="4" t="s">
        <v>11161</v>
      </c>
      <c r="AA888" s="3">
        <v>148</v>
      </c>
      <c r="AB888" s="3">
        <v>59</v>
      </c>
      <c r="AC888" s="3">
        <v>59</v>
      </c>
      <c r="AD888" s="3">
        <v>1</v>
      </c>
      <c r="AE888" s="3">
        <v>1</v>
      </c>
      <c r="AF888" s="3">
        <v>2</v>
      </c>
      <c r="AG888" s="3">
        <v>2</v>
      </c>
      <c r="AH888" s="3">
        <v>1</v>
      </c>
      <c r="AI888" s="3">
        <v>1</v>
      </c>
      <c r="AJ888" s="3">
        <v>1</v>
      </c>
      <c r="AK888" s="3">
        <v>1</v>
      </c>
      <c r="AL888" s="3">
        <v>0</v>
      </c>
      <c r="AM888" s="3">
        <v>0</v>
      </c>
      <c r="AN888" s="3">
        <v>0</v>
      </c>
      <c r="AO888" s="3">
        <v>0</v>
      </c>
      <c r="AP888" s="3">
        <v>0</v>
      </c>
      <c r="AQ888" s="3">
        <v>0</v>
      </c>
      <c r="AR888" s="2" t="s">
        <v>8</v>
      </c>
      <c r="AS888" s="2" t="s">
        <v>8</v>
      </c>
      <c r="AU888" s="5" t="str">
        <f>HYPERLINK("https://creighton-primo.hosted.exlibrisgroup.com/primo-explore/search?tab=default_tab&amp;search_scope=EVERYTHING&amp;vid=01CRU&amp;lang=en_US&amp;offset=0&amp;query=any,contains,991000318949702656","Catalog Record")</f>
        <v>Catalog Record</v>
      </c>
      <c r="AV888" s="5" t="str">
        <f>HYPERLINK("http://www.worldcat.org/oclc/47137138","WorldCat Record")</f>
        <v>WorldCat Record</v>
      </c>
      <c r="AW888" s="2" t="s">
        <v>11259</v>
      </c>
      <c r="AX888" s="2" t="s">
        <v>11260</v>
      </c>
      <c r="AY888" s="2" t="s">
        <v>11261</v>
      </c>
      <c r="AZ888" s="2" t="s">
        <v>11261</v>
      </c>
      <c r="BA888" s="2" t="s">
        <v>11262</v>
      </c>
      <c r="BB888" s="2" t="s">
        <v>21</v>
      </c>
      <c r="BD888" s="2" t="s">
        <v>11263</v>
      </c>
      <c r="BE888" s="2" t="s">
        <v>11264</v>
      </c>
      <c r="BF888" s="2" t="s">
        <v>11265</v>
      </c>
    </row>
    <row r="889" spans="1:58" ht="42.75" customHeight="1" x14ac:dyDescent="0.25">
      <c r="A889" s="8" t="s">
        <v>8</v>
      </c>
      <c r="B889" s="1" t="s">
        <v>0</v>
      </c>
      <c r="C889" s="1" t="s">
        <v>1</v>
      </c>
      <c r="D889" s="1" t="s">
        <v>11266</v>
      </c>
      <c r="E889" s="1" t="s">
        <v>11267</v>
      </c>
      <c r="F889" s="1" t="s">
        <v>11268</v>
      </c>
      <c r="H889" s="2" t="s">
        <v>8</v>
      </c>
      <c r="I889" s="2" t="s">
        <v>7</v>
      </c>
      <c r="J889" s="2" t="s">
        <v>8</v>
      </c>
      <c r="K889" s="2" t="s">
        <v>8</v>
      </c>
      <c r="L889" s="2" t="s">
        <v>9</v>
      </c>
      <c r="M889" s="1" t="s">
        <v>11269</v>
      </c>
      <c r="N889" s="1" t="s">
        <v>11270</v>
      </c>
      <c r="O889" s="2" t="s">
        <v>874</v>
      </c>
      <c r="Q889" s="2" t="s">
        <v>12</v>
      </c>
      <c r="R889" s="2" t="s">
        <v>13</v>
      </c>
      <c r="T889" s="2" t="s">
        <v>14</v>
      </c>
      <c r="U889" s="3">
        <v>1</v>
      </c>
      <c r="V889" s="3">
        <v>1</v>
      </c>
      <c r="W889" s="4" t="s">
        <v>11271</v>
      </c>
      <c r="X889" s="4" t="s">
        <v>11271</v>
      </c>
      <c r="Y889" s="4" t="s">
        <v>11236</v>
      </c>
      <c r="Z889" s="4" t="s">
        <v>11236</v>
      </c>
      <c r="AA889" s="3">
        <v>78</v>
      </c>
      <c r="AB889" s="3">
        <v>68</v>
      </c>
      <c r="AC889" s="3">
        <v>68</v>
      </c>
      <c r="AD889" s="3">
        <v>1</v>
      </c>
      <c r="AE889" s="3">
        <v>1</v>
      </c>
      <c r="AF889" s="3">
        <v>0</v>
      </c>
      <c r="AG889" s="3">
        <v>0</v>
      </c>
      <c r="AH889" s="3">
        <v>0</v>
      </c>
      <c r="AI889" s="3">
        <v>0</v>
      </c>
      <c r="AJ889" s="3">
        <v>0</v>
      </c>
      <c r="AK889" s="3">
        <v>0</v>
      </c>
      <c r="AL889" s="3">
        <v>0</v>
      </c>
      <c r="AM889" s="3">
        <v>0</v>
      </c>
      <c r="AN889" s="3">
        <v>0</v>
      </c>
      <c r="AO889" s="3">
        <v>0</v>
      </c>
      <c r="AP889" s="3">
        <v>0</v>
      </c>
      <c r="AQ889" s="3">
        <v>0</v>
      </c>
      <c r="AR889" s="2" t="s">
        <v>8</v>
      </c>
      <c r="AS889" s="2" t="s">
        <v>8</v>
      </c>
      <c r="AU889" s="5" t="str">
        <f>HYPERLINK("https://creighton-primo.hosted.exlibrisgroup.com/primo-explore/search?tab=default_tab&amp;search_scope=EVERYTHING&amp;vid=01CRU&amp;lang=en_US&amp;offset=0&amp;query=any,contains,991001568189702656","Catalog Record")</f>
        <v>Catalog Record</v>
      </c>
      <c r="AV889" s="5" t="str">
        <f>HYPERLINK("http://www.worldcat.org/oclc/34724004","WorldCat Record")</f>
        <v>WorldCat Record</v>
      </c>
      <c r="AW889" s="2" t="s">
        <v>11272</v>
      </c>
      <c r="AX889" s="2" t="s">
        <v>11273</v>
      </c>
      <c r="AY889" s="2" t="s">
        <v>11274</v>
      </c>
      <c r="AZ889" s="2" t="s">
        <v>11274</v>
      </c>
      <c r="BA889" s="2" t="s">
        <v>11275</v>
      </c>
      <c r="BB889" s="2" t="s">
        <v>21</v>
      </c>
      <c r="BD889" s="2" t="s">
        <v>11276</v>
      </c>
      <c r="BE889" s="2" t="s">
        <v>11277</v>
      </c>
      <c r="BF889" s="2" t="s">
        <v>11278</v>
      </c>
    </row>
    <row r="890" spans="1:58" ht="42.75" customHeight="1" x14ac:dyDescent="0.25">
      <c r="A890" s="8" t="s">
        <v>8</v>
      </c>
      <c r="B890" s="1" t="s">
        <v>0</v>
      </c>
      <c r="C890" s="1" t="s">
        <v>1</v>
      </c>
      <c r="D890" s="1" t="s">
        <v>11279</v>
      </c>
      <c r="E890" s="1" t="s">
        <v>11280</v>
      </c>
      <c r="F890" s="1" t="s">
        <v>11281</v>
      </c>
      <c r="H890" s="2" t="s">
        <v>8</v>
      </c>
      <c r="I890" s="2" t="s">
        <v>7</v>
      </c>
      <c r="J890" s="2" t="s">
        <v>8</v>
      </c>
      <c r="K890" s="2" t="s">
        <v>8</v>
      </c>
      <c r="L890" s="2" t="s">
        <v>9</v>
      </c>
      <c r="N890" s="1" t="s">
        <v>11282</v>
      </c>
      <c r="O890" s="2" t="s">
        <v>642</v>
      </c>
      <c r="P890" s="1" t="s">
        <v>83</v>
      </c>
      <c r="Q890" s="2" t="s">
        <v>12</v>
      </c>
      <c r="R890" s="2" t="s">
        <v>5791</v>
      </c>
      <c r="T890" s="2" t="s">
        <v>14</v>
      </c>
      <c r="U890" s="3">
        <v>0</v>
      </c>
      <c r="V890" s="3">
        <v>0</v>
      </c>
      <c r="W890" s="4" t="s">
        <v>11283</v>
      </c>
      <c r="X890" s="4" t="s">
        <v>11283</v>
      </c>
      <c r="Y890" s="4" t="s">
        <v>9506</v>
      </c>
      <c r="Z890" s="4" t="s">
        <v>9506</v>
      </c>
      <c r="AA890" s="3">
        <v>110</v>
      </c>
      <c r="AB890" s="3">
        <v>79</v>
      </c>
      <c r="AC890" s="3">
        <v>276</v>
      </c>
      <c r="AD890" s="3">
        <v>1</v>
      </c>
      <c r="AE890" s="3">
        <v>3</v>
      </c>
      <c r="AF890" s="3">
        <v>1</v>
      </c>
      <c r="AG890" s="3">
        <v>9</v>
      </c>
      <c r="AH890" s="3">
        <v>0</v>
      </c>
      <c r="AI890" s="3">
        <v>2</v>
      </c>
      <c r="AJ890" s="3">
        <v>1</v>
      </c>
      <c r="AK890" s="3">
        <v>4</v>
      </c>
      <c r="AL890" s="3">
        <v>0</v>
      </c>
      <c r="AM890" s="3">
        <v>2</v>
      </c>
      <c r="AN890" s="3">
        <v>0</v>
      </c>
      <c r="AO890" s="3">
        <v>2</v>
      </c>
      <c r="AP890" s="3">
        <v>0</v>
      </c>
      <c r="AQ890" s="3">
        <v>0</v>
      </c>
      <c r="AR890" s="2" t="s">
        <v>8</v>
      </c>
      <c r="AS890" s="2" t="s">
        <v>8</v>
      </c>
      <c r="AU890" s="5" t="str">
        <f>HYPERLINK("https://creighton-primo.hosted.exlibrisgroup.com/primo-explore/search?tab=default_tab&amp;search_scope=EVERYTHING&amp;vid=01CRU&amp;lang=en_US&amp;offset=0&amp;query=any,contains,991000445309702656","Catalog Record")</f>
        <v>Catalog Record</v>
      </c>
      <c r="AV890" s="5" t="str">
        <f>HYPERLINK("http://www.worldcat.org/oclc/53285179","WorldCat Record")</f>
        <v>WorldCat Record</v>
      </c>
      <c r="AW890" s="2" t="s">
        <v>11284</v>
      </c>
      <c r="AX890" s="2" t="s">
        <v>11285</v>
      </c>
      <c r="AY890" s="2" t="s">
        <v>11286</v>
      </c>
      <c r="AZ890" s="2" t="s">
        <v>11286</v>
      </c>
      <c r="BA890" s="2" t="s">
        <v>11287</v>
      </c>
      <c r="BB890" s="2" t="s">
        <v>21</v>
      </c>
      <c r="BD890" s="2" t="s">
        <v>11288</v>
      </c>
      <c r="BE890" s="2" t="s">
        <v>11289</v>
      </c>
      <c r="BF890" s="2" t="s">
        <v>11290</v>
      </c>
    </row>
    <row r="891" spans="1:58" ht="42.75" customHeight="1" x14ac:dyDescent="0.25">
      <c r="A891" s="8" t="s">
        <v>8</v>
      </c>
      <c r="B891" s="1" t="s">
        <v>0</v>
      </c>
      <c r="C891" s="1" t="s">
        <v>1</v>
      </c>
      <c r="D891" s="1" t="s">
        <v>11291</v>
      </c>
      <c r="E891" s="1" t="s">
        <v>11292</v>
      </c>
      <c r="F891" s="1" t="s">
        <v>11293</v>
      </c>
      <c r="H891" s="2" t="s">
        <v>8</v>
      </c>
      <c r="I891" s="2" t="s">
        <v>7</v>
      </c>
      <c r="J891" s="2" t="s">
        <v>8</v>
      </c>
      <c r="K891" s="2" t="s">
        <v>8</v>
      </c>
      <c r="L891" s="2" t="s">
        <v>9</v>
      </c>
      <c r="N891" s="1" t="s">
        <v>3740</v>
      </c>
      <c r="O891" s="2" t="s">
        <v>874</v>
      </c>
      <c r="Q891" s="2" t="s">
        <v>12</v>
      </c>
      <c r="R891" s="2" t="s">
        <v>13</v>
      </c>
      <c r="T891" s="2" t="s">
        <v>14</v>
      </c>
      <c r="U891" s="3">
        <v>10</v>
      </c>
      <c r="V891" s="3">
        <v>10</v>
      </c>
      <c r="W891" s="4" t="s">
        <v>6168</v>
      </c>
      <c r="X891" s="4" t="s">
        <v>6168</v>
      </c>
      <c r="Y891" s="4" t="s">
        <v>11236</v>
      </c>
      <c r="Z891" s="4" t="s">
        <v>11236</v>
      </c>
      <c r="AA891" s="3">
        <v>238</v>
      </c>
      <c r="AB891" s="3">
        <v>191</v>
      </c>
      <c r="AC891" s="3">
        <v>198</v>
      </c>
      <c r="AD891" s="3">
        <v>2</v>
      </c>
      <c r="AE891" s="3">
        <v>2</v>
      </c>
      <c r="AF891" s="3">
        <v>12</v>
      </c>
      <c r="AG891" s="3">
        <v>12</v>
      </c>
      <c r="AH891" s="3">
        <v>4</v>
      </c>
      <c r="AI891" s="3">
        <v>4</v>
      </c>
      <c r="AJ891" s="3">
        <v>2</v>
      </c>
      <c r="AK891" s="3">
        <v>2</v>
      </c>
      <c r="AL891" s="3">
        <v>7</v>
      </c>
      <c r="AM891" s="3">
        <v>7</v>
      </c>
      <c r="AN891" s="3">
        <v>1</v>
      </c>
      <c r="AO891" s="3">
        <v>1</v>
      </c>
      <c r="AP891" s="3">
        <v>0</v>
      </c>
      <c r="AQ891" s="3">
        <v>0</v>
      </c>
      <c r="AR891" s="2" t="s">
        <v>8</v>
      </c>
      <c r="AS891" s="2" t="s">
        <v>6</v>
      </c>
      <c r="AT891" s="5" t="str">
        <f>HYPERLINK("http://catalog.hathitrust.org/Record/003168794","HathiTrust Record")</f>
        <v>HathiTrust Record</v>
      </c>
      <c r="AU891" s="5" t="str">
        <f>HYPERLINK("https://creighton-primo.hosted.exlibrisgroup.com/primo-explore/search?tab=default_tab&amp;search_scope=EVERYTHING&amp;vid=01CRU&amp;lang=en_US&amp;offset=0&amp;query=any,contains,991001568239702656","Catalog Record")</f>
        <v>Catalog Record</v>
      </c>
      <c r="AV891" s="5" t="str">
        <f>HYPERLINK("http://www.worldcat.org/oclc/36768419","WorldCat Record")</f>
        <v>WorldCat Record</v>
      </c>
      <c r="AW891" s="2" t="s">
        <v>11294</v>
      </c>
      <c r="AX891" s="2" t="s">
        <v>11295</v>
      </c>
      <c r="AY891" s="2" t="s">
        <v>11296</v>
      </c>
      <c r="AZ891" s="2" t="s">
        <v>11296</v>
      </c>
      <c r="BA891" s="2" t="s">
        <v>11297</v>
      </c>
      <c r="BB891" s="2" t="s">
        <v>21</v>
      </c>
      <c r="BD891" s="2" t="s">
        <v>11298</v>
      </c>
      <c r="BE891" s="2" t="s">
        <v>11299</v>
      </c>
      <c r="BF891" s="2" t="s">
        <v>11300</v>
      </c>
    </row>
    <row r="892" spans="1:58" ht="42.75" customHeight="1" x14ac:dyDescent="0.25">
      <c r="A892" s="8" t="s">
        <v>8</v>
      </c>
      <c r="B892" s="1" t="s">
        <v>0</v>
      </c>
      <c r="C892" s="1" t="s">
        <v>1</v>
      </c>
      <c r="D892" s="1" t="s">
        <v>11301</v>
      </c>
      <c r="E892" s="1" t="s">
        <v>11302</v>
      </c>
      <c r="F892" s="1" t="s">
        <v>11303</v>
      </c>
      <c r="H892" s="2" t="s">
        <v>8</v>
      </c>
      <c r="I892" s="2" t="s">
        <v>7</v>
      </c>
      <c r="J892" s="2" t="s">
        <v>8</v>
      </c>
      <c r="K892" s="2" t="s">
        <v>8</v>
      </c>
      <c r="L892" s="2" t="s">
        <v>9</v>
      </c>
      <c r="M892" s="1" t="s">
        <v>11304</v>
      </c>
      <c r="N892" s="1" t="s">
        <v>11305</v>
      </c>
      <c r="O892" s="2" t="s">
        <v>410</v>
      </c>
      <c r="Q892" s="2" t="s">
        <v>12</v>
      </c>
      <c r="R892" s="2" t="s">
        <v>13</v>
      </c>
      <c r="T892" s="2" t="s">
        <v>14</v>
      </c>
      <c r="U892" s="3">
        <v>8</v>
      </c>
      <c r="V892" s="3">
        <v>8</v>
      </c>
      <c r="W892" s="4" t="s">
        <v>11306</v>
      </c>
      <c r="X892" s="4" t="s">
        <v>11306</v>
      </c>
      <c r="Y892" s="4" t="s">
        <v>11307</v>
      </c>
      <c r="Z892" s="4" t="s">
        <v>11307</v>
      </c>
      <c r="AA892" s="3">
        <v>191</v>
      </c>
      <c r="AB892" s="3">
        <v>165</v>
      </c>
      <c r="AC892" s="3">
        <v>170</v>
      </c>
      <c r="AD892" s="3">
        <v>1</v>
      </c>
      <c r="AE892" s="3">
        <v>1</v>
      </c>
      <c r="AF892" s="3">
        <v>8</v>
      </c>
      <c r="AG892" s="3">
        <v>8</v>
      </c>
      <c r="AH892" s="3">
        <v>2</v>
      </c>
      <c r="AI892" s="3">
        <v>2</v>
      </c>
      <c r="AJ892" s="3">
        <v>3</v>
      </c>
      <c r="AK892" s="3">
        <v>3</v>
      </c>
      <c r="AL892" s="3">
        <v>4</v>
      </c>
      <c r="AM892" s="3">
        <v>4</v>
      </c>
      <c r="AN892" s="3">
        <v>0</v>
      </c>
      <c r="AO892" s="3">
        <v>0</v>
      </c>
      <c r="AP892" s="3">
        <v>0</v>
      </c>
      <c r="AQ892" s="3">
        <v>0</v>
      </c>
      <c r="AR892" s="2" t="s">
        <v>8</v>
      </c>
      <c r="AS892" s="2" t="s">
        <v>8</v>
      </c>
      <c r="AU892" s="5" t="str">
        <f>HYPERLINK("https://creighton-primo.hosted.exlibrisgroup.com/primo-explore/search?tab=default_tab&amp;search_scope=EVERYTHING&amp;vid=01CRU&amp;lang=en_US&amp;offset=0&amp;query=any,contains,991001547209702656","Catalog Record")</f>
        <v>Catalog Record</v>
      </c>
      <c r="AV892" s="5" t="str">
        <f>HYPERLINK("http://www.worldcat.org/oclc/26935117","WorldCat Record")</f>
        <v>WorldCat Record</v>
      </c>
      <c r="AW892" s="2" t="s">
        <v>11308</v>
      </c>
      <c r="AX892" s="2" t="s">
        <v>11309</v>
      </c>
      <c r="AY892" s="2" t="s">
        <v>11310</v>
      </c>
      <c r="AZ892" s="2" t="s">
        <v>11310</v>
      </c>
      <c r="BA892" s="2" t="s">
        <v>11311</v>
      </c>
      <c r="BB892" s="2" t="s">
        <v>21</v>
      </c>
      <c r="BD892" s="2" t="s">
        <v>11312</v>
      </c>
      <c r="BE892" s="2" t="s">
        <v>11313</v>
      </c>
      <c r="BF892" s="2" t="s">
        <v>11314</v>
      </c>
    </row>
    <row r="893" spans="1:58" ht="42.75" customHeight="1" x14ac:dyDescent="0.25">
      <c r="A893" s="8" t="s">
        <v>8</v>
      </c>
      <c r="B893" s="1" t="s">
        <v>0</v>
      </c>
      <c r="C893" s="1" t="s">
        <v>1</v>
      </c>
      <c r="D893" s="1" t="s">
        <v>11315</v>
      </c>
      <c r="E893" s="1" t="s">
        <v>11316</v>
      </c>
      <c r="F893" s="1" t="s">
        <v>11317</v>
      </c>
      <c r="H893" s="2" t="s">
        <v>8</v>
      </c>
      <c r="I893" s="2" t="s">
        <v>7</v>
      </c>
      <c r="J893" s="2" t="s">
        <v>8</v>
      </c>
      <c r="K893" s="2" t="s">
        <v>8</v>
      </c>
      <c r="L893" s="2" t="s">
        <v>9</v>
      </c>
      <c r="M893" s="1" t="s">
        <v>11318</v>
      </c>
      <c r="N893" s="1" t="s">
        <v>11319</v>
      </c>
      <c r="O893" s="2" t="s">
        <v>814</v>
      </c>
      <c r="Q893" s="2" t="s">
        <v>12</v>
      </c>
      <c r="R893" s="2" t="s">
        <v>456</v>
      </c>
      <c r="T893" s="2" t="s">
        <v>14</v>
      </c>
      <c r="U893" s="3">
        <v>3</v>
      </c>
      <c r="V893" s="3">
        <v>3</v>
      </c>
      <c r="W893" s="4" t="s">
        <v>11320</v>
      </c>
      <c r="X893" s="4" t="s">
        <v>11320</v>
      </c>
      <c r="Y893" s="4" t="s">
        <v>1075</v>
      </c>
      <c r="Z893" s="4" t="s">
        <v>1075</v>
      </c>
      <c r="AA893" s="3">
        <v>241</v>
      </c>
      <c r="AB893" s="3">
        <v>197</v>
      </c>
      <c r="AC893" s="3">
        <v>199</v>
      </c>
      <c r="AD893" s="3">
        <v>1</v>
      </c>
      <c r="AE893" s="3">
        <v>1</v>
      </c>
      <c r="AF893" s="3">
        <v>8</v>
      </c>
      <c r="AG893" s="3">
        <v>8</v>
      </c>
      <c r="AH893" s="3">
        <v>3</v>
      </c>
      <c r="AI893" s="3">
        <v>3</v>
      </c>
      <c r="AJ893" s="3">
        <v>1</v>
      </c>
      <c r="AK893" s="3">
        <v>1</v>
      </c>
      <c r="AL893" s="3">
        <v>6</v>
      </c>
      <c r="AM893" s="3">
        <v>6</v>
      </c>
      <c r="AN893" s="3">
        <v>0</v>
      </c>
      <c r="AO893" s="3">
        <v>0</v>
      </c>
      <c r="AP893" s="3">
        <v>0</v>
      </c>
      <c r="AQ893" s="3">
        <v>0</v>
      </c>
      <c r="AR893" s="2" t="s">
        <v>8</v>
      </c>
      <c r="AS893" s="2" t="s">
        <v>6</v>
      </c>
      <c r="AT893" s="5" t="str">
        <f>HYPERLINK("http://catalog.hathitrust.org/Record/004570198","HathiTrust Record")</f>
        <v>HathiTrust Record</v>
      </c>
      <c r="AU893" s="5" t="str">
        <f>HYPERLINK("https://creighton-primo.hosted.exlibrisgroup.com/primo-explore/search?tab=default_tab&amp;search_scope=EVERYTHING&amp;vid=01CRU&amp;lang=en_US&amp;offset=0&amp;query=any,contains,991000320939702656","Catalog Record")</f>
        <v>Catalog Record</v>
      </c>
      <c r="AV893" s="5" t="str">
        <f>HYPERLINK("http://www.worldcat.org/oclc/38386709","WorldCat Record")</f>
        <v>WorldCat Record</v>
      </c>
      <c r="AW893" s="2" t="s">
        <v>11321</v>
      </c>
      <c r="AX893" s="2" t="s">
        <v>11322</v>
      </c>
      <c r="AY893" s="2" t="s">
        <v>11323</v>
      </c>
      <c r="AZ893" s="2" t="s">
        <v>11323</v>
      </c>
      <c r="BA893" s="2" t="s">
        <v>11324</v>
      </c>
      <c r="BB893" s="2" t="s">
        <v>21</v>
      </c>
      <c r="BD893" s="2" t="s">
        <v>11325</v>
      </c>
      <c r="BE893" s="2" t="s">
        <v>11326</v>
      </c>
      <c r="BF893" s="2" t="s">
        <v>11327</v>
      </c>
    </row>
    <row r="894" spans="1:58" ht="42.75" customHeight="1" x14ac:dyDescent="0.25">
      <c r="A894" s="8" t="s">
        <v>8</v>
      </c>
      <c r="B894" s="1" t="s">
        <v>0</v>
      </c>
      <c r="C894" s="1" t="s">
        <v>1</v>
      </c>
      <c r="D894" s="1" t="s">
        <v>11328</v>
      </c>
      <c r="E894" s="1" t="s">
        <v>11329</v>
      </c>
      <c r="F894" s="1" t="s">
        <v>11330</v>
      </c>
      <c r="H894" s="2" t="s">
        <v>8</v>
      </c>
      <c r="I894" s="2" t="s">
        <v>7</v>
      </c>
      <c r="J894" s="2" t="s">
        <v>8</v>
      </c>
      <c r="K894" s="2" t="s">
        <v>8</v>
      </c>
      <c r="L894" s="2" t="s">
        <v>9</v>
      </c>
      <c r="M894" s="1" t="s">
        <v>11331</v>
      </c>
      <c r="N894" s="1" t="s">
        <v>11332</v>
      </c>
      <c r="O894" s="2" t="s">
        <v>874</v>
      </c>
      <c r="Q894" s="2" t="s">
        <v>12</v>
      </c>
      <c r="R894" s="2" t="s">
        <v>520</v>
      </c>
      <c r="T894" s="2" t="s">
        <v>14</v>
      </c>
      <c r="U894" s="3">
        <v>6</v>
      </c>
      <c r="V894" s="3">
        <v>6</v>
      </c>
      <c r="W894" s="4" t="s">
        <v>6168</v>
      </c>
      <c r="X894" s="4" t="s">
        <v>6168</v>
      </c>
      <c r="Y894" s="4" t="s">
        <v>2700</v>
      </c>
      <c r="Z894" s="4" t="s">
        <v>2700</v>
      </c>
      <c r="AA894" s="3">
        <v>32</v>
      </c>
      <c r="AB894" s="3">
        <v>27</v>
      </c>
      <c r="AC894" s="3">
        <v>28</v>
      </c>
      <c r="AD894" s="3">
        <v>1</v>
      </c>
      <c r="AE894" s="3">
        <v>1</v>
      </c>
      <c r="AF894" s="3">
        <v>0</v>
      </c>
      <c r="AG894" s="3">
        <v>0</v>
      </c>
      <c r="AH894" s="3">
        <v>0</v>
      </c>
      <c r="AI894" s="3">
        <v>0</v>
      </c>
      <c r="AJ894" s="3">
        <v>0</v>
      </c>
      <c r="AK894" s="3">
        <v>0</v>
      </c>
      <c r="AL894" s="3">
        <v>0</v>
      </c>
      <c r="AM894" s="3">
        <v>0</v>
      </c>
      <c r="AN894" s="3">
        <v>0</v>
      </c>
      <c r="AO894" s="3">
        <v>0</v>
      </c>
      <c r="AP894" s="3">
        <v>0</v>
      </c>
      <c r="AQ894" s="3">
        <v>0</v>
      </c>
      <c r="AR894" s="2" t="s">
        <v>8</v>
      </c>
      <c r="AS894" s="2" t="s">
        <v>6</v>
      </c>
      <c r="AT894" s="5" t="str">
        <f>HYPERLINK("http://catalog.hathitrust.org/Record/003263220","HathiTrust Record")</f>
        <v>HathiTrust Record</v>
      </c>
      <c r="AU894" s="5" t="str">
        <f>HYPERLINK("https://creighton-primo.hosted.exlibrisgroup.com/primo-explore/search?tab=default_tab&amp;search_scope=EVERYTHING&amp;vid=01CRU&amp;lang=en_US&amp;offset=0&amp;query=any,contains,991001566679702656","Catalog Record")</f>
        <v>Catalog Record</v>
      </c>
      <c r="AV894" s="5" t="str">
        <f>HYPERLINK("http://www.worldcat.org/oclc/37201370","WorldCat Record")</f>
        <v>WorldCat Record</v>
      </c>
      <c r="AW894" s="2" t="s">
        <v>11333</v>
      </c>
      <c r="AX894" s="2" t="s">
        <v>11334</v>
      </c>
      <c r="AY894" s="2" t="s">
        <v>11335</v>
      </c>
      <c r="AZ894" s="2" t="s">
        <v>11335</v>
      </c>
      <c r="BA894" s="2" t="s">
        <v>11336</v>
      </c>
      <c r="BB894" s="2" t="s">
        <v>21</v>
      </c>
      <c r="BD894" s="2" t="s">
        <v>11337</v>
      </c>
      <c r="BE894" s="2" t="s">
        <v>11338</v>
      </c>
      <c r="BF894" s="2" t="s">
        <v>11339</v>
      </c>
    </row>
    <row r="895" spans="1:58" ht="42.75" customHeight="1" x14ac:dyDescent="0.25">
      <c r="A895" s="8" t="s">
        <v>8</v>
      </c>
      <c r="B895" s="1" t="s">
        <v>0</v>
      </c>
      <c r="C895" s="1" t="s">
        <v>1</v>
      </c>
      <c r="D895" s="1" t="s">
        <v>11340</v>
      </c>
      <c r="E895" s="1" t="s">
        <v>11341</v>
      </c>
      <c r="F895" s="1" t="s">
        <v>11342</v>
      </c>
      <c r="H895" s="2" t="s">
        <v>8</v>
      </c>
      <c r="I895" s="2" t="s">
        <v>7</v>
      </c>
      <c r="J895" s="2" t="s">
        <v>8</v>
      </c>
      <c r="K895" s="2" t="s">
        <v>8</v>
      </c>
      <c r="L895" s="2" t="s">
        <v>9</v>
      </c>
      <c r="M895" s="1" t="s">
        <v>11343</v>
      </c>
      <c r="N895" s="1" t="s">
        <v>11344</v>
      </c>
      <c r="O895" s="2" t="s">
        <v>1034</v>
      </c>
      <c r="Q895" s="2" t="s">
        <v>12</v>
      </c>
      <c r="R895" s="2" t="s">
        <v>34</v>
      </c>
      <c r="S895" s="1" t="s">
        <v>4047</v>
      </c>
      <c r="T895" s="2" t="s">
        <v>14</v>
      </c>
      <c r="U895" s="3">
        <v>7</v>
      </c>
      <c r="V895" s="3">
        <v>7</v>
      </c>
      <c r="W895" s="4" t="s">
        <v>11345</v>
      </c>
      <c r="X895" s="4" t="s">
        <v>11345</v>
      </c>
      <c r="Y895" s="4" t="s">
        <v>16</v>
      </c>
      <c r="Z895" s="4" t="s">
        <v>16</v>
      </c>
      <c r="AA895" s="3">
        <v>301</v>
      </c>
      <c r="AB895" s="3">
        <v>262</v>
      </c>
      <c r="AC895" s="3">
        <v>270</v>
      </c>
      <c r="AD895" s="3">
        <v>2</v>
      </c>
      <c r="AE895" s="3">
        <v>2</v>
      </c>
      <c r="AF895" s="3">
        <v>11</v>
      </c>
      <c r="AG895" s="3">
        <v>11</v>
      </c>
      <c r="AH895" s="3">
        <v>3</v>
      </c>
      <c r="AI895" s="3">
        <v>3</v>
      </c>
      <c r="AJ895" s="3">
        <v>3</v>
      </c>
      <c r="AK895" s="3">
        <v>3</v>
      </c>
      <c r="AL895" s="3">
        <v>9</v>
      </c>
      <c r="AM895" s="3">
        <v>9</v>
      </c>
      <c r="AN895" s="3">
        <v>1</v>
      </c>
      <c r="AO895" s="3">
        <v>1</v>
      </c>
      <c r="AP895" s="3">
        <v>0</v>
      </c>
      <c r="AQ895" s="3">
        <v>0</v>
      </c>
      <c r="AR895" s="2" t="s">
        <v>8</v>
      </c>
      <c r="AS895" s="2" t="s">
        <v>6</v>
      </c>
      <c r="AT895" s="5" t="str">
        <f>HYPERLINK("http://catalog.hathitrust.org/Record/000690273","HathiTrust Record")</f>
        <v>HathiTrust Record</v>
      </c>
      <c r="AU895" s="5" t="str">
        <f>HYPERLINK("https://creighton-primo.hosted.exlibrisgroup.com/primo-explore/search?tab=default_tab&amp;search_scope=EVERYTHING&amp;vid=01CRU&amp;lang=en_US&amp;offset=0&amp;query=any,contains,991000659719702656","Catalog Record")</f>
        <v>Catalog Record</v>
      </c>
      <c r="AV895" s="5" t="str">
        <f>HYPERLINK("http://www.worldcat.org/oclc/5411346","WorldCat Record")</f>
        <v>WorldCat Record</v>
      </c>
      <c r="AW895" s="2" t="s">
        <v>11346</v>
      </c>
      <c r="AX895" s="2" t="s">
        <v>11347</v>
      </c>
      <c r="AY895" s="2" t="s">
        <v>11348</v>
      </c>
      <c r="AZ895" s="2" t="s">
        <v>11348</v>
      </c>
      <c r="BA895" s="2" t="s">
        <v>11349</v>
      </c>
      <c r="BB895" s="2" t="s">
        <v>21</v>
      </c>
      <c r="BD895" s="2" t="s">
        <v>11350</v>
      </c>
      <c r="BE895" s="2" t="s">
        <v>11351</v>
      </c>
      <c r="BF895" s="2" t="s">
        <v>11352</v>
      </c>
    </row>
    <row r="896" spans="1:58" ht="42.75" customHeight="1" x14ac:dyDescent="0.25">
      <c r="A896" s="8" t="s">
        <v>8</v>
      </c>
      <c r="B896" s="1" t="s">
        <v>0</v>
      </c>
      <c r="C896" s="1" t="s">
        <v>1</v>
      </c>
      <c r="D896" s="1" t="s">
        <v>11353</v>
      </c>
      <c r="E896" s="1" t="s">
        <v>11354</v>
      </c>
      <c r="F896" s="1" t="s">
        <v>11355</v>
      </c>
      <c r="H896" s="2" t="s">
        <v>8</v>
      </c>
      <c r="I896" s="2" t="s">
        <v>7</v>
      </c>
      <c r="J896" s="2" t="s">
        <v>8</v>
      </c>
      <c r="K896" s="2" t="s">
        <v>8</v>
      </c>
      <c r="L896" s="2" t="s">
        <v>9</v>
      </c>
      <c r="N896" s="1" t="s">
        <v>11356</v>
      </c>
      <c r="O896" s="2" t="s">
        <v>830</v>
      </c>
      <c r="Q896" s="2" t="s">
        <v>12</v>
      </c>
      <c r="R896" s="2" t="s">
        <v>643</v>
      </c>
      <c r="T896" s="2" t="s">
        <v>14</v>
      </c>
      <c r="U896" s="3">
        <v>5</v>
      </c>
      <c r="V896" s="3">
        <v>5</v>
      </c>
      <c r="W896" s="4" t="s">
        <v>8740</v>
      </c>
      <c r="X896" s="4" t="s">
        <v>8740</v>
      </c>
      <c r="Y896" s="4" t="s">
        <v>11357</v>
      </c>
      <c r="Z896" s="4" t="s">
        <v>11357</v>
      </c>
      <c r="AA896" s="3">
        <v>179</v>
      </c>
      <c r="AB896" s="3">
        <v>69</v>
      </c>
      <c r="AC896" s="3">
        <v>113</v>
      </c>
      <c r="AD896" s="3">
        <v>1</v>
      </c>
      <c r="AE896" s="3">
        <v>1</v>
      </c>
      <c r="AF896" s="3">
        <v>2</v>
      </c>
      <c r="AG896" s="3">
        <v>2</v>
      </c>
      <c r="AH896" s="3">
        <v>0</v>
      </c>
      <c r="AI896" s="3">
        <v>0</v>
      </c>
      <c r="AJ896" s="3">
        <v>2</v>
      </c>
      <c r="AK896" s="3">
        <v>2</v>
      </c>
      <c r="AL896" s="3">
        <v>1</v>
      </c>
      <c r="AM896" s="3">
        <v>1</v>
      </c>
      <c r="AN896" s="3">
        <v>0</v>
      </c>
      <c r="AO896" s="3">
        <v>0</v>
      </c>
      <c r="AP896" s="3">
        <v>0</v>
      </c>
      <c r="AQ896" s="3">
        <v>0</v>
      </c>
      <c r="AR896" s="2" t="s">
        <v>8</v>
      </c>
      <c r="AS896" s="2" t="s">
        <v>8</v>
      </c>
      <c r="AU896" s="5" t="str">
        <f>HYPERLINK("https://creighton-primo.hosted.exlibrisgroup.com/primo-explore/search?tab=default_tab&amp;search_scope=EVERYTHING&amp;vid=01CRU&amp;lang=en_US&amp;offset=0&amp;query=any,contains,991000367469702656","Catalog Record")</f>
        <v>Catalog Record</v>
      </c>
      <c r="AV896" s="5" t="str">
        <f>HYPERLINK("http://www.worldcat.org/oclc/50561973","WorldCat Record")</f>
        <v>WorldCat Record</v>
      </c>
      <c r="AW896" s="2" t="s">
        <v>11358</v>
      </c>
      <c r="AX896" s="2" t="s">
        <v>11359</v>
      </c>
      <c r="AY896" s="2" t="s">
        <v>11360</v>
      </c>
      <c r="AZ896" s="2" t="s">
        <v>11360</v>
      </c>
      <c r="BA896" s="2" t="s">
        <v>11361</v>
      </c>
      <c r="BB896" s="2" t="s">
        <v>21</v>
      </c>
      <c r="BD896" s="2" t="s">
        <v>11362</v>
      </c>
      <c r="BE896" s="2" t="s">
        <v>11363</v>
      </c>
      <c r="BF896" s="2" t="s">
        <v>11364</v>
      </c>
    </row>
    <row r="897" spans="1:58" ht="42.75" customHeight="1" x14ac:dyDescent="0.25">
      <c r="A897" s="8" t="s">
        <v>8</v>
      </c>
      <c r="B897" s="1" t="s">
        <v>0</v>
      </c>
      <c r="C897" s="1" t="s">
        <v>1</v>
      </c>
      <c r="D897" s="1" t="s">
        <v>11365</v>
      </c>
      <c r="E897" s="1" t="s">
        <v>11366</v>
      </c>
      <c r="F897" s="1" t="s">
        <v>11367</v>
      </c>
      <c r="H897" s="2" t="s">
        <v>8</v>
      </c>
      <c r="I897" s="2" t="s">
        <v>7</v>
      </c>
      <c r="J897" s="2" t="s">
        <v>8</v>
      </c>
      <c r="K897" s="2" t="s">
        <v>8</v>
      </c>
      <c r="L897" s="2" t="s">
        <v>9</v>
      </c>
      <c r="N897" s="1" t="s">
        <v>11368</v>
      </c>
      <c r="O897" s="2" t="s">
        <v>1327</v>
      </c>
      <c r="Q897" s="2" t="s">
        <v>12</v>
      </c>
      <c r="R897" s="2" t="s">
        <v>34</v>
      </c>
      <c r="S897" s="1" t="s">
        <v>5148</v>
      </c>
      <c r="T897" s="2" t="s">
        <v>14</v>
      </c>
      <c r="U897" s="3">
        <v>5</v>
      </c>
      <c r="V897" s="3">
        <v>5</v>
      </c>
      <c r="W897" s="4" t="s">
        <v>10074</v>
      </c>
      <c r="X897" s="4" t="s">
        <v>10074</v>
      </c>
      <c r="Y897" s="4" t="s">
        <v>16</v>
      </c>
      <c r="Z897" s="4" t="s">
        <v>16</v>
      </c>
      <c r="AA897" s="3">
        <v>119</v>
      </c>
      <c r="AB897" s="3">
        <v>91</v>
      </c>
      <c r="AC897" s="3">
        <v>117</v>
      </c>
      <c r="AD897" s="3">
        <v>1</v>
      </c>
      <c r="AE897" s="3">
        <v>1</v>
      </c>
      <c r="AF897" s="3">
        <v>4</v>
      </c>
      <c r="AG897" s="3">
        <v>5</v>
      </c>
      <c r="AH897" s="3">
        <v>0</v>
      </c>
      <c r="AI897" s="3">
        <v>1</v>
      </c>
      <c r="AJ897" s="3">
        <v>1</v>
      </c>
      <c r="AK897" s="3">
        <v>1</v>
      </c>
      <c r="AL897" s="3">
        <v>3</v>
      </c>
      <c r="AM897" s="3">
        <v>4</v>
      </c>
      <c r="AN897" s="3">
        <v>0</v>
      </c>
      <c r="AO897" s="3">
        <v>0</v>
      </c>
      <c r="AP897" s="3">
        <v>1</v>
      </c>
      <c r="AQ897" s="3">
        <v>1</v>
      </c>
      <c r="AR897" s="2" t="s">
        <v>8</v>
      </c>
      <c r="AS897" s="2" t="s">
        <v>8</v>
      </c>
      <c r="AU897" s="5" t="str">
        <f>HYPERLINK("https://creighton-primo.hosted.exlibrisgroup.com/primo-explore/search?tab=default_tab&amp;search_scope=EVERYTHING&amp;vid=01CRU&amp;lang=en_US&amp;offset=0&amp;query=any,contains,991000659789702656","Catalog Record")</f>
        <v>Catalog Record</v>
      </c>
      <c r="AV897" s="5" t="str">
        <f>HYPERLINK("http://www.worldcat.org/oclc/13122478","WorldCat Record")</f>
        <v>WorldCat Record</v>
      </c>
      <c r="AW897" s="2" t="s">
        <v>11369</v>
      </c>
      <c r="AX897" s="2" t="s">
        <v>11370</v>
      </c>
      <c r="AY897" s="2" t="s">
        <v>11371</v>
      </c>
      <c r="AZ897" s="2" t="s">
        <v>11371</v>
      </c>
      <c r="BA897" s="2" t="s">
        <v>11372</v>
      </c>
      <c r="BB897" s="2" t="s">
        <v>21</v>
      </c>
      <c r="BD897" s="2" t="s">
        <v>11373</v>
      </c>
      <c r="BE897" s="2" t="s">
        <v>11374</v>
      </c>
      <c r="BF897" s="2" t="s">
        <v>11375</v>
      </c>
    </row>
    <row r="898" spans="1:58" ht="42.75" customHeight="1" x14ac:dyDescent="0.25">
      <c r="A898" s="8" t="s">
        <v>8</v>
      </c>
      <c r="B898" s="1" t="s">
        <v>0</v>
      </c>
      <c r="C898" s="1" t="s">
        <v>1</v>
      </c>
      <c r="D898" s="1" t="s">
        <v>11376</v>
      </c>
      <c r="E898" s="1" t="s">
        <v>11377</v>
      </c>
      <c r="F898" s="1" t="s">
        <v>11378</v>
      </c>
      <c r="H898" s="2" t="s">
        <v>8</v>
      </c>
      <c r="I898" s="2" t="s">
        <v>7</v>
      </c>
      <c r="J898" s="2" t="s">
        <v>8</v>
      </c>
      <c r="K898" s="2" t="s">
        <v>8</v>
      </c>
      <c r="L898" s="2" t="s">
        <v>9</v>
      </c>
      <c r="M898" s="1" t="s">
        <v>11379</v>
      </c>
      <c r="N898" s="1" t="s">
        <v>11380</v>
      </c>
      <c r="O898" s="2" t="s">
        <v>907</v>
      </c>
      <c r="Q898" s="2" t="s">
        <v>12</v>
      </c>
      <c r="R898" s="2" t="s">
        <v>1170</v>
      </c>
      <c r="T898" s="2" t="s">
        <v>14</v>
      </c>
      <c r="U898" s="3">
        <v>2</v>
      </c>
      <c r="V898" s="3">
        <v>2</v>
      </c>
      <c r="W898" s="4" t="s">
        <v>11381</v>
      </c>
      <c r="X898" s="4" t="s">
        <v>11381</v>
      </c>
      <c r="Y898" s="4" t="s">
        <v>11382</v>
      </c>
      <c r="Z898" s="4" t="s">
        <v>11382</v>
      </c>
      <c r="AA898" s="3">
        <v>251</v>
      </c>
      <c r="AB898" s="3">
        <v>219</v>
      </c>
      <c r="AC898" s="3">
        <v>595</v>
      </c>
      <c r="AD898" s="3">
        <v>1</v>
      </c>
      <c r="AE898" s="3">
        <v>5</v>
      </c>
      <c r="AF898" s="3">
        <v>10</v>
      </c>
      <c r="AG898" s="3">
        <v>27</v>
      </c>
      <c r="AH898" s="3">
        <v>3</v>
      </c>
      <c r="AI898" s="3">
        <v>10</v>
      </c>
      <c r="AJ898" s="3">
        <v>3</v>
      </c>
      <c r="AK898" s="3">
        <v>8</v>
      </c>
      <c r="AL898" s="3">
        <v>8</v>
      </c>
      <c r="AM898" s="3">
        <v>10</v>
      </c>
      <c r="AN898" s="3">
        <v>0</v>
      </c>
      <c r="AO898" s="3">
        <v>4</v>
      </c>
      <c r="AP898" s="3">
        <v>0</v>
      </c>
      <c r="AQ898" s="3">
        <v>1</v>
      </c>
      <c r="AR898" s="2" t="s">
        <v>8</v>
      </c>
      <c r="AS898" s="2" t="s">
        <v>6</v>
      </c>
      <c r="AT898" s="5" t="str">
        <f>HYPERLINK("http://catalog.hathitrust.org/Record/004041723","HathiTrust Record")</f>
        <v>HathiTrust Record</v>
      </c>
      <c r="AU898" s="5" t="str">
        <f>HYPERLINK("https://creighton-primo.hosted.exlibrisgroup.com/primo-explore/search?tab=default_tab&amp;search_scope=EVERYTHING&amp;vid=01CRU&amp;lang=en_US&amp;offset=0&amp;query=any,contains,991001705799702656","Catalog Record")</f>
        <v>Catalog Record</v>
      </c>
      <c r="AV898" s="5" t="str">
        <f>HYPERLINK("http://www.worldcat.org/oclc/41712200","WorldCat Record")</f>
        <v>WorldCat Record</v>
      </c>
      <c r="AW898" s="2" t="s">
        <v>11383</v>
      </c>
      <c r="AX898" s="2" t="s">
        <v>11384</v>
      </c>
      <c r="AY898" s="2" t="s">
        <v>11385</v>
      </c>
      <c r="AZ898" s="2" t="s">
        <v>11385</v>
      </c>
      <c r="BA898" s="2" t="s">
        <v>11386</v>
      </c>
      <c r="BB898" s="2" t="s">
        <v>21</v>
      </c>
      <c r="BD898" s="2" t="s">
        <v>11387</v>
      </c>
      <c r="BE898" s="2" t="s">
        <v>11388</v>
      </c>
      <c r="BF898" s="2" t="s">
        <v>11389</v>
      </c>
    </row>
    <row r="899" spans="1:58" ht="42.75" customHeight="1" x14ac:dyDescent="0.25">
      <c r="A899" s="8" t="s">
        <v>8</v>
      </c>
      <c r="B899" s="1" t="s">
        <v>0</v>
      </c>
      <c r="C899" s="1" t="s">
        <v>1</v>
      </c>
      <c r="D899" s="1" t="s">
        <v>11390</v>
      </c>
      <c r="E899" s="1" t="s">
        <v>11391</v>
      </c>
      <c r="F899" s="1" t="s">
        <v>11392</v>
      </c>
      <c r="H899" s="2" t="s">
        <v>8</v>
      </c>
      <c r="I899" s="2" t="s">
        <v>7</v>
      </c>
      <c r="J899" s="2" t="s">
        <v>6</v>
      </c>
      <c r="K899" s="2" t="s">
        <v>8</v>
      </c>
      <c r="L899" s="2" t="s">
        <v>9</v>
      </c>
      <c r="M899" s="1" t="s">
        <v>11393</v>
      </c>
      <c r="N899" s="1" t="s">
        <v>11394</v>
      </c>
      <c r="O899" s="2" t="s">
        <v>589</v>
      </c>
      <c r="Q899" s="2" t="s">
        <v>12</v>
      </c>
      <c r="R899" s="2" t="s">
        <v>643</v>
      </c>
      <c r="T899" s="2" t="s">
        <v>14</v>
      </c>
      <c r="U899" s="3">
        <v>6</v>
      </c>
      <c r="V899" s="3">
        <v>6</v>
      </c>
      <c r="W899" s="4" t="s">
        <v>11395</v>
      </c>
      <c r="X899" s="4" t="s">
        <v>11395</v>
      </c>
      <c r="Y899" s="4" t="s">
        <v>163</v>
      </c>
      <c r="Z899" s="4" t="s">
        <v>163</v>
      </c>
      <c r="AA899" s="3">
        <v>257</v>
      </c>
      <c r="AB899" s="3">
        <v>222</v>
      </c>
      <c r="AC899" s="3">
        <v>222</v>
      </c>
      <c r="AD899" s="3">
        <v>2</v>
      </c>
      <c r="AE899" s="3">
        <v>2</v>
      </c>
      <c r="AF899" s="3">
        <v>8</v>
      </c>
      <c r="AG899" s="3">
        <v>8</v>
      </c>
      <c r="AH899" s="3">
        <v>3</v>
      </c>
      <c r="AI899" s="3">
        <v>3</v>
      </c>
      <c r="AJ899" s="3">
        <v>2</v>
      </c>
      <c r="AK899" s="3">
        <v>2</v>
      </c>
      <c r="AL899" s="3">
        <v>4</v>
      </c>
      <c r="AM899" s="3">
        <v>4</v>
      </c>
      <c r="AN899" s="3">
        <v>0</v>
      </c>
      <c r="AO899" s="3">
        <v>0</v>
      </c>
      <c r="AP899" s="3">
        <v>2</v>
      </c>
      <c r="AQ899" s="3">
        <v>2</v>
      </c>
      <c r="AR899" s="2" t="s">
        <v>8</v>
      </c>
      <c r="AS899" s="2" t="s">
        <v>8</v>
      </c>
      <c r="AU899" s="5" t="str">
        <f>HYPERLINK("https://creighton-primo.hosted.exlibrisgroup.com/primo-explore/search?tab=default_tab&amp;search_scope=EVERYTHING&amp;vid=01CRU&amp;lang=en_US&amp;offset=0&amp;query=any,contains,991001450559702656","Catalog Record")</f>
        <v>Catalog Record</v>
      </c>
      <c r="AV899" s="5" t="str">
        <f>HYPERLINK("http://www.worldcat.org/oclc/20133794","WorldCat Record")</f>
        <v>WorldCat Record</v>
      </c>
      <c r="AW899" s="2" t="s">
        <v>11396</v>
      </c>
      <c r="AX899" s="2" t="s">
        <v>11397</v>
      </c>
      <c r="AY899" s="2" t="s">
        <v>11398</v>
      </c>
      <c r="AZ899" s="2" t="s">
        <v>11398</v>
      </c>
      <c r="BA899" s="2" t="s">
        <v>11399</v>
      </c>
      <c r="BB899" s="2" t="s">
        <v>21</v>
      </c>
      <c r="BD899" s="2" t="s">
        <v>11400</v>
      </c>
      <c r="BE899" s="2" t="s">
        <v>11401</v>
      </c>
      <c r="BF899" s="2" t="s">
        <v>11402</v>
      </c>
    </row>
    <row r="900" spans="1:58" ht="42.75" customHeight="1" x14ac:dyDescent="0.25">
      <c r="A900" s="8" t="s">
        <v>8</v>
      </c>
      <c r="B900" s="1" t="s">
        <v>0</v>
      </c>
      <c r="C900" s="1" t="s">
        <v>1</v>
      </c>
      <c r="D900" s="1" t="s">
        <v>11403</v>
      </c>
      <c r="E900" s="1" t="s">
        <v>11404</v>
      </c>
      <c r="F900" s="1" t="s">
        <v>11405</v>
      </c>
      <c r="H900" s="2" t="s">
        <v>8</v>
      </c>
      <c r="I900" s="2" t="s">
        <v>7</v>
      </c>
      <c r="J900" s="2" t="s">
        <v>8</v>
      </c>
      <c r="K900" s="2" t="s">
        <v>8</v>
      </c>
      <c r="L900" s="2" t="s">
        <v>9</v>
      </c>
      <c r="N900" s="1" t="s">
        <v>9809</v>
      </c>
      <c r="O900" s="2" t="s">
        <v>1327</v>
      </c>
      <c r="Q900" s="2" t="s">
        <v>12</v>
      </c>
      <c r="R900" s="2" t="s">
        <v>34</v>
      </c>
      <c r="T900" s="2" t="s">
        <v>14</v>
      </c>
      <c r="U900" s="3">
        <v>18</v>
      </c>
      <c r="V900" s="3">
        <v>18</v>
      </c>
      <c r="W900" s="4" t="s">
        <v>11406</v>
      </c>
      <c r="X900" s="4" t="s">
        <v>11406</v>
      </c>
      <c r="Y900" s="4" t="s">
        <v>16</v>
      </c>
      <c r="Z900" s="4" t="s">
        <v>16</v>
      </c>
      <c r="AA900" s="3">
        <v>412</v>
      </c>
      <c r="AB900" s="3">
        <v>344</v>
      </c>
      <c r="AC900" s="3">
        <v>351</v>
      </c>
      <c r="AD900" s="3">
        <v>4</v>
      </c>
      <c r="AE900" s="3">
        <v>4</v>
      </c>
      <c r="AF900" s="3">
        <v>16</v>
      </c>
      <c r="AG900" s="3">
        <v>16</v>
      </c>
      <c r="AH900" s="3">
        <v>4</v>
      </c>
      <c r="AI900" s="3">
        <v>4</v>
      </c>
      <c r="AJ900" s="3">
        <v>3</v>
      </c>
      <c r="AK900" s="3">
        <v>3</v>
      </c>
      <c r="AL900" s="3">
        <v>10</v>
      </c>
      <c r="AM900" s="3">
        <v>10</v>
      </c>
      <c r="AN900" s="3">
        <v>3</v>
      </c>
      <c r="AO900" s="3">
        <v>3</v>
      </c>
      <c r="AP900" s="3">
        <v>0</v>
      </c>
      <c r="AQ900" s="3">
        <v>0</v>
      </c>
      <c r="AR900" s="2" t="s">
        <v>8</v>
      </c>
      <c r="AS900" s="2" t="s">
        <v>6</v>
      </c>
      <c r="AT900" s="5" t="str">
        <f>HYPERLINK("http://catalog.hathitrust.org/Record/004416016","HathiTrust Record")</f>
        <v>HathiTrust Record</v>
      </c>
      <c r="AU900" s="5" t="str">
        <f>HYPERLINK("https://creighton-primo.hosted.exlibrisgroup.com/primo-explore/search?tab=default_tab&amp;search_scope=EVERYTHING&amp;vid=01CRU&amp;lang=en_US&amp;offset=0&amp;query=any,contains,991000659819702656","Catalog Record")</f>
        <v>Catalog Record</v>
      </c>
      <c r="AV900" s="5" t="str">
        <f>HYPERLINK("http://www.worldcat.org/oclc/12804660","WorldCat Record")</f>
        <v>WorldCat Record</v>
      </c>
      <c r="AW900" s="2" t="s">
        <v>11407</v>
      </c>
      <c r="AX900" s="2" t="s">
        <v>11408</v>
      </c>
      <c r="AY900" s="2" t="s">
        <v>11409</v>
      </c>
      <c r="AZ900" s="2" t="s">
        <v>11409</v>
      </c>
      <c r="BA900" s="2" t="s">
        <v>11410</v>
      </c>
      <c r="BB900" s="2" t="s">
        <v>21</v>
      </c>
      <c r="BD900" s="2" t="s">
        <v>11411</v>
      </c>
      <c r="BE900" s="2" t="s">
        <v>11412</v>
      </c>
      <c r="BF900" s="2" t="s">
        <v>11413</v>
      </c>
    </row>
    <row r="901" spans="1:58" ht="42.75" customHeight="1" x14ac:dyDescent="0.25">
      <c r="A901" s="8" t="s">
        <v>8</v>
      </c>
      <c r="B901" s="1" t="s">
        <v>0</v>
      </c>
      <c r="C901" s="1" t="s">
        <v>1</v>
      </c>
      <c r="D901" s="1" t="s">
        <v>11414</v>
      </c>
      <c r="E901" s="1" t="s">
        <v>11415</v>
      </c>
      <c r="F901" s="1" t="s">
        <v>11416</v>
      </c>
      <c r="H901" s="2" t="s">
        <v>8</v>
      </c>
      <c r="I901" s="2" t="s">
        <v>7</v>
      </c>
      <c r="J901" s="2" t="s">
        <v>8</v>
      </c>
      <c r="K901" s="2" t="s">
        <v>8</v>
      </c>
      <c r="L901" s="2" t="s">
        <v>9</v>
      </c>
      <c r="N901" s="1" t="s">
        <v>11417</v>
      </c>
      <c r="O901" s="2" t="s">
        <v>128</v>
      </c>
      <c r="Q901" s="2" t="s">
        <v>12</v>
      </c>
      <c r="R901" s="2" t="s">
        <v>13</v>
      </c>
      <c r="S901" s="1" t="s">
        <v>11418</v>
      </c>
      <c r="T901" s="2" t="s">
        <v>14</v>
      </c>
      <c r="U901" s="3">
        <v>5</v>
      </c>
      <c r="V901" s="3">
        <v>5</v>
      </c>
      <c r="W901" s="4" t="s">
        <v>11419</v>
      </c>
      <c r="X901" s="4" t="s">
        <v>11419</v>
      </c>
      <c r="Y901" s="4" t="s">
        <v>11420</v>
      </c>
      <c r="Z901" s="4" t="s">
        <v>11420</v>
      </c>
      <c r="AA901" s="3">
        <v>111</v>
      </c>
      <c r="AB901" s="3">
        <v>99</v>
      </c>
      <c r="AC901" s="3">
        <v>101</v>
      </c>
      <c r="AD901" s="3">
        <v>2</v>
      </c>
      <c r="AE901" s="3">
        <v>2</v>
      </c>
      <c r="AF901" s="3">
        <v>5</v>
      </c>
      <c r="AG901" s="3">
        <v>5</v>
      </c>
      <c r="AH901" s="3">
        <v>1</v>
      </c>
      <c r="AI901" s="3">
        <v>1</v>
      </c>
      <c r="AJ901" s="3">
        <v>2</v>
      </c>
      <c r="AK901" s="3">
        <v>2</v>
      </c>
      <c r="AL901" s="3">
        <v>3</v>
      </c>
      <c r="AM901" s="3">
        <v>3</v>
      </c>
      <c r="AN901" s="3">
        <v>0</v>
      </c>
      <c r="AO901" s="3">
        <v>0</v>
      </c>
      <c r="AP901" s="3">
        <v>0</v>
      </c>
      <c r="AQ901" s="3">
        <v>0</v>
      </c>
      <c r="AR901" s="2" t="s">
        <v>8</v>
      </c>
      <c r="AS901" s="2" t="s">
        <v>6</v>
      </c>
      <c r="AT901" s="5" t="str">
        <f>HYPERLINK("http://catalog.hathitrust.org/Record/000178655","HathiTrust Record")</f>
        <v>HathiTrust Record</v>
      </c>
      <c r="AU901" s="5" t="str">
        <f>HYPERLINK("https://creighton-primo.hosted.exlibrisgroup.com/primo-explore/search?tab=default_tab&amp;search_scope=EVERYTHING&amp;vid=01CRU&amp;lang=en_US&amp;offset=0&amp;query=any,contains,991001517069702656","Catalog Record")</f>
        <v>Catalog Record</v>
      </c>
      <c r="AV901" s="5" t="str">
        <f>HYPERLINK("http://www.worldcat.org/oclc/4570470","WorldCat Record")</f>
        <v>WorldCat Record</v>
      </c>
      <c r="AW901" s="2" t="s">
        <v>11421</v>
      </c>
      <c r="AX901" s="2" t="s">
        <v>11422</v>
      </c>
      <c r="AY901" s="2" t="s">
        <v>11423</v>
      </c>
      <c r="AZ901" s="2" t="s">
        <v>11423</v>
      </c>
      <c r="BA901" s="2" t="s">
        <v>11424</v>
      </c>
      <c r="BB901" s="2" t="s">
        <v>21</v>
      </c>
      <c r="BE901" s="2" t="s">
        <v>11425</v>
      </c>
      <c r="BF901" s="2" t="s">
        <v>11426</v>
      </c>
    </row>
    <row r="902" spans="1:58" ht="42.75" customHeight="1" x14ac:dyDescent="0.25">
      <c r="A902" s="8" t="s">
        <v>8</v>
      </c>
      <c r="B902" s="1" t="s">
        <v>0</v>
      </c>
      <c r="C902" s="1" t="s">
        <v>1</v>
      </c>
      <c r="D902" s="1" t="s">
        <v>11427</v>
      </c>
      <c r="E902" s="1" t="s">
        <v>11428</v>
      </c>
      <c r="F902" s="1" t="s">
        <v>11429</v>
      </c>
      <c r="H902" s="2" t="s">
        <v>8</v>
      </c>
      <c r="I902" s="2" t="s">
        <v>7</v>
      </c>
      <c r="J902" s="2" t="s">
        <v>8</v>
      </c>
      <c r="K902" s="2" t="s">
        <v>8</v>
      </c>
      <c r="L902" s="2" t="s">
        <v>9</v>
      </c>
      <c r="M902" s="1" t="s">
        <v>11430</v>
      </c>
      <c r="N902" s="1" t="s">
        <v>11431</v>
      </c>
      <c r="O902" s="2" t="s">
        <v>67</v>
      </c>
      <c r="Q902" s="2" t="s">
        <v>12</v>
      </c>
      <c r="R902" s="2" t="s">
        <v>34</v>
      </c>
      <c r="T902" s="2" t="s">
        <v>14</v>
      </c>
      <c r="U902" s="3">
        <v>11</v>
      </c>
      <c r="V902" s="3">
        <v>11</v>
      </c>
      <c r="W902" s="4" t="s">
        <v>11306</v>
      </c>
      <c r="X902" s="4" t="s">
        <v>11306</v>
      </c>
      <c r="Y902" s="4" t="s">
        <v>16</v>
      </c>
      <c r="Z902" s="4" t="s">
        <v>16</v>
      </c>
      <c r="AA902" s="3">
        <v>331</v>
      </c>
      <c r="AB902" s="3">
        <v>264</v>
      </c>
      <c r="AC902" s="3">
        <v>693</v>
      </c>
      <c r="AD902" s="3">
        <v>3</v>
      </c>
      <c r="AE902" s="3">
        <v>3</v>
      </c>
      <c r="AF902" s="3">
        <v>9</v>
      </c>
      <c r="AG902" s="3">
        <v>26</v>
      </c>
      <c r="AH902" s="3">
        <v>4</v>
      </c>
      <c r="AI902" s="3">
        <v>12</v>
      </c>
      <c r="AJ902" s="3">
        <v>3</v>
      </c>
      <c r="AK902" s="3">
        <v>5</v>
      </c>
      <c r="AL902" s="3">
        <v>2</v>
      </c>
      <c r="AM902" s="3">
        <v>15</v>
      </c>
      <c r="AN902" s="3">
        <v>1</v>
      </c>
      <c r="AO902" s="3">
        <v>1</v>
      </c>
      <c r="AP902" s="3">
        <v>0</v>
      </c>
      <c r="AQ902" s="3">
        <v>0</v>
      </c>
      <c r="AR902" s="2" t="s">
        <v>8</v>
      </c>
      <c r="AS902" s="2" t="s">
        <v>6</v>
      </c>
      <c r="AT902" s="5" t="str">
        <f>HYPERLINK("http://catalog.hathitrust.org/Record/000347033","HathiTrust Record")</f>
        <v>HathiTrust Record</v>
      </c>
      <c r="AU902" s="5" t="str">
        <f>HYPERLINK("https://creighton-primo.hosted.exlibrisgroup.com/primo-explore/search?tab=default_tab&amp;search_scope=EVERYTHING&amp;vid=01CRU&amp;lang=en_US&amp;offset=0&amp;query=any,contains,991000659859702656","Catalog Record")</f>
        <v>Catalog Record</v>
      </c>
      <c r="AV902" s="5" t="str">
        <f>HYPERLINK("http://www.worldcat.org/oclc/10948355","WorldCat Record")</f>
        <v>WorldCat Record</v>
      </c>
      <c r="AW902" s="2" t="s">
        <v>11432</v>
      </c>
      <c r="AX902" s="2" t="s">
        <v>11433</v>
      </c>
      <c r="AY902" s="2" t="s">
        <v>11434</v>
      </c>
      <c r="AZ902" s="2" t="s">
        <v>11434</v>
      </c>
      <c r="BA902" s="2" t="s">
        <v>11435</v>
      </c>
      <c r="BB902" s="2" t="s">
        <v>21</v>
      </c>
      <c r="BD902" s="2" t="s">
        <v>11436</v>
      </c>
      <c r="BE902" s="2" t="s">
        <v>11437</v>
      </c>
      <c r="BF902" s="2" t="s">
        <v>11438</v>
      </c>
    </row>
    <row r="903" spans="1:58" ht="42.75" customHeight="1" x14ac:dyDescent="0.25">
      <c r="A903" s="8" t="s">
        <v>8</v>
      </c>
      <c r="B903" s="1" t="s">
        <v>0</v>
      </c>
      <c r="C903" s="1" t="s">
        <v>1</v>
      </c>
      <c r="D903" s="1" t="s">
        <v>11439</v>
      </c>
      <c r="E903" s="1" t="s">
        <v>11440</v>
      </c>
      <c r="F903" s="1" t="s">
        <v>11441</v>
      </c>
      <c r="H903" s="2" t="s">
        <v>8</v>
      </c>
      <c r="I903" s="2" t="s">
        <v>7</v>
      </c>
      <c r="J903" s="2" t="s">
        <v>8</v>
      </c>
      <c r="K903" s="2" t="s">
        <v>8</v>
      </c>
      <c r="L903" s="2" t="s">
        <v>9</v>
      </c>
      <c r="M903" s="1" t="s">
        <v>11442</v>
      </c>
      <c r="N903" s="1" t="s">
        <v>716</v>
      </c>
      <c r="O903" s="2" t="s">
        <v>627</v>
      </c>
      <c r="Q903" s="2" t="s">
        <v>12</v>
      </c>
      <c r="R903" s="2" t="s">
        <v>34</v>
      </c>
      <c r="T903" s="2" t="s">
        <v>14</v>
      </c>
      <c r="U903" s="3">
        <v>13</v>
      </c>
      <c r="V903" s="3">
        <v>13</v>
      </c>
      <c r="W903" s="4" t="s">
        <v>7327</v>
      </c>
      <c r="X903" s="4" t="s">
        <v>7327</v>
      </c>
      <c r="Y903" s="4" t="s">
        <v>2755</v>
      </c>
      <c r="Z903" s="4" t="s">
        <v>2755</v>
      </c>
      <c r="AA903" s="3">
        <v>312</v>
      </c>
      <c r="AB903" s="3">
        <v>277</v>
      </c>
      <c r="AC903" s="3">
        <v>284</v>
      </c>
      <c r="AD903" s="3">
        <v>1</v>
      </c>
      <c r="AE903" s="3">
        <v>1</v>
      </c>
      <c r="AF903" s="3">
        <v>9</v>
      </c>
      <c r="AG903" s="3">
        <v>9</v>
      </c>
      <c r="AH903" s="3">
        <v>3</v>
      </c>
      <c r="AI903" s="3">
        <v>3</v>
      </c>
      <c r="AJ903" s="3">
        <v>2</v>
      </c>
      <c r="AK903" s="3">
        <v>2</v>
      </c>
      <c r="AL903" s="3">
        <v>8</v>
      </c>
      <c r="AM903" s="3">
        <v>8</v>
      </c>
      <c r="AN903" s="3">
        <v>0</v>
      </c>
      <c r="AO903" s="3">
        <v>0</v>
      </c>
      <c r="AP903" s="3">
        <v>0</v>
      </c>
      <c r="AQ903" s="3">
        <v>0</v>
      </c>
      <c r="AR903" s="2" t="s">
        <v>8</v>
      </c>
      <c r="AS903" s="2" t="s">
        <v>6</v>
      </c>
      <c r="AT903" s="5" t="str">
        <f>HYPERLINK("http://catalog.hathitrust.org/Record/001549910","HathiTrust Record")</f>
        <v>HathiTrust Record</v>
      </c>
      <c r="AU903" s="5" t="str">
        <f>HYPERLINK("https://creighton-primo.hosted.exlibrisgroup.com/primo-explore/search?tab=default_tab&amp;search_scope=EVERYTHING&amp;vid=01CRU&amp;lang=en_US&amp;offset=0&amp;query=any,contains,991001449519702656","Catalog Record")</f>
        <v>Catalog Record</v>
      </c>
      <c r="AV903" s="5" t="str">
        <f>HYPERLINK("http://www.worldcat.org/oclc/18714969","WorldCat Record")</f>
        <v>WorldCat Record</v>
      </c>
      <c r="AW903" s="2" t="s">
        <v>11443</v>
      </c>
      <c r="AX903" s="2" t="s">
        <v>11444</v>
      </c>
      <c r="AY903" s="2" t="s">
        <v>11445</v>
      </c>
      <c r="AZ903" s="2" t="s">
        <v>11445</v>
      </c>
      <c r="BA903" s="2" t="s">
        <v>11446</v>
      </c>
      <c r="BB903" s="2" t="s">
        <v>21</v>
      </c>
      <c r="BD903" s="2" t="s">
        <v>11447</v>
      </c>
      <c r="BE903" s="2" t="s">
        <v>11448</v>
      </c>
      <c r="BF903" s="2" t="s">
        <v>11449</v>
      </c>
    </row>
    <row r="904" spans="1:58" ht="42.75" customHeight="1" x14ac:dyDescent="0.25">
      <c r="A904" s="8" t="s">
        <v>8</v>
      </c>
      <c r="B904" s="1" t="s">
        <v>0</v>
      </c>
      <c r="C904" s="1" t="s">
        <v>1</v>
      </c>
      <c r="D904" s="1" t="s">
        <v>11450</v>
      </c>
      <c r="E904" s="1" t="s">
        <v>11451</v>
      </c>
      <c r="F904" s="1" t="s">
        <v>11452</v>
      </c>
      <c r="H904" s="2" t="s">
        <v>8</v>
      </c>
      <c r="I904" s="2" t="s">
        <v>7</v>
      </c>
      <c r="J904" s="2" t="s">
        <v>8</v>
      </c>
      <c r="K904" s="2" t="s">
        <v>6</v>
      </c>
      <c r="L904" s="2" t="s">
        <v>7</v>
      </c>
      <c r="N904" s="1" t="s">
        <v>11453</v>
      </c>
      <c r="O904" s="2" t="s">
        <v>874</v>
      </c>
      <c r="P904" s="1" t="s">
        <v>83</v>
      </c>
      <c r="Q904" s="2" t="s">
        <v>12</v>
      </c>
      <c r="R904" s="2" t="s">
        <v>1170</v>
      </c>
      <c r="S904" s="1" t="s">
        <v>9686</v>
      </c>
      <c r="T904" s="2" t="s">
        <v>14</v>
      </c>
      <c r="U904" s="3">
        <v>9</v>
      </c>
      <c r="V904" s="3">
        <v>9</v>
      </c>
      <c r="W904" s="4" t="s">
        <v>11454</v>
      </c>
      <c r="X904" s="4" t="s">
        <v>11454</v>
      </c>
      <c r="Y904" s="4" t="s">
        <v>1994</v>
      </c>
      <c r="Z904" s="4" t="s">
        <v>1994</v>
      </c>
      <c r="AA904" s="3">
        <v>326</v>
      </c>
      <c r="AB904" s="3">
        <v>246</v>
      </c>
      <c r="AC904" s="3">
        <v>821</v>
      </c>
      <c r="AD904" s="3">
        <v>2</v>
      </c>
      <c r="AE904" s="3">
        <v>6</v>
      </c>
      <c r="AF904" s="3">
        <v>7</v>
      </c>
      <c r="AG904" s="3">
        <v>34</v>
      </c>
      <c r="AH904" s="3">
        <v>2</v>
      </c>
      <c r="AI904" s="3">
        <v>9</v>
      </c>
      <c r="AJ904" s="3">
        <v>1</v>
      </c>
      <c r="AK904" s="3">
        <v>9</v>
      </c>
      <c r="AL904" s="3">
        <v>4</v>
      </c>
      <c r="AM904" s="3">
        <v>17</v>
      </c>
      <c r="AN904" s="3">
        <v>1</v>
      </c>
      <c r="AO904" s="3">
        <v>4</v>
      </c>
      <c r="AP904" s="3">
        <v>0</v>
      </c>
      <c r="AQ904" s="3">
        <v>2</v>
      </c>
      <c r="AR904" s="2" t="s">
        <v>8</v>
      </c>
      <c r="AS904" s="2" t="s">
        <v>6</v>
      </c>
      <c r="AT904" s="5" t="str">
        <f>HYPERLINK("http://catalog.hathitrust.org/Record/004560762","HathiTrust Record")</f>
        <v>HathiTrust Record</v>
      </c>
      <c r="AU904" s="5" t="str">
        <f>HYPERLINK("https://creighton-primo.hosted.exlibrisgroup.com/primo-explore/search?tab=default_tab&amp;search_scope=EVERYTHING&amp;vid=01CRU&amp;lang=en_US&amp;offset=0&amp;query=any,contains,991001564109702656","Catalog Record")</f>
        <v>Catalog Record</v>
      </c>
      <c r="AV904" s="5" t="str">
        <f>HYPERLINK("http://www.worldcat.org/oclc/34974564","WorldCat Record")</f>
        <v>WorldCat Record</v>
      </c>
      <c r="AW904" s="2" t="s">
        <v>11455</v>
      </c>
      <c r="AX904" s="2" t="s">
        <v>11456</v>
      </c>
      <c r="AY904" s="2" t="s">
        <v>11457</v>
      </c>
      <c r="AZ904" s="2" t="s">
        <v>11457</v>
      </c>
      <c r="BA904" s="2" t="s">
        <v>11458</v>
      </c>
      <c r="BB904" s="2" t="s">
        <v>21</v>
      </c>
      <c r="BD904" s="2" t="s">
        <v>11459</v>
      </c>
      <c r="BE904" s="2" t="s">
        <v>11460</v>
      </c>
      <c r="BF904" s="2" t="s">
        <v>11461</v>
      </c>
    </row>
    <row r="905" spans="1:58" ht="42.75" customHeight="1" x14ac:dyDescent="0.25">
      <c r="A905" s="8" t="s">
        <v>8</v>
      </c>
      <c r="B905" s="1" t="s">
        <v>0</v>
      </c>
      <c r="C905" s="1" t="s">
        <v>1</v>
      </c>
      <c r="D905" s="1" t="s">
        <v>11462</v>
      </c>
      <c r="E905" s="1" t="s">
        <v>11463</v>
      </c>
      <c r="F905" s="1" t="s">
        <v>11464</v>
      </c>
      <c r="H905" s="2" t="s">
        <v>8</v>
      </c>
      <c r="I905" s="2" t="s">
        <v>7</v>
      </c>
      <c r="J905" s="2" t="s">
        <v>8</v>
      </c>
      <c r="K905" s="2" t="s">
        <v>8</v>
      </c>
      <c r="L905" s="2" t="s">
        <v>9</v>
      </c>
      <c r="N905" s="1" t="s">
        <v>11465</v>
      </c>
      <c r="O905" s="2" t="s">
        <v>627</v>
      </c>
      <c r="Q905" s="2" t="s">
        <v>12</v>
      </c>
      <c r="R905" s="2" t="s">
        <v>34</v>
      </c>
      <c r="T905" s="2" t="s">
        <v>14</v>
      </c>
      <c r="U905" s="3">
        <v>10</v>
      </c>
      <c r="V905" s="3">
        <v>10</v>
      </c>
      <c r="W905" s="4" t="s">
        <v>7327</v>
      </c>
      <c r="X905" s="4" t="s">
        <v>7327</v>
      </c>
      <c r="Y905" s="4" t="s">
        <v>7774</v>
      </c>
      <c r="Z905" s="4" t="s">
        <v>7774</v>
      </c>
      <c r="AA905" s="3">
        <v>107</v>
      </c>
      <c r="AB905" s="3">
        <v>71</v>
      </c>
      <c r="AC905" s="3">
        <v>71</v>
      </c>
      <c r="AD905" s="3">
        <v>2</v>
      </c>
      <c r="AE905" s="3">
        <v>2</v>
      </c>
      <c r="AF905" s="3">
        <v>5</v>
      </c>
      <c r="AG905" s="3">
        <v>5</v>
      </c>
      <c r="AH905" s="3">
        <v>2</v>
      </c>
      <c r="AI905" s="3">
        <v>2</v>
      </c>
      <c r="AJ905" s="3">
        <v>0</v>
      </c>
      <c r="AK905" s="3">
        <v>0</v>
      </c>
      <c r="AL905" s="3">
        <v>2</v>
      </c>
      <c r="AM905" s="3">
        <v>2</v>
      </c>
      <c r="AN905" s="3">
        <v>1</v>
      </c>
      <c r="AO905" s="3">
        <v>1</v>
      </c>
      <c r="AP905" s="3">
        <v>0</v>
      </c>
      <c r="AQ905" s="3">
        <v>0</v>
      </c>
      <c r="AR905" s="2" t="s">
        <v>8</v>
      </c>
      <c r="AS905" s="2" t="s">
        <v>8</v>
      </c>
      <c r="AU905" s="5" t="str">
        <f>HYPERLINK("https://creighton-primo.hosted.exlibrisgroup.com/primo-explore/search?tab=default_tab&amp;search_scope=EVERYTHING&amp;vid=01CRU&amp;lang=en_US&amp;offset=0&amp;query=any,contains,991001310879702656","Catalog Record")</f>
        <v>Catalog Record</v>
      </c>
      <c r="AV905" s="5" t="str">
        <f>HYPERLINK("http://www.worldcat.org/oclc/18715089","WorldCat Record")</f>
        <v>WorldCat Record</v>
      </c>
      <c r="AW905" s="2" t="s">
        <v>11466</v>
      </c>
      <c r="AX905" s="2" t="s">
        <v>11467</v>
      </c>
      <c r="AY905" s="2" t="s">
        <v>11468</v>
      </c>
      <c r="AZ905" s="2" t="s">
        <v>11468</v>
      </c>
      <c r="BA905" s="2" t="s">
        <v>11469</v>
      </c>
      <c r="BB905" s="2" t="s">
        <v>21</v>
      </c>
      <c r="BD905" s="2" t="s">
        <v>11470</v>
      </c>
      <c r="BE905" s="2" t="s">
        <v>11471</v>
      </c>
      <c r="BF905" s="2" t="s">
        <v>11472</v>
      </c>
    </row>
    <row r="906" spans="1:58" ht="42.75" customHeight="1" x14ac:dyDescent="0.25">
      <c r="A906" s="8" t="s">
        <v>8</v>
      </c>
      <c r="B906" s="1" t="s">
        <v>0</v>
      </c>
      <c r="C906" s="1" t="s">
        <v>1</v>
      </c>
      <c r="D906" s="1" t="s">
        <v>11473</v>
      </c>
      <c r="E906" s="1" t="s">
        <v>11474</v>
      </c>
      <c r="F906" s="1" t="s">
        <v>11475</v>
      </c>
      <c r="H906" s="2" t="s">
        <v>8</v>
      </c>
      <c r="I906" s="2" t="s">
        <v>7</v>
      </c>
      <c r="J906" s="2" t="s">
        <v>8</v>
      </c>
      <c r="K906" s="2" t="s">
        <v>8</v>
      </c>
      <c r="L906" s="2" t="s">
        <v>9</v>
      </c>
      <c r="N906" s="1" t="s">
        <v>11476</v>
      </c>
      <c r="O906" s="2" t="s">
        <v>602</v>
      </c>
      <c r="Q906" s="2" t="s">
        <v>12</v>
      </c>
      <c r="R906" s="2" t="s">
        <v>1170</v>
      </c>
      <c r="T906" s="2" t="s">
        <v>14</v>
      </c>
      <c r="U906" s="3">
        <v>15</v>
      </c>
      <c r="V906" s="3">
        <v>15</v>
      </c>
      <c r="W906" s="4" t="s">
        <v>11477</v>
      </c>
      <c r="X906" s="4" t="s">
        <v>11477</v>
      </c>
      <c r="Y906" s="4" t="s">
        <v>10927</v>
      </c>
      <c r="Z906" s="4" t="s">
        <v>10927</v>
      </c>
      <c r="AA906" s="3">
        <v>479</v>
      </c>
      <c r="AB906" s="3">
        <v>336</v>
      </c>
      <c r="AC906" s="3">
        <v>336</v>
      </c>
      <c r="AD906" s="3">
        <v>3</v>
      </c>
      <c r="AE906" s="3">
        <v>3</v>
      </c>
      <c r="AF906" s="3">
        <v>22</v>
      </c>
      <c r="AG906" s="3">
        <v>22</v>
      </c>
      <c r="AH906" s="3">
        <v>8</v>
      </c>
      <c r="AI906" s="3">
        <v>8</v>
      </c>
      <c r="AJ906" s="3">
        <v>6</v>
      </c>
      <c r="AK906" s="3">
        <v>6</v>
      </c>
      <c r="AL906" s="3">
        <v>13</v>
      </c>
      <c r="AM906" s="3">
        <v>13</v>
      </c>
      <c r="AN906" s="3">
        <v>2</v>
      </c>
      <c r="AO906" s="3">
        <v>2</v>
      </c>
      <c r="AP906" s="3">
        <v>0</v>
      </c>
      <c r="AQ906" s="3">
        <v>0</v>
      </c>
      <c r="AR906" s="2" t="s">
        <v>8</v>
      </c>
      <c r="AS906" s="2" t="s">
        <v>8</v>
      </c>
      <c r="AU906" s="5" t="str">
        <f>HYPERLINK("https://creighton-primo.hosted.exlibrisgroup.com/primo-explore/search?tab=default_tab&amp;search_scope=EVERYTHING&amp;vid=01CRU&amp;lang=en_US&amp;offset=0&amp;query=any,contains,991001481019702656","Catalog Record")</f>
        <v>Catalog Record</v>
      </c>
      <c r="AV906" s="5" t="str">
        <f>HYPERLINK("http://www.worldcat.org/oclc/22813088","WorldCat Record")</f>
        <v>WorldCat Record</v>
      </c>
      <c r="AW906" s="2" t="s">
        <v>11478</v>
      </c>
      <c r="AX906" s="2" t="s">
        <v>11479</v>
      </c>
      <c r="AY906" s="2" t="s">
        <v>11480</v>
      </c>
      <c r="AZ906" s="2" t="s">
        <v>11480</v>
      </c>
      <c r="BA906" s="2" t="s">
        <v>11481</v>
      </c>
      <c r="BB906" s="2" t="s">
        <v>21</v>
      </c>
      <c r="BD906" s="2" t="s">
        <v>11482</v>
      </c>
      <c r="BE906" s="2" t="s">
        <v>11483</v>
      </c>
      <c r="BF906" s="2" t="s">
        <v>11484</v>
      </c>
    </row>
    <row r="907" spans="1:58" ht="42.75" customHeight="1" x14ac:dyDescent="0.25">
      <c r="A907" s="8" t="s">
        <v>8</v>
      </c>
      <c r="B907" s="1" t="s">
        <v>0</v>
      </c>
      <c r="C907" s="1" t="s">
        <v>1</v>
      </c>
      <c r="D907" s="1" t="s">
        <v>11485</v>
      </c>
      <c r="E907" s="1" t="s">
        <v>11486</v>
      </c>
      <c r="F907" s="1" t="s">
        <v>11487</v>
      </c>
      <c r="H907" s="2" t="s">
        <v>8</v>
      </c>
      <c r="I907" s="2" t="s">
        <v>7</v>
      </c>
      <c r="J907" s="2" t="s">
        <v>8</v>
      </c>
      <c r="K907" s="2" t="s">
        <v>8</v>
      </c>
      <c r="L907" s="2" t="s">
        <v>9</v>
      </c>
      <c r="M907" s="1" t="s">
        <v>11488</v>
      </c>
      <c r="N907" s="1" t="s">
        <v>11489</v>
      </c>
      <c r="O907" s="2" t="s">
        <v>1060</v>
      </c>
      <c r="P907" s="1" t="s">
        <v>83</v>
      </c>
      <c r="Q907" s="2" t="s">
        <v>12</v>
      </c>
      <c r="R907" s="2" t="s">
        <v>1170</v>
      </c>
      <c r="T907" s="2" t="s">
        <v>14</v>
      </c>
      <c r="U907" s="3">
        <v>4</v>
      </c>
      <c r="V907" s="3">
        <v>4</v>
      </c>
      <c r="W907" s="4" t="s">
        <v>11490</v>
      </c>
      <c r="X907" s="4" t="s">
        <v>11490</v>
      </c>
      <c r="Y907" s="4" t="s">
        <v>11491</v>
      </c>
      <c r="Z907" s="4" t="s">
        <v>11491</v>
      </c>
      <c r="AA907" s="3">
        <v>240</v>
      </c>
      <c r="AB907" s="3">
        <v>163</v>
      </c>
      <c r="AC907" s="3">
        <v>377</v>
      </c>
      <c r="AD907" s="3">
        <v>2</v>
      </c>
      <c r="AE907" s="3">
        <v>2</v>
      </c>
      <c r="AF907" s="3">
        <v>10</v>
      </c>
      <c r="AG907" s="3">
        <v>14</v>
      </c>
      <c r="AH907" s="3">
        <v>4</v>
      </c>
      <c r="AI907" s="3">
        <v>7</v>
      </c>
      <c r="AJ907" s="3">
        <v>3</v>
      </c>
      <c r="AK907" s="3">
        <v>3</v>
      </c>
      <c r="AL907" s="3">
        <v>7</v>
      </c>
      <c r="AM907" s="3">
        <v>8</v>
      </c>
      <c r="AN907" s="3">
        <v>1</v>
      </c>
      <c r="AO907" s="3">
        <v>1</v>
      </c>
      <c r="AP907" s="3">
        <v>0</v>
      </c>
      <c r="AQ907" s="3">
        <v>0</v>
      </c>
      <c r="AR907" s="2" t="s">
        <v>8</v>
      </c>
      <c r="AS907" s="2" t="s">
        <v>6</v>
      </c>
      <c r="AT907" s="5" t="str">
        <f>HYPERLINK("http://catalog.hathitrust.org/Record/003800179","HathiTrust Record")</f>
        <v>HathiTrust Record</v>
      </c>
      <c r="AU907" s="5" t="str">
        <f>HYPERLINK("https://creighton-primo.hosted.exlibrisgroup.com/primo-explore/search?tab=default_tab&amp;search_scope=EVERYTHING&amp;vid=01CRU&amp;lang=en_US&amp;offset=0&amp;query=any,contains,991001502169702656","Catalog Record")</f>
        <v>Catalog Record</v>
      </c>
      <c r="AV907" s="5" t="str">
        <f>HYPERLINK("http://www.worldcat.org/oclc/32922986","WorldCat Record")</f>
        <v>WorldCat Record</v>
      </c>
      <c r="AW907" s="2" t="s">
        <v>11492</v>
      </c>
      <c r="AX907" s="2" t="s">
        <v>11493</v>
      </c>
      <c r="AY907" s="2" t="s">
        <v>11494</v>
      </c>
      <c r="AZ907" s="2" t="s">
        <v>11494</v>
      </c>
      <c r="BA907" s="2" t="s">
        <v>11495</v>
      </c>
      <c r="BB907" s="2" t="s">
        <v>21</v>
      </c>
      <c r="BD907" s="2" t="s">
        <v>11496</v>
      </c>
      <c r="BE907" s="2" t="s">
        <v>11497</v>
      </c>
      <c r="BF907" s="2" t="s">
        <v>11498</v>
      </c>
    </row>
    <row r="908" spans="1:58" ht="42.75" customHeight="1" x14ac:dyDescent="0.25">
      <c r="A908" s="8" t="s">
        <v>8</v>
      </c>
      <c r="B908" s="1" t="s">
        <v>0</v>
      </c>
      <c r="C908" s="1" t="s">
        <v>1</v>
      </c>
      <c r="D908" s="1" t="s">
        <v>11499</v>
      </c>
      <c r="E908" s="1" t="s">
        <v>11500</v>
      </c>
      <c r="F908" s="1" t="s">
        <v>11501</v>
      </c>
      <c r="H908" s="2" t="s">
        <v>8</v>
      </c>
      <c r="I908" s="2" t="s">
        <v>7</v>
      </c>
      <c r="J908" s="2" t="s">
        <v>8</v>
      </c>
      <c r="K908" s="2" t="s">
        <v>8</v>
      </c>
      <c r="L908" s="2" t="s">
        <v>9</v>
      </c>
      <c r="M908" s="1" t="s">
        <v>6218</v>
      </c>
      <c r="N908" s="1" t="s">
        <v>4713</v>
      </c>
      <c r="O908" s="2" t="s">
        <v>410</v>
      </c>
      <c r="Q908" s="2" t="s">
        <v>12</v>
      </c>
      <c r="R908" s="2" t="s">
        <v>13</v>
      </c>
      <c r="T908" s="2" t="s">
        <v>14</v>
      </c>
      <c r="U908" s="3">
        <v>13</v>
      </c>
      <c r="V908" s="3">
        <v>13</v>
      </c>
      <c r="W908" s="4" t="s">
        <v>878</v>
      </c>
      <c r="X908" s="4" t="s">
        <v>878</v>
      </c>
      <c r="Y908" s="4" t="s">
        <v>4715</v>
      </c>
      <c r="Z908" s="4" t="s">
        <v>4715</v>
      </c>
      <c r="AA908" s="3">
        <v>566</v>
      </c>
      <c r="AB908" s="3">
        <v>496</v>
      </c>
      <c r="AC908" s="3">
        <v>505</v>
      </c>
      <c r="AD908" s="3">
        <v>4</v>
      </c>
      <c r="AE908" s="3">
        <v>4</v>
      </c>
      <c r="AF908" s="3">
        <v>25</v>
      </c>
      <c r="AG908" s="3">
        <v>25</v>
      </c>
      <c r="AH908" s="3">
        <v>8</v>
      </c>
      <c r="AI908" s="3">
        <v>8</v>
      </c>
      <c r="AJ908" s="3">
        <v>6</v>
      </c>
      <c r="AK908" s="3">
        <v>6</v>
      </c>
      <c r="AL908" s="3">
        <v>12</v>
      </c>
      <c r="AM908" s="3">
        <v>12</v>
      </c>
      <c r="AN908" s="3">
        <v>3</v>
      </c>
      <c r="AO908" s="3">
        <v>3</v>
      </c>
      <c r="AP908" s="3">
        <v>4</v>
      </c>
      <c r="AQ908" s="3">
        <v>4</v>
      </c>
      <c r="AR908" s="2" t="s">
        <v>8</v>
      </c>
      <c r="AS908" s="2" t="s">
        <v>6</v>
      </c>
      <c r="AT908" s="5" t="str">
        <f>HYPERLINK("http://catalog.hathitrust.org/Record/002737842","HathiTrust Record")</f>
        <v>HathiTrust Record</v>
      </c>
      <c r="AU908" s="5" t="str">
        <f>HYPERLINK("https://creighton-primo.hosted.exlibrisgroup.com/primo-explore/search?tab=default_tab&amp;search_scope=EVERYTHING&amp;vid=01CRU&amp;lang=en_US&amp;offset=0&amp;query=any,contains,991001480559702656","Catalog Record")</f>
        <v>Catalog Record</v>
      </c>
      <c r="AV908" s="5" t="str">
        <f>HYPERLINK("http://www.worldcat.org/oclc/25873736","WorldCat Record")</f>
        <v>WorldCat Record</v>
      </c>
      <c r="AW908" s="2" t="s">
        <v>11502</v>
      </c>
      <c r="AX908" s="2" t="s">
        <v>11503</v>
      </c>
      <c r="AY908" s="2" t="s">
        <v>11504</v>
      </c>
      <c r="AZ908" s="2" t="s">
        <v>11504</v>
      </c>
      <c r="BA908" s="2" t="s">
        <v>11505</v>
      </c>
      <c r="BB908" s="2" t="s">
        <v>21</v>
      </c>
      <c r="BD908" s="2" t="s">
        <v>11506</v>
      </c>
      <c r="BE908" s="2" t="s">
        <v>11507</v>
      </c>
      <c r="BF908" s="2" t="s">
        <v>11508</v>
      </c>
    </row>
    <row r="909" spans="1:58" ht="42.75" customHeight="1" x14ac:dyDescent="0.25">
      <c r="A909" s="8" t="s">
        <v>8</v>
      </c>
      <c r="B909" s="1" t="s">
        <v>0</v>
      </c>
      <c r="C909" s="1" t="s">
        <v>1</v>
      </c>
      <c r="D909" s="1" t="s">
        <v>11509</v>
      </c>
      <c r="E909" s="1" t="s">
        <v>11510</v>
      </c>
      <c r="F909" s="1" t="s">
        <v>11511</v>
      </c>
      <c r="H909" s="2" t="s">
        <v>8</v>
      </c>
      <c r="I909" s="2" t="s">
        <v>7</v>
      </c>
      <c r="J909" s="2" t="s">
        <v>8</v>
      </c>
      <c r="K909" s="2" t="s">
        <v>8</v>
      </c>
      <c r="L909" s="2" t="s">
        <v>9</v>
      </c>
      <c r="M909" s="1" t="s">
        <v>11512</v>
      </c>
      <c r="N909" s="1" t="s">
        <v>11513</v>
      </c>
      <c r="O909" s="2" t="s">
        <v>252</v>
      </c>
      <c r="Q909" s="2" t="s">
        <v>12</v>
      </c>
      <c r="R909" s="2" t="s">
        <v>1211</v>
      </c>
      <c r="T909" s="2" t="s">
        <v>14</v>
      </c>
      <c r="U909" s="3">
        <v>2</v>
      </c>
      <c r="V909" s="3">
        <v>2</v>
      </c>
      <c r="W909" s="4" t="s">
        <v>11514</v>
      </c>
      <c r="X909" s="4" t="s">
        <v>11514</v>
      </c>
      <c r="Y909" s="4" t="s">
        <v>16</v>
      </c>
      <c r="Z909" s="4" t="s">
        <v>16</v>
      </c>
      <c r="AA909" s="3">
        <v>82</v>
      </c>
      <c r="AB909" s="3">
        <v>79</v>
      </c>
      <c r="AC909" s="3">
        <v>117</v>
      </c>
      <c r="AD909" s="3">
        <v>2</v>
      </c>
      <c r="AE909" s="3">
        <v>2</v>
      </c>
      <c r="AF909" s="3">
        <v>4</v>
      </c>
      <c r="AG909" s="3">
        <v>5</v>
      </c>
      <c r="AH909" s="3">
        <v>1</v>
      </c>
      <c r="AI909" s="3">
        <v>1</v>
      </c>
      <c r="AJ909" s="3">
        <v>0</v>
      </c>
      <c r="AK909" s="3">
        <v>1</v>
      </c>
      <c r="AL909" s="3">
        <v>2</v>
      </c>
      <c r="AM909" s="3">
        <v>3</v>
      </c>
      <c r="AN909" s="3">
        <v>1</v>
      </c>
      <c r="AO909" s="3">
        <v>1</v>
      </c>
      <c r="AP909" s="3">
        <v>0</v>
      </c>
      <c r="AQ909" s="3">
        <v>0</v>
      </c>
      <c r="AR909" s="2" t="s">
        <v>8</v>
      </c>
      <c r="AS909" s="2" t="s">
        <v>6</v>
      </c>
      <c r="AT909" s="5" t="str">
        <f>HYPERLINK("http://catalog.hathitrust.org/Record/009493902","HathiTrust Record")</f>
        <v>HathiTrust Record</v>
      </c>
      <c r="AU909" s="5" t="str">
        <f>HYPERLINK("https://creighton-primo.hosted.exlibrisgroup.com/primo-explore/search?tab=default_tab&amp;search_scope=EVERYTHING&amp;vid=01CRU&amp;lang=en_US&amp;offset=0&amp;query=any,contains,991000659939702656","Catalog Record")</f>
        <v>Catalog Record</v>
      </c>
      <c r="AV909" s="5" t="str">
        <f>HYPERLINK("http://www.worldcat.org/oclc/6162813","WorldCat Record")</f>
        <v>WorldCat Record</v>
      </c>
      <c r="AW909" s="2" t="s">
        <v>11515</v>
      </c>
      <c r="AX909" s="2" t="s">
        <v>11516</v>
      </c>
      <c r="AY909" s="2" t="s">
        <v>11517</v>
      </c>
      <c r="AZ909" s="2" t="s">
        <v>11517</v>
      </c>
      <c r="BA909" s="2" t="s">
        <v>11518</v>
      </c>
      <c r="BB909" s="2" t="s">
        <v>21</v>
      </c>
      <c r="BD909" s="2" t="s">
        <v>11519</v>
      </c>
      <c r="BE909" s="2" t="s">
        <v>11520</v>
      </c>
      <c r="BF909" s="2" t="s">
        <v>11521</v>
      </c>
    </row>
    <row r="910" spans="1:58" ht="42.75" customHeight="1" x14ac:dyDescent="0.25">
      <c r="A910" s="8" t="s">
        <v>8</v>
      </c>
      <c r="B910" s="1" t="s">
        <v>0</v>
      </c>
      <c r="C910" s="1" t="s">
        <v>1</v>
      </c>
      <c r="D910" s="1" t="s">
        <v>11522</v>
      </c>
      <c r="E910" s="1" t="s">
        <v>11523</v>
      </c>
      <c r="F910" s="1" t="s">
        <v>11524</v>
      </c>
      <c r="H910" s="2" t="s">
        <v>8</v>
      </c>
      <c r="I910" s="2" t="s">
        <v>7</v>
      </c>
      <c r="J910" s="2" t="s">
        <v>6</v>
      </c>
      <c r="K910" s="2" t="s">
        <v>8</v>
      </c>
      <c r="L910" s="2" t="s">
        <v>9</v>
      </c>
      <c r="M910" s="1" t="s">
        <v>11525</v>
      </c>
      <c r="N910" s="1" t="s">
        <v>11526</v>
      </c>
      <c r="O910" s="2" t="s">
        <v>298</v>
      </c>
      <c r="Q910" s="2" t="s">
        <v>12</v>
      </c>
      <c r="R910" s="2" t="s">
        <v>34</v>
      </c>
      <c r="T910" s="2" t="s">
        <v>14</v>
      </c>
      <c r="U910" s="3">
        <v>35</v>
      </c>
      <c r="V910" s="3">
        <v>35</v>
      </c>
      <c r="W910" s="4" t="s">
        <v>11527</v>
      </c>
      <c r="X910" s="4" t="s">
        <v>11527</v>
      </c>
      <c r="Y910" s="4" t="s">
        <v>2459</v>
      </c>
      <c r="Z910" s="4" t="s">
        <v>2459</v>
      </c>
      <c r="AA910" s="3">
        <v>370</v>
      </c>
      <c r="AB910" s="3">
        <v>285</v>
      </c>
      <c r="AC910" s="3">
        <v>290</v>
      </c>
      <c r="AD910" s="3">
        <v>3</v>
      </c>
      <c r="AE910" s="3">
        <v>3</v>
      </c>
      <c r="AF910" s="3">
        <v>15</v>
      </c>
      <c r="AG910" s="3">
        <v>15</v>
      </c>
      <c r="AH910" s="3">
        <v>4</v>
      </c>
      <c r="AI910" s="3">
        <v>4</v>
      </c>
      <c r="AJ910" s="3">
        <v>4</v>
      </c>
      <c r="AK910" s="3">
        <v>4</v>
      </c>
      <c r="AL910" s="3">
        <v>11</v>
      </c>
      <c r="AM910" s="3">
        <v>11</v>
      </c>
      <c r="AN910" s="3">
        <v>1</v>
      </c>
      <c r="AO910" s="3">
        <v>1</v>
      </c>
      <c r="AP910" s="3">
        <v>0</v>
      </c>
      <c r="AQ910" s="3">
        <v>0</v>
      </c>
      <c r="AR910" s="2" t="s">
        <v>8</v>
      </c>
      <c r="AS910" s="2" t="s">
        <v>6</v>
      </c>
      <c r="AT910" s="5" t="str">
        <f>HYPERLINK("http://catalog.hathitrust.org/Record/000853311","HathiTrust Record")</f>
        <v>HathiTrust Record</v>
      </c>
      <c r="AU910" s="5" t="str">
        <f>HYPERLINK("https://creighton-primo.hosted.exlibrisgroup.com/primo-explore/search?tab=default_tab&amp;search_scope=EVERYTHING&amp;vid=01CRU&amp;lang=en_US&amp;offset=0&amp;query=any,contains,991001190059702656","Catalog Record")</f>
        <v>Catalog Record</v>
      </c>
      <c r="AV910" s="5" t="str">
        <f>HYPERLINK("http://www.worldcat.org/oclc/16091704","WorldCat Record")</f>
        <v>WorldCat Record</v>
      </c>
      <c r="AW910" s="2" t="s">
        <v>11528</v>
      </c>
      <c r="AX910" s="2" t="s">
        <v>11529</v>
      </c>
      <c r="AY910" s="2" t="s">
        <v>11530</v>
      </c>
      <c r="AZ910" s="2" t="s">
        <v>11530</v>
      </c>
      <c r="BA910" s="2" t="s">
        <v>11531</v>
      </c>
      <c r="BB910" s="2" t="s">
        <v>21</v>
      </c>
      <c r="BD910" s="2" t="s">
        <v>11532</v>
      </c>
      <c r="BE910" s="2" t="s">
        <v>11533</v>
      </c>
      <c r="BF910" s="2" t="s">
        <v>11534</v>
      </c>
    </row>
    <row r="911" spans="1:58" ht="42.75" customHeight="1" x14ac:dyDescent="0.25">
      <c r="A911" s="8" t="s">
        <v>8</v>
      </c>
      <c r="B911" s="1" t="s">
        <v>0</v>
      </c>
      <c r="C911" s="1" t="s">
        <v>1</v>
      </c>
      <c r="D911" s="1" t="s">
        <v>11535</v>
      </c>
      <c r="E911" s="1" t="s">
        <v>11536</v>
      </c>
      <c r="F911" s="1" t="s">
        <v>11537</v>
      </c>
      <c r="H911" s="2" t="s">
        <v>8</v>
      </c>
      <c r="I911" s="2" t="s">
        <v>7</v>
      </c>
      <c r="J911" s="2" t="s">
        <v>8</v>
      </c>
      <c r="K911" s="2" t="s">
        <v>8</v>
      </c>
      <c r="L911" s="2" t="s">
        <v>9</v>
      </c>
      <c r="M911" s="1" t="s">
        <v>11538</v>
      </c>
      <c r="N911" s="1" t="s">
        <v>11539</v>
      </c>
      <c r="O911" s="2" t="s">
        <v>298</v>
      </c>
      <c r="Q911" s="2" t="s">
        <v>12</v>
      </c>
      <c r="R911" s="2" t="s">
        <v>643</v>
      </c>
      <c r="T911" s="2" t="s">
        <v>14</v>
      </c>
      <c r="U911" s="3">
        <v>7</v>
      </c>
      <c r="V911" s="3">
        <v>7</v>
      </c>
      <c r="W911" s="4" t="s">
        <v>11540</v>
      </c>
      <c r="X911" s="4" t="s">
        <v>11540</v>
      </c>
      <c r="Y911" s="4" t="s">
        <v>11541</v>
      </c>
      <c r="Z911" s="4" t="s">
        <v>11541</v>
      </c>
      <c r="AA911" s="3">
        <v>80</v>
      </c>
      <c r="AB911" s="3">
        <v>39</v>
      </c>
      <c r="AC911" s="3">
        <v>74</v>
      </c>
      <c r="AD911" s="3">
        <v>1</v>
      </c>
      <c r="AE911" s="3">
        <v>1</v>
      </c>
      <c r="AF911" s="3">
        <v>1</v>
      </c>
      <c r="AG911" s="3">
        <v>1</v>
      </c>
      <c r="AH911" s="3">
        <v>0</v>
      </c>
      <c r="AI911" s="3">
        <v>0</v>
      </c>
      <c r="AJ911" s="3">
        <v>1</v>
      </c>
      <c r="AK911" s="3">
        <v>1</v>
      </c>
      <c r="AL911" s="3">
        <v>1</v>
      </c>
      <c r="AM911" s="3">
        <v>1</v>
      </c>
      <c r="AN911" s="3">
        <v>0</v>
      </c>
      <c r="AO911" s="3">
        <v>0</v>
      </c>
      <c r="AP911" s="3">
        <v>0</v>
      </c>
      <c r="AQ911" s="3">
        <v>0</v>
      </c>
      <c r="AR911" s="2" t="s">
        <v>8</v>
      </c>
      <c r="AS911" s="2" t="s">
        <v>6</v>
      </c>
      <c r="AT911" s="5" t="str">
        <f>HYPERLINK("http://catalog.hathitrust.org/Record/000874980","HathiTrust Record")</f>
        <v>HathiTrust Record</v>
      </c>
      <c r="AU911" s="5" t="str">
        <f>HYPERLINK("https://creighton-primo.hosted.exlibrisgroup.com/primo-explore/search?tab=default_tab&amp;search_scope=EVERYTHING&amp;vid=01CRU&amp;lang=en_US&amp;offset=0&amp;query=any,contains,991001193889702656","Catalog Record")</f>
        <v>Catalog Record</v>
      </c>
      <c r="AV911" s="5" t="str">
        <f>HYPERLINK("http://www.worldcat.org/oclc/16646495","WorldCat Record")</f>
        <v>WorldCat Record</v>
      </c>
      <c r="AW911" s="2" t="s">
        <v>11542</v>
      </c>
      <c r="AX911" s="2" t="s">
        <v>11543</v>
      </c>
      <c r="AY911" s="2" t="s">
        <v>11544</v>
      </c>
      <c r="AZ911" s="2" t="s">
        <v>11544</v>
      </c>
      <c r="BA911" s="2" t="s">
        <v>11545</v>
      </c>
      <c r="BB911" s="2" t="s">
        <v>21</v>
      </c>
      <c r="BD911" s="2" t="s">
        <v>11546</v>
      </c>
      <c r="BE911" s="2" t="s">
        <v>11547</v>
      </c>
      <c r="BF911" s="2" t="s">
        <v>11548</v>
      </c>
    </row>
    <row r="912" spans="1:58" ht="42.75" customHeight="1" x14ac:dyDescent="0.25">
      <c r="A912" s="8" t="s">
        <v>8</v>
      </c>
      <c r="B912" s="1" t="s">
        <v>0</v>
      </c>
      <c r="C912" s="1" t="s">
        <v>1</v>
      </c>
      <c r="D912" s="1" t="s">
        <v>11549</v>
      </c>
      <c r="E912" s="1" t="s">
        <v>11550</v>
      </c>
      <c r="F912" s="1" t="s">
        <v>11551</v>
      </c>
      <c r="H912" s="2" t="s">
        <v>8</v>
      </c>
      <c r="I912" s="2" t="s">
        <v>7</v>
      </c>
      <c r="J912" s="2" t="s">
        <v>8</v>
      </c>
      <c r="K912" s="2" t="s">
        <v>8</v>
      </c>
      <c r="L912" s="2" t="s">
        <v>9</v>
      </c>
      <c r="N912" s="1" t="s">
        <v>11552</v>
      </c>
      <c r="O912" s="2" t="s">
        <v>602</v>
      </c>
      <c r="Q912" s="2" t="s">
        <v>12</v>
      </c>
      <c r="R912" s="2" t="s">
        <v>34</v>
      </c>
      <c r="T912" s="2" t="s">
        <v>14</v>
      </c>
      <c r="U912" s="3">
        <v>24</v>
      </c>
      <c r="V912" s="3">
        <v>24</v>
      </c>
      <c r="W912" s="4" t="s">
        <v>11527</v>
      </c>
      <c r="X912" s="4" t="s">
        <v>11527</v>
      </c>
      <c r="Y912" s="4" t="s">
        <v>7186</v>
      </c>
      <c r="Z912" s="4" t="s">
        <v>7186</v>
      </c>
      <c r="AA912" s="3">
        <v>185</v>
      </c>
      <c r="AB912" s="3">
        <v>128</v>
      </c>
      <c r="AC912" s="3">
        <v>135</v>
      </c>
      <c r="AD912" s="3">
        <v>1</v>
      </c>
      <c r="AE912" s="3">
        <v>1</v>
      </c>
      <c r="AF912" s="3">
        <v>4</v>
      </c>
      <c r="AG912" s="3">
        <v>4</v>
      </c>
      <c r="AH912" s="3">
        <v>2</v>
      </c>
      <c r="AI912" s="3">
        <v>2</v>
      </c>
      <c r="AJ912" s="3">
        <v>0</v>
      </c>
      <c r="AK912" s="3">
        <v>0</v>
      </c>
      <c r="AL912" s="3">
        <v>2</v>
      </c>
      <c r="AM912" s="3">
        <v>2</v>
      </c>
      <c r="AN912" s="3">
        <v>0</v>
      </c>
      <c r="AO912" s="3">
        <v>0</v>
      </c>
      <c r="AP912" s="3">
        <v>0</v>
      </c>
      <c r="AQ912" s="3">
        <v>0</v>
      </c>
      <c r="AR912" s="2" t="s">
        <v>8</v>
      </c>
      <c r="AS912" s="2" t="s">
        <v>6</v>
      </c>
      <c r="AT912" s="5" t="str">
        <f>HYPERLINK("http://catalog.hathitrust.org/Record/002435560","HathiTrust Record")</f>
        <v>HathiTrust Record</v>
      </c>
      <c r="AU912" s="5" t="str">
        <f>HYPERLINK("https://creighton-primo.hosted.exlibrisgroup.com/primo-explore/search?tab=default_tab&amp;search_scope=EVERYTHING&amp;vid=01CRU&amp;lang=en_US&amp;offset=0&amp;query=any,contains,991000948279702656","Catalog Record")</f>
        <v>Catalog Record</v>
      </c>
      <c r="AV912" s="5" t="str">
        <f>HYPERLINK("http://www.worldcat.org/oclc/22279867","WorldCat Record")</f>
        <v>WorldCat Record</v>
      </c>
      <c r="AW912" s="2" t="s">
        <v>11553</v>
      </c>
      <c r="AX912" s="2" t="s">
        <v>11554</v>
      </c>
      <c r="AY912" s="2" t="s">
        <v>11555</v>
      </c>
      <c r="AZ912" s="2" t="s">
        <v>11555</v>
      </c>
      <c r="BA912" s="2" t="s">
        <v>11556</v>
      </c>
      <c r="BB912" s="2" t="s">
        <v>21</v>
      </c>
      <c r="BD912" s="2" t="s">
        <v>11557</v>
      </c>
      <c r="BE912" s="2" t="s">
        <v>11558</v>
      </c>
      <c r="BF912" s="2" t="s">
        <v>11559</v>
      </c>
    </row>
    <row r="913" spans="1:58" ht="42.75" customHeight="1" x14ac:dyDescent="0.25">
      <c r="A913" s="8" t="s">
        <v>8</v>
      </c>
      <c r="B913" s="1" t="s">
        <v>0</v>
      </c>
      <c r="C913" s="1" t="s">
        <v>1</v>
      </c>
      <c r="D913" s="1" t="s">
        <v>11560</v>
      </c>
      <c r="E913" s="1" t="s">
        <v>11561</v>
      </c>
      <c r="F913" s="1" t="s">
        <v>11562</v>
      </c>
      <c r="H913" s="2" t="s">
        <v>8</v>
      </c>
      <c r="I913" s="2" t="s">
        <v>7</v>
      </c>
      <c r="J913" s="2" t="s">
        <v>8</v>
      </c>
      <c r="K913" s="2" t="s">
        <v>8</v>
      </c>
      <c r="L913" s="2" t="s">
        <v>9</v>
      </c>
      <c r="N913" s="1" t="s">
        <v>11563</v>
      </c>
      <c r="O913" s="2" t="s">
        <v>224</v>
      </c>
      <c r="Q913" s="2" t="s">
        <v>12</v>
      </c>
      <c r="R913" s="2" t="s">
        <v>13</v>
      </c>
      <c r="S913" s="1" t="s">
        <v>11564</v>
      </c>
      <c r="T913" s="2" t="s">
        <v>14</v>
      </c>
      <c r="U913" s="3">
        <v>4</v>
      </c>
      <c r="V913" s="3">
        <v>4</v>
      </c>
      <c r="W913" s="4" t="s">
        <v>11565</v>
      </c>
      <c r="X913" s="4" t="s">
        <v>11565</v>
      </c>
      <c r="Y913" s="4" t="s">
        <v>16</v>
      </c>
      <c r="Z913" s="4" t="s">
        <v>16</v>
      </c>
      <c r="AA913" s="3">
        <v>57</v>
      </c>
      <c r="AB913" s="3">
        <v>52</v>
      </c>
      <c r="AC913" s="3">
        <v>241</v>
      </c>
      <c r="AD913" s="3">
        <v>1</v>
      </c>
      <c r="AE913" s="3">
        <v>1</v>
      </c>
      <c r="AF913" s="3">
        <v>1</v>
      </c>
      <c r="AG913" s="3">
        <v>7</v>
      </c>
      <c r="AH913" s="3">
        <v>0</v>
      </c>
      <c r="AI913" s="3">
        <v>4</v>
      </c>
      <c r="AJ913" s="3">
        <v>0</v>
      </c>
      <c r="AK913" s="3">
        <v>2</v>
      </c>
      <c r="AL913" s="3">
        <v>1</v>
      </c>
      <c r="AM913" s="3">
        <v>4</v>
      </c>
      <c r="AN913" s="3">
        <v>0</v>
      </c>
      <c r="AO913" s="3">
        <v>0</v>
      </c>
      <c r="AP913" s="3">
        <v>0</v>
      </c>
      <c r="AQ913" s="3">
        <v>0</v>
      </c>
      <c r="AR913" s="2" t="s">
        <v>8</v>
      </c>
      <c r="AS913" s="2" t="s">
        <v>8</v>
      </c>
      <c r="AU913" s="5" t="str">
        <f>HYPERLINK("https://creighton-primo.hosted.exlibrisgroup.com/primo-explore/search?tab=default_tab&amp;search_scope=EVERYTHING&amp;vid=01CRU&amp;lang=en_US&amp;offset=0&amp;query=any,contains,991000660049702656","Catalog Record")</f>
        <v>Catalog Record</v>
      </c>
      <c r="AV913" s="5" t="str">
        <f>HYPERLINK("http://www.worldcat.org/oclc/5888198","WorldCat Record")</f>
        <v>WorldCat Record</v>
      </c>
      <c r="AW913" s="2" t="s">
        <v>11566</v>
      </c>
      <c r="AX913" s="2" t="s">
        <v>11567</v>
      </c>
      <c r="AY913" s="2" t="s">
        <v>11568</v>
      </c>
      <c r="AZ913" s="2" t="s">
        <v>11568</v>
      </c>
      <c r="BA913" s="2" t="s">
        <v>11569</v>
      </c>
      <c r="BB913" s="2" t="s">
        <v>21</v>
      </c>
      <c r="BD913" s="2" t="s">
        <v>11570</v>
      </c>
      <c r="BE913" s="2" t="s">
        <v>11571</v>
      </c>
      <c r="BF913" s="2" t="s">
        <v>11572</v>
      </c>
    </row>
    <row r="914" spans="1:58" ht="42.75" customHeight="1" x14ac:dyDescent="0.25">
      <c r="A914" s="8" t="s">
        <v>8</v>
      </c>
      <c r="B914" s="1" t="s">
        <v>0</v>
      </c>
      <c r="C914" s="1" t="s">
        <v>1</v>
      </c>
      <c r="D914" s="1" t="s">
        <v>11573</v>
      </c>
      <c r="E914" s="1" t="s">
        <v>11574</v>
      </c>
      <c r="F914" s="1" t="s">
        <v>11575</v>
      </c>
      <c r="H914" s="2" t="s">
        <v>8</v>
      </c>
      <c r="I914" s="2" t="s">
        <v>7</v>
      </c>
      <c r="J914" s="2" t="s">
        <v>8</v>
      </c>
      <c r="K914" s="2" t="s">
        <v>8</v>
      </c>
      <c r="L914" s="2" t="s">
        <v>9</v>
      </c>
      <c r="N914" s="1" t="s">
        <v>11576</v>
      </c>
      <c r="O914" s="2" t="s">
        <v>410</v>
      </c>
      <c r="Q914" s="2" t="s">
        <v>12</v>
      </c>
      <c r="R914" s="2" t="s">
        <v>815</v>
      </c>
      <c r="T914" s="2" t="s">
        <v>14</v>
      </c>
      <c r="U914" s="3">
        <v>8</v>
      </c>
      <c r="V914" s="3">
        <v>8</v>
      </c>
      <c r="W914" s="4" t="s">
        <v>11577</v>
      </c>
      <c r="X914" s="4" t="s">
        <v>11577</v>
      </c>
      <c r="Y914" s="4" t="s">
        <v>2605</v>
      </c>
      <c r="Z914" s="4" t="s">
        <v>2605</v>
      </c>
      <c r="AA914" s="3">
        <v>192</v>
      </c>
      <c r="AB914" s="3">
        <v>173</v>
      </c>
      <c r="AC914" s="3">
        <v>173</v>
      </c>
      <c r="AD914" s="3">
        <v>1</v>
      </c>
      <c r="AE914" s="3">
        <v>1</v>
      </c>
      <c r="AF914" s="3">
        <v>5</v>
      </c>
      <c r="AG914" s="3">
        <v>5</v>
      </c>
      <c r="AH914" s="3">
        <v>2</v>
      </c>
      <c r="AI914" s="3">
        <v>2</v>
      </c>
      <c r="AJ914" s="3">
        <v>3</v>
      </c>
      <c r="AK914" s="3">
        <v>3</v>
      </c>
      <c r="AL914" s="3">
        <v>2</v>
      </c>
      <c r="AM914" s="3">
        <v>2</v>
      </c>
      <c r="AN914" s="3">
        <v>0</v>
      </c>
      <c r="AO914" s="3">
        <v>0</v>
      </c>
      <c r="AP914" s="3">
        <v>0</v>
      </c>
      <c r="AQ914" s="3">
        <v>0</v>
      </c>
      <c r="AR914" s="2" t="s">
        <v>8</v>
      </c>
      <c r="AS914" s="2" t="s">
        <v>8</v>
      </c>
      <c r="AU914" s="5" t="str">
        <f>HYPERLINK("https://creighton-primo.hosted.exlibrisgroup.com/primo-explore/search?tab=default_tab&amp;search_scope=EVERYTHING&amp;vid=01CRU&amp;lang=en_US&amp;offset=0&amp;query=any,contains,991001513639702656","Catalog Record")</f>
        <v>Catalog Record</v>
      </c>
      <c r="AV914" s="5" t="str">
        <f>HYPERLINK("http://www.worldcat.org/oclc/27432076","WorldCat Record")</f>
        <v>WorldCat Record</v>
      </c>
      <c r="AW914" s="2" t="s">
        <v>11578</v>
      </c>
      <c r="AX914" s="2" t="s">
        <v>11579</v>
      </c>
      <c r="AY914" s="2" t="s">
        <v>11580</v>
      </c>
      <c r="AZ914" s="2" t="s">
        <v>11580</v>
      </c>
      <c r="BA914" s="2" t="s">
        <v>11581</v>
      </c>
      <c r="BB914" s="2" t="s">
        <v>21</v>
      </c>
      <c r="BD914" s="2" t="s">
        <v>11582</v>
      </c>
      <c r="BE914" s="2" t="s">
        <v>11583</v>
      </c>
      <c r="BF914" s="2" t="s">
        <v>11584</v>
      </c>
    </row>
    <row r="915" spans="1:58" ht="42.75" customHeight="1" x14ac:dyDescent="0.25">
      <c r="A915" s="8" t="s">
        <v>8</v>
      </c>
      <c r="B915" s="1" t="s">
        <v>0</v>
      </c>
      <c r="C915" s="1" t="s">
        <v>1</v>
      </c>
      <c r="D915" s="1" t="s">
        <v>11585</v>
      </c>
      <c r="E915" s="1" t="s">
        <v>11586</v>
      </c>
      <c r="F915" s="1" t="s">
        <v>11587</v>
      </c>
      <c r="H915" s="2" t="s">
        <v>8</v>
      </c>
      <c r="I915" s="2" t="s">
        <v>7</v>
      </c>
      <c r="J915" s="2" t="s">
        <v>8</v>
      </c>
      <c r="K915" s="2" t="s">
        <v>8</v>
      </c>
      <c r="L915" s="2" t="s">
        <v>9</v>
      </c>
      <c r="N915" s="1" t="s">
        <v>873</v>
      </c>
      <c r="O915" s="2" t="s">
        <v>874</v>
      </c>
      <c r="Q915" s="2" t="s">
        <v>12</v>
      </c>
      <c r="R915" s="2" t="s">
        <v>456</v>
      </c>
      <c r="T915" s="2" t="s">
        <v>14</v>
      </c>
      <c r="U915" s="3">
        <v>1</v>
      </c>
      <c r="V915" s="3">
        <v>1</v>
      </c>
      <c r="W915" s="4" t="s">
        <v>4234</v>
      </c>
      <c r="X915" s="4" t="s">
        <v>4234</v>
      </c>
      <c r="Y915" s="4" t="s">
        <v>1994</v>
      </c>
      <c r="Z915" s="4" t="s">
        <v>1994</v>
      </c>
      <c r="AA915" s="3">
        <v>393</v>
      </c>
      <c r="AB915" s="3">
        <v>322</v>
      </c>
      <c r="AC915" s="3">
        <v>380</v>
      </c>
      <c r="AD915" s="3">
        <v>2</v>
      </c>
      <c r="AE915" s="3">
        <v>2</v>
      </c>
      <c r="AF915" s="3">
        <v>12</v>
      </c>
      <c r="AG915" s="3">
        <v>14</v>
      </c>
      <c r="AH915" s="3">
        <v>4</v>
      </c>
      <c r="AI915" s="3">
        <v>6</v>
      </c>
      <c r="AJ915" s="3">
        <v>3</v>
      </c>
      <c r="AK915" s="3">
        <v>4</v>
      </c>
      <c r="AL915" s="3">
        <v>8</v>
      </c>
      <c r="AM915" s="3">
        <v>8</v>
      </c>
      <c r="AN915" s="3">
        <v>1</v>
      </c>
      <c r="AO915" s="3">
        <v>1</v>
      </c>
      <c r="AP915" s="3">
        <v>0</v>
      </c>
      <c r="AQ915" s="3">
        <v>0</v>
      </c>
      <c r="AR915" s="2" t="s">
        <v>8</v>
      </c>
      <c r="AS915" s="2" t="s">
        <v>8</v>
      </c>
      <c r="AU915" s="5" t="str">
        <f>HYPERLINK("https://creighton-primo.hosted.exlibrisgroup.com/primo-explore/search?tab=default_tab&amp;search_scope=EVERYTHING&amp;vid=01CRU&amp;lang=en_US&amp;offset=0&amp;query=any,contains,991001294249702656","Catalog Record")</f>
        <v>Catalog Record</v>
      </c>
      <c r="AV915" s="5" t="str">
        <f>HYPERLINK("http://www.worldcat.org/oclc/35086113","WorldCat Record")</f>
        <v>WorldCat Record</v>
      </c>
      <c r="AW915" s="2" t="s">
        <v>11588</v>
      </c>
      <c r="AX915" s="2" t="s">
        <v>11589</v>
      </c>
      <c r="AY915" s="2" t="s">
        <v>11590</v>
      </c>
      <c r="AZ915" s="2" t="s">
        <v>11590</v>
      </c>
      <c r="BA915" s="2" t="s">
        <v>11591</v>
      </c>
      <c r="BB915" s="2" t="s">
        <v>21</v>
      </c>
      <c r="BD915" s="2" t="s">
        <v>11592</v>
      </c>
      <c r="BE915" s="2" t="s">
        <v>11593</v>
      </c>
      <c r="BF915" s="2" t="s">
        <v>11594</v>
      </c>
    </row>
    <row r="916" spans="1:58" ht="42.75" customHeight="1" x14ac:dyDescent="0.25">
      <c r="A916" s="8" t="s">
        <v>8</v>
      </c>
      <c r="B916" s="1" t="s">
        <v>0</v>
      </c>
      <c r="C916" s="1" t="s">
        <v>1</v>
      </c>
      <c r="D916" s="1" t="s">
        <v>11595</v>
      </c>
      <c r="E916" s="1" t="s">
        <v>11596</v>
      </c>
      <c r="F916" s="1" t="s">
        <v>11597</v>
      </c>
      <c r="H916" s="2" t="s">
        <v>8</v>
      </c>
      <c r="I916" s="2" t="s">
        <v>7</v>
      </c>
      <c r="J916" s="2" t="s">
        <v>8</v>
      </c>
      <c r="K916" s="2" t="s">
        <v>8</v>
      </c>
      <c r="L916" s="2" t="s">
        <v>9</v>
      </c>
      <c r="N916" s="1" t="s">
        <v>11598</v>
      </c>
      <c r="O916" s="2" t="s">
        <v>252</v>
      </c>
      <c r="P916" s="1" t="s">
        <v>1225</v>
      </c>
      <c r="Q916" s="2" t="s">
        <v>12</v>
      </c>
      <c r="R916" s="2" t="s">
        <v>1340</v>
      </c>
      <c r="T916" s="2" t="s">
        <v>14</v>
      </c>
      <c r="U916" s="3">
        <v>3</v>
      </c>
      <c r="V916" s="3">
        <v>3</v>
      </c>
      <c r="W916" s="4" t="s">
        <v>11599</v>
      </c>
      <c r="X916" s="4" t="s">
        <v>11599</v>
      </c>
      <c r="Y916" s="4" t="s">
        <v>16</v>
      </c>
      <c r="Z916" s="4" t="s">
        <v>16</v>
      </c>
      <c r="AA916" s="3">
        <v>316</v>
      </c>
      <c r="AB916" s="3">
        <v>273</v>
      </c>
      <c r="AC916" s="3">
        <v>278</v>
      </c>
      <c r="AD916" s="3">
        <v>1</v>
      </c>
      <c r="AE916" s="3">
        <v>1</v>
      </c>
      <c r="AF916" s="3">
        <v>11</v>
      </c>
      <c r="AG916" s="3">
        <v>11</v>
      </c>
      <c r="AH916" s="3">
        <v>4</v>
      </c>
      <c r="AI916" s="3">
        <v>4</v>
      </c>
      <c r="AJ916" s="3">
        <v>4</v>
      </c>
      <c r="AK916" s="3">
        <v>4</v>
      </c>
      <c r="AL916" s="3">
        <v>6</v>
      </c>
      <c r="AM916" s="3">
        <v>6</v>
      </c>
      <c r="AN916" s="3">
        <v>0</v>
      </c>
      <c r="AO916" s="3">
        <v>0</v>
      </c>
      <c r="AP916" s="3">
        <v>0</v>
      </c>
      <c r="AQ916" s="3">
        <v>0</v>
      </c>
      <c r="AR916" s="2" t="s">
        <v>8</v>
      </c>
      <c r="AS916" s="2" t="s">
        <v>8</v>
      </c>
      <c r="AU916" s="5" t="str">
        <f>HYPERLINK("https://creighton-primo.hosted.exlibrisgroup.com/primo-explore/search?tab=default_tab&amp;search_scope=EVERYTHING&amp;vid=01CRU&amp;lang=en_US&amp;offset=0&amp;query=any,contains,991000660009702656","Catalog Record")</f>
        <v>Catalog Record</v>
      </c>
      <c r="AV916" s="5" t="str">
        <f>HYPERLINK("http://www.worldcat.org/oclc/7424433","WorldCat Record")</f>
        <v>WorldCat Record</v>
      </c>
      <c r="AW916" s="2" t="s">
        <v>11600</v>
      </c>
      <c r="AX916" s="2" t="s">
        <v>11601</v>
      </c>
      <c r="AY916" s="2" t="s">
        <v>11602</v>
      </c>
      <c r="AZ916" s="2" t="s">
        <v>11602</v>
      </c>
      <c r="BA916" s="2" t="s">
        <v>11603</v>
      </c>
      <c r="BB916" s="2" t="s">
        <v>21</v>
      </c>
      <c r="BD916" s="2" t="s">
        <v>11604</v>
      </c>
      <c r="BE916" s="2" t="s">
        <v>11605</v>
      </c>
      <c r="BF916" s="2" t="s">
        <v>11606</v>
      </c>
    </row>
    <row r="917" spans="1:58" ht="42.75" customHeight="1" x14ac:dyDescent="0.25">
      <c r="A917" s="8" t="s">
        <v>8</v>
      </c>
      <c r="B917" s="1" t="s">
        <v>0</v>
      </c>
      <c r="C917" s="1" t="s">
        <v>1</v>
      </c>
      <c r="D917" s="1" t="s">
        <v>11607</v>
      </c>
      <c r="E917" s="1" t="s">
        <v>11608</v>
      </c>
      <c r="F917" s="1" t="s">
        <v>11609</v>
      </c>
      <c r="H917" s="2" t="s">
        <v>8</v>
      </c>
      <c r="I917" s="2" t="s">
        <v>7</v>
      </c>
      <c r="J917" s="2" t="s">
        <v>8</v>
      </c>
      <c r="K917" s="2" t="s">
        <v>8</v>
      </c>
      <c r="L917" s="2" t="s">
        <v>9</v>
      </c>
      <c r="M917" s="1" t="s">
        <v>11610</v>
      </c>
      <c r="N917" s="1" t="s">
        <v>11611</v>
      </c>
      <c r="O917" s="2" t="s">
        <v>874</v>
      </c>
      <c r="Q917" s="2" t="s">
        <v>12</v>
      </c>
      <c r="R917" s="2" t="s">
        <v>658</v>
      </c>
      <c r="T917" s="2" t="s">
        <v>14</v>
      </c>
      <c r="U917" s="3">
        <v>1</v>
      </c>
      <c r="V917" s="3">
        <v>1</v>
      </c>
      <c r="W917" s="4" t="s">
        <v>11612</v>
      </c>
      <c r="X917" s="4" t="s">
        <v>11612</v>
      </c>
      <c r="Y917" s="4" t="s">
        <v>1643</v>
      </c>
      <c r="Z917" s="4" t="s">
        <v>1643</v>
      </c>
      <c r="AA917" s="3">
        <v>17</v>
      </c>
      <c r="AB917" s="3">
        <v>15</v>
      </c>
      <c r="AC917" s="3">
        <v>15</v>
      </c>
      <c r="AD917" s="3">
        <v>1</v>
      </c>
      <c r="AE917" s="3">
        <v>1</v>
      </c>
      <c r="AF917" s="3">
        <v>0</v>
      </c>
      <c r="AG917" s="3">
        <v>0</v>
      </c>
      <c r="AH917" s="3">
        <v>0</v>
      </c>
      <c r="AI917" s="3">
        <v>0</v>
      </c>
      <c r="AJ917" s="3">
        <v>0</v>
      </c>
      <c r="AK917" s="3">
        <v>0</v>
      </c>
      <c r="AL917" s="3">
        <v>0</v>
      </c>
      <c r="AM917" s="3">
        <v>0</v>
      </c>
      <c r="AN917" s="3">
        <v>0</v>
      </c>
      <c r="AO917" s="3">
        <v>0</v>
      </c>
      <c r="AP917" s="3">
        <v>0</v>
      </c>
      <c r="AQ917" s="3">
        <v>0</v>
      </c>
      <c r="AR917" s="2" t="s">
        <v>8</v>
      </c>
      <c r="AS917" s="2" t="s">
        <v>8</v>
      </c>
      <c r="AU917" s="5" t="str">
        <f>HYPERLINK("https://creighton-primo.hosted.exlibrisgroup.com/primo-explore/search?tab=default_tab&amp;search_scope=EVERYTHING&amp;vid=01CRU&amp;lang=en_US&amp;offset=0&amp;query=any,contains,991000397209702656","Catalog Record")</f>
        <v>Catalog Record</v>
      </c>
      <c r="AV917" s="5" t="str">
        <f>HYPERLINK("http://www.worldcat.org/oclc/38402593","WorldCat Record")</f>
        <v>WorldCat Record</v>
      </c>
      <c r="AW917" s="2" t="s">
        <v>11613</v>
      </c>
      <c r="AX917" s="2" t="s">
        <v>11614</v>
      </c>
      <c r="AY917" s="2" t="s">
        <v>11615</v>
      </c>
      <c r="AZ917" s="2" t="s">
        <v>11615</v>
      </c>
      <c r="BA917" s="2" t="s">
        <v>11616</v>
      </c>
      <c r="BB917" s="2" t="s">
        <v>21</v>
      </c>
      <c r="BD917" s="2" t="s">
        <v>11617</v>
      </c>
      <c r="BE917" s="2" t="s">
        <v>11618</v>
      </c>
      <c r="BF917" s="2" t="s">
        <v>11619</v>
      </c>
    </row>
    <row r="918" spans="1:58" ht="42.75" customHeight="1" x14ac:dyDescent="0.25">
      <c r="A918" s="8" t="s">
        <v>8</v>
      </c>
      <c r="B918" s="1" t="s">
        <v>0</v>
      </c>
      <c r="C918" s="1" t="s">
        <v>1</v>
      </c>
      <c r="D918" s="1" t="s">
        <v>11620</v>
      </c>
      <c r="E918" s="1" t="s">
        <v>11621</v>
      </c>
      <c r="F918" s="1" t="s">
        <v>11622</v>
      </c>
      <c r="H918" s="2" t="s">
        <v>8</v>
      </c>
      <c r="I918" s="2" t="s">
        <v>7</v>
      </c>
      <c r="J918" s="2" t="s">
        <v>8</v>
      </c>
      <c r="K918" s="2" t="s">
        <v>8</v>
      </c>
      <c r="L918" s="2" t="s">
        <v>9</v>
      </c>
      <c r="M918" s="1" t="s">
        <v>11623</v>
      </c>
      <c r="N918" s="1" t="s">
        <v>11624</v>
      </c>
      <c r="O918" s="2" t="s">
        <v>266</v>
      </c>
      <c r="Q918" s="2" t="s">
        <v>12</v>
      </c>
      <c r="R918" s="2" t="s">
        <v>34</v>
      </c>
      <c r="S918" s="1" t="s">
        <v>11625</v>
      </c>
      <c r="T918" s="2" t="s">
        <v>14</v>
      </c>
      <c r="U918" s="3">
        <v>2</v>
      </c>
      <c r="V918" s="3">
        <v>2</v>
      </c>
      <c r="W918" s="4" t="s">
        <v>11626</v>
      </c>
      <c r="X918" s="4" t="s">
        <v>11626</v>
      </c>
      <c r="Y918" s="4" t="s">
        <v>16</v>
      </c>
      <c r="Z918" s="4" t="s">
        <v>16</v>
      </c>
      <c r="AA918" s="3">
        <v>494</v>
      </c>
      <c r="AB918" s="3">
        <v>463</v>
      </c>
      <c r="AC918" s="3">
        <v>752</v>
      </c>
      <c r="AD918" s="3">
        <v>3</v>
      </c>
      <c r="AE918" s="3">
        <v>6</v>
      </c>
      <c r="AF918" s="3">
        <v>26</v>
      </c>
      <c r="AG918" s="3">
        <v>33</v>
      </c>
      <c r="AH918" s="3">
        <v>4</v>
      </c>
      <c r="AI918" s="3">
        <v>7</v>
      </c>
      <c r="AJ918" s="3">
        <v>1</v>
      </c>
      <c r="AK918" s="3">
        <v>2</v>
      </c>
      <c r="AL918" s="3">
        <v>6</v>
      </c>
      <c r="AM918" s="3">
        <v>10</v>
      </c>
      <c r="AN918" s="3">
        <v>1</v>
      </c>
      <c r="AO918" s="3">
        <v>2</v>
      </c>
      <c r="AP918" s="3">
        <v>16</v>
      </c>
      <c r="AQ918" s="3">
        <v>17</v>
      </c>
      <c r="AR918" s="2" t="s">
        <v>8</v>
      </c>
      <c r="AS918" s="2" t="s">
        <v>6</v>
      </c>
      <c r="AT918" s="5" t="str">
        <f>HYPERLINK("http://catalog.hathitrust.org/Record/000238000","HathiTrust Record")</f>
        <v>HathiTrust Record</v>
      </c>
      <c r="AU918" s="5" t="str">
        <f>HYPERLINK("https://creighton-primo.hosted.exlibrisgroup.com/primo-explore/search?tab=default_tab&amp;search_scope=EVERYTHING&amp;vid=01CRU&amp;lang=en_US&amp;offset=0&amp;query=any,contains,991000660199702656","Catalog Record")</f>
        <v>Catalog Record</v>
      </c>
      <c r="AV918" s="5" t="str">
        <f>HYPERLINK("http://www.worldcat.org/oclc/9324741","WorldCat Record")</f>
        <v>WorldCat Record</v>
      </c>
      <c r="AW918" s="2" t="s">
        <v>11627</v>
      </c>
      <c r="AX918" s="2" t="s">
        <v>11628</v>
      </c>
      <c r="AY918" s="2" t="s">
        <v>11629</v>
      </c>
      <c r="AZ918" s="2" t="s">
        <v>11629</v>
      </c>
      <c r="BA918" s="2" t="s">
        <v>11630</v>
      </c>
      <c r="BB918" s="2" t="s">
        <v>21</v>
      </c>
      <c r="BD918" s="2" t="s">
        <v>11631</v>
      </c>
      <c r="BE918" s="2" t="s">
        <v>11632</v>
      </c>
      <c r="BF918" s="2" t="s">
        <v>11633</v>
      </c>
    </row>
    <row r="919" spans="1:58" ht="42.75" customHeight="1" x14ac:dyDescent="0.25">
      <c r="A919" s="8" t="s">
        <v>8</v>
      </c>
      <c r="B919" s="1" t="s">
        <v>0</v>
      </c>
      <c r="C919" s="1" t="s">
        <v>1</v>
      </c>
      <c r="D919" s="1" t="s">
        <v>11634</v>
      </c>
      <c r="E919" s="1" t="s">
        <v>11635</v>
      </c>
      <c r="F919" s="1" t="s">
        <v>11636</v>
      </c>
      <c r="H919" s="2" t="s">
        <v>8</v>
      </c>
      <c r="I919" s="2" t="s">
        <v>7</v>
      </c>
      <c r="J919" s="2" t="s">
        <v>8</v>
      </c>
      <c r="K919" s="2" t="s">
        <v>8</v>
      </c>
      <c r="L919" s="2" t="s">
        <v>9</v>
      </c>
      <c r="M919" s="1" t="s">
        <v>11637</v>
      </c>
      <c r="N919" s="1" t="s">
        <v>11638</v>
      </c>
      <c r="O919" s="2" t="s">
        <v>266</v>
      </c>
      <c r="Q919" s="2" t="s">
        <v>12</v>
      </c>
      <c r="R919" s="2" t="s">
        <v>34</v>
      </c>
      <c r="T919" s="2" t="s">
        <v>14</v>
      </c>
      <c r="U919" s="3">
        <v>8</v>
      </c>
      <c r="V919" s="3">
        <v>8</v>
      </c>
      <c r="W919" s="4" t="s">
        <v>11639</v>
      </c>
      <c r="X919" s="4" t="s">
        <v>11639</v>
      </c>
      <c r="Y919" s="4" t="s">
        <v>16</v>
      </c>
      <c r="Z919" s="4" t="s">
        <v>16</v>
      </c>
      <c r="AA919" s="3">
        <v>265</v>
      </c>
      <c r="AB919" s="3">
        <v>237</v>
      </c>
      <c r="AC919" s="3">
        <v>237</v>
      </c>
      <c r="AD919" s="3">
        <v>1</v>
      </c>
      <c r="AE919" s="3">
        <v>1</v>
      </c>
      <c r="AF919" s="3">
        <v>15</v>
      </c>
      <c r="AG919" s="3">
        <v>15</v>
      </c>
      <c r="AH919" s="3">
        <v>4</v>
      </c>
      <c r="AI919" s="3">
        <v>4</v>
      </c>
      <c r="AJ919" s="3">
        <v>2</v>
      </c>
      <c r="AK919" s="3">
        <v>2</v>
      </c>
      <c r="AL919" s="3">
        <v>4</v>
      </c>
      <c r="AM919" s="3">
        <v>4</v>
      </c>
      <c r="AN919" s="3">
        <v>0</v>
      </c>
      <c r="AO919" s="3">
        <v>0</v>
      </c>
      <c r="AP919" s="3">
        <v>8</v>
      </c>
      <c r="AQ919" s="3">
        <v>8</v>
      </c>
      <c r="AR919" s="2" t="s">
        <v>8</v>
      </c>
      <c r="AS919" s="2" t="s">
        <v>8</v>
      </c>
      <c r="AU919" s="5" t="str">
        <f>HYPERLINK("https://creighton-primo.hosted.exlibrisgroup.com/primo-explore/search?tab=default_tab&amp;search_scope=EVERYTHING&amp;vid=01CRU&amp;lang=en_US&amp;offset=0&amp;query=any,contains,991000660339702656","Catalog Record")</f>
        <v>Catalog Record</v>
      </c>
      <c r="AV919" s="5" t="str">
        <f>HYPERLINK("http://www.worldcat.org/oclc/8786149","WorldCat Record")</f>
        <v>WorldCat Record</v>
      </c>
      <c r="AW919" s="2" t="s">
        <v>11640</v>
      </c>
      <c r="AX919" s="2" t="s">
        <v>11641</v>
      </c>
      <c r="AY919" s="2" t="s">
        <v>11642</v>
      </c>
      <c r="AZ919" s="2" t="s">
        <v>11642</v>
      </c>
      <c r="BA919" s="2" t="s">
        <v>11643</v>
      </c>
      <c r="BB919" s="2" t="s">
        <v>21</v>
      </c>
      <c r="BD919" s="2" t="s">
        <v>11644</v>
      </c>
      <c r="BE919" s="2" t="s">
        <v>11645</v>
      </c>
      <c r="BF919" s="2" t="s">
        <v>11646</v>
      </c>
    </row>
    <row r="920" spans="1:58" ht="42.75" customHeight="1" x14ac:dyDescent="0.25">
      <c r="A920" s="8" t="s">
        <v>8</v>
      </c>
      <c r="B920" s="1" t="s">
        <v>0</v>
      </c>
      <c r="C920" s="1" t="s">
        <v>1</v>
      </c>
      <c r="D920" s="1" t="s">
        <v>11647</v>
      </c>
      <c r="E920" s="1" t="s">
        <v>11648</v>
      </c>
      <c r="F920" s="1" t="s">
        <v>11649</v>
      </c>
      <c r="H920" s="2" t="s">
        <v>8</v>
      </c>
      <c r="I920" s="2" t="s">
        <v>7</v>
      </c>
      <c r="J920" s="2" t="s">
        <v>8</v>
      </c>
      <c r="K920" s="2" t="s">
        <v>8</v>
      </c>
      <c r="L920" s="2" t="s">
        <v>9</v>
      </c>
      <c r="N920" s="1" t="s">
        <v>11650</v>
      </c>
      <c r="O920" s="2" t="s">
        <v>830</v>
      </c>
      <c r="Q920" s="2" t="s">
        <v>12</v>
      </c>
      <c r="R920" s="2" t="s">
        <v>7008</v>
      </c>
      <c r="T920" s="2" t="s">
        <v>14</v>
      </c>
      <c r="U920" s="3">
        <v>0</v>
      </c>
      <c r="V920" s="3">
        <v>0</v>
      </c>
      <c r="W920" s="4" t="s">
        <v>2382</v>
      </c>
      <c r="X920" s="4" t="s">
        <v>2382</v>
      </c>
      <c r="Y920" s="4" t="s">
        <v>2382</v>
      </c>
      <c r="Z920" s="4" t="s">
        <v>2382</v>
      </c>
      <c r="AA920" s="3">
        <v>159</v>
      </c>
      <c r="AB920" s="3">
        <v>56</v>
      </c>
      <c r="AC920" s="3">
        <v>82</v>
      </c>
      <c r="AD920" s="3">
        <v>1</v>
      </c>
      <c r="AE920" s="3">
        <v>1</v>
      </c>
      <c r="AF920" s="3">
        <v>1</v>
      </c>
      <c r="AG920" s="3">
        <v>2</v>
      </c>
      <c r="AH920" s="3">
        <v>1</v>
      </c>
      <c r="AI920" s="3">
        <v>1</v>
      </c>
      <c r="AJ920" s="3">
        <v>0</v>
      </c>
      <c r="AK920" s="3">
        <v>1</v>
      </c>
      <c r="AL920" s="3">
        <v>0</v>
      </c>
      <c r="AM920" s="3">
        <v>0</v>
      </c>
      <c r="AN920" s="3">
        <v>0</v>
      </c>
      <c r="AO920" s="3">
        <v>0</v>
      </c>
      <c r="AP920" s="3">
        <v>0</v>
      </c>
      <c r="AQ920" s="3">
        <v>0</v>
      </c>
      <c r="AR920" s="2" t="s">
        <v>8</v>
      </c>
      <c r="AS920" s="2" t="s">
        <v>8</v>
      </c>
      <c r="AU920" s="5" t="str">
        <f>HYPERLINK("https://creighton-primo.hosted.exlibrisgroup.com/primo-explore/search?tab=default_tab&amp;search_scope=EVERYTHING&amp;vid=01CRU&amp;lang=en_US&amp;offset=0&amp;query=any,contains,991000362259702656","Catalog Record")</f>
        <v>Catalog Record</v>
      </c>
      <c r="AV920" s="5" t="str">
        <f>HYPERLINK("http://www.worldcat.org/oclc/51648115","WorldCat Record")</f>
        <v>WorldCat Record</v>
      </c>
      <c r="AW920" s="2" t="s">
        <v>11651</v>
      </c>
      <c r="AX920" s="2" t="s">
        <v>11652</v>
      </c>
      <c r="AY920" s="2" t="s">
        <v>11653</v>
      </c>
      <c r="AZ920" s="2" t="s">
        <v>11653</v>
      </c>
      <c r="BA920" s="2" t="s">
        <v>11654</v>
      </c>
      <c r="BB920" s="2" t="s">
        <v>21</v>
      </c>
      <c r="BD920" s="2" t="s">
        <v>11655</v>
      </c>
      <c r="BE920" s="2" t="s">
        <v>11656</v>
      </c>
      <c r="BF920" s="2" t="s">
        <v>11657</v>
      </c>
    </row>
    <row r="921" spans="1:58" ht="42.75" customHeight="1" x14ac:dyDescent="0.25">
      <c r="A921" s="8" t="s">
        <v>8</v>
      </c>
      <c r="B921" s="1" t="s">
        <v>0</v>
      </c>
      <c r="C921" s="1" t="s">
        <v>1</v>
      </c>
      <c r="D921" s="1" t="s">
        <v>11658</v>
      </c>
      <c r="E921" s="1" t="s">
        <v>11659</v>
      </c>
      <c r="F921" s="1" t="s">
        <v>11660</v>
      </c>
      <c r="H921" s="2" t="s">
        <v>8</v>
      </c>
      <c r="I921" s="2" t="s">
        <v>7</v>
      </c>
      <c r="J921" s="2" t="s">
        <v>8</v>
      </c>
      <c r="K921" s="2" t="s">
        <v>8</v>
      </c>
      <c r="L921" s="2" t="s">
        <v>9</v>
      </c>
      <c r="N921" s="1" t="s">
        <v>11661</v>
      </c>
      <c r="O921" s="2" t="s">
        <v>731</v>
      </c>
      <c r="Q921" s="2" t="s">
        <v>12</v>
      </c>
      <c r="R921" s="2" t="s">
        <v>643</v>
      </c>
      <c r="T921" s="2" t="s">
        <v>14</v>
      </c>
      <c r="U921" s="3">
        <v>2</v>
      </c>
      <c r="V921" s="3">
        <v>2</v>
      </c>
      <c r="W921" s="4" t="s">
        <v>11662</v>
      </c>
      <c r="X921" s="4" t="s">
        <v>11662</v>
      </c>
      <c r="Y921" s="4" t="s">
        <v>11663</v>
      </c>
      <c r="Z921" s="4" t="s">
        <v>11663</v>
      </c>
      <c r="AA921" s="3">
        <v>169</v>
      </c>
      <c r="AB921" s="3">
        <v>89</v>
      </c>
      <c r="AC921" s="3">
        <v>94</v>
      </c>
      <c r="AD921" s="3">
        <v>1</v>
      </c>
      <c r="AE921" s="3">
        <v>1</v>
      </c>
      <c r="AF921" s="3">
        <v>4</v>
      </c>
      <c r="AG921" s="3">
        <v>4</v>
      </c>
      <c r="AH921" s="3">
        <v>0</v>
      </c>
      <c r="AI921" s="3">
        <v>0</v>
      </c>
      <c r="AJ921" s="3">
        <v>3</v>
      </c>
      <c r="AK921" s="3">
        <v>3</v>
      </c>
      <c r="AL921" s="3">
        <v>3</v>
      </c>
      <c r="AM921" s="3">
        <v>3</v>
      </c>
      <c r="AN921" s="3">
        <v>0</v>
      </c>
      <c r="AO921" s="3">
        <v>0</v>
      </c>
      <c r="AP921" s="3">
        <v>0</v>
      </c>
      <c r="AQ921" s="3">
        <v>0</v>
      </c>
      <c r="AR921" s="2" t="s">
        <v>8</v>
      </c>
      <c r="AS921" s="2" t="s">
        <v>8</v>
      </c>
      <c r="AU921" s="5" t="str">
        <f>HYPERLINK("https://creighton-primo.hosted.exlibrisgroup.com/primo-explore/search?tab=default_tab&amp;search_scope=EVERYTHING&amp;vid=01CRU&amp;lang=en_US&amp;offset=0&amp;query=any,contains,991000798009702656","Catalog Record")</f>
        <v>Catalog Record</v>
      </c>
      <c r="AV921" s="5" t="str">
        <f>HYPERLINK("http://www.worldcat.org/oclc/37443211","WorldCat Record")</f>
        <v>WorldCat Record</v>
      </c>
      <c r="AW921" s="2" t="s">
        <v>11664</v>
      </c>
      <c r="AX921" s="2" t="s">
        <v>11665</v>
      </c>
      <c r="AY921" s="2" t="s">
        <v>11666</v>
      </c>
      <c r="AZ921" s="2" t="s">
        <v>11666</v>
      </c>
      <c r="BA921" s="2" t="s">
        <v>11667</v>
      </c>
      <c r="BB921" s="2" t="s">
        <v>21</v>
      </c>
      <c r="BD921" s="2" t="s">
        <v>11668</v>
      </c>
      <c r="BE921" s="2" t="s">
        <v>11669</v>
      </c>
      <c r="BF921" s="2" t="s">
        <v>11670</v>
      </c>
    </row>
    <row r="922" spans="1:58" ht="42.75" customHeight="1" x14ac:dyDescent="0.25">
      <c r="A922" s="8" t="s">
        <v>8</v>
      </c>
      <c r="B922" s="1" t="s">
        <v>0</v>
      </c>
      <c r="C922" s="1" t="s">
        <v>1</v>
      </c>
      <c r="D922" s="1" t="s">
        <v>11671</v>
      </c>
      <c r="E922" s="1" t="s">
        <v>11672</v>
      </c>
      <c r="F922" s="1" t="s">
        <v>11673</v>
      </c>
      <c r="H922" s="2" t="s">
        <v>8</v>
      </c>
      <c r="I922" s="2" t="s">
        <v>7</v>
      </c>
      <c r="J922" s="2" t="s">
        <v>8</v>
      </c>
      <c r="K922" s="2" t="s">
        <v>8</v>
      </c>
      <c r="L922" s="2" t="s">
        <v>7</v>
      </c>
      <c r="M922" s="1" t="s">
        <v>11674</v>
      </c>
      <c r="N922" s="1" t="s">
        <v>10720</v>
      </c>
      <c r="O922" s="2" t="s">
        <v>657</v>
      </c>
      <c r="Q922" s="2" t="s">
        <v>12</v>
      </c>
      <c r="R922" s="2" t="s">
        <v>520</v>
      </c>
      <c r="S922" s="1" t="s">
        <v>9445</v>
      </c>
      <c r="T922" s="2" t="s">
        <v>14</v>
      </c>
      <c r="U922" s="3">
        <v>3</v>
      </c>
      <c r="V922" s="3">
        <v>3</v>
      </c>
      <c r="W922" s="4" t="s">
        <v>11675</v>
      </c>
      <c r="X922" s="4" t="s">
        <v>11675</v>
      </c>
      <c r="Y922" s="4" t="s">
        <v>1940</v>
      </c>
      <c r="Z922" s="4" t="s">
        <v>1940</v>
      </c>
      <c r="AA922" s="3">
        <v>60</v>
      </c>
      <c r="AB922" s="3">
        <v>55</v>
      </c>
      <c r="AC922" s="3">
        <v>1013</v>
      </c>
      <c r="AD922" s="3">
        <v>1</v>
      </c>
      <c r="AE922" s="3">
        <v>14</v>
      </c>
      <c r="AF922" s="3">
        <v>6</v>
      </c>
      <c r="AG922" s="3">
        <v>35</v>
      </c>
      <c r="AH922" s="3">
        <v>2</v>
      </c>
      <c r="AI922" s="3">
        <v>10</v>
      </c>
      <c r="AJ922" s="3">
        <v>2</v>
      </c>
      <c r="AK922" s="3">
        <v>7</v>
      </c>
      <c r="AL922" s="3">
        <v>4</v>
      </c>
      <c r="AM922" s="3">
        <v>11</v>
      </c>
      <c r="AN922" s="3">
        <v>0</v>
      </c>
      <c r="AO922" s="3">
        <v>12</v>
      </c>
      <c r="AP922" s="3">
        <v>0</v>
      </c>
      <c r="AQ922" s="3">
        <v>1</v>
      </c>
      <c r="AR922" s="2" t="s">
        <v>8</v>
      </c>
      <c r="AS922" s="2" t="s">
        <v>6</v>
      </c>
      <c r="AT922" s="5" t="str">
        <f>HYPERLINK("http://catalog.hathitrust.org/Record/004209902","HathiTrust Record")</f>
        <v>HathiTrust Record</v>
      </c>
      <c r="AU922" s="5" t="str">
        <f>HYPERLINK("https://creighton-primo.hosted.exlibrisgroup.com/primo-explore/search?tab=default_tab&amp;search_scope=EVERYTHING&amp;vid=01CRU&amp;lang=en_US&amp;offset=0&amp;query=any,contains,991000305919702656","Catalog Record")</f>
        <v>Catalog Record</v>
      </c>
      <c r="AV922" s="5" t="str">
        <f>HYPERLINK("http://www.worldcat.org/oclc/46822299","WorldCat Record")</f>
        <v>WorldCat Record</v>
      </c>
      <c r="AW922" s="2" t="s">
        <v>11676</v>
      </c>
      <c r="AX922" s="2" t="s">
        <v>11677</v>
      </c>
      <c r="AY922" s="2" t="s">
        <v>11678</v>
      </c>
      <c r="AZ922" s="2" t="s">
        <v>11678</v>
      </c>
      <c r="BA922" s="2" t="s">
        <v>11679</v>
      </c>
      <c r="BB922" s="2" t="s">
        <v>21</v>
      </c>
      <c r="BD922" s="2" t="s">
        <v>11680</v>
      </c>
      <c r="BE922" s="2" t="s">
        <v>11681</v>
      </c>
      <c r="BF922" s="2" t="s">
        <v>11682</v>
      </c>
    </row>
    <row r="923" spans="1:58" ht="42.75" customHeight="1" x14ac:dyDescent="0.25">
      <c r="A923" s="8" t="s">
        <v>8</v>
      </c>
      <c r="B923" s="1" t="s">
        <v>0</v>
      </c>
      <c r="C923" s="1" t="s">
        <v>1</v>
      </c>
      <c r="D923" s="1" t="s">
        <v>11683</v>
      </c>
      <c r="E923" s="1" t="s">
        <v>11684</v>
      </c>
      <c r="F923" s="1" t="s">
        <v>11685</v>
      </c>
      <c r="H923" s="2" t="s">
        <v>8</v>
      </c>
      <c r="I923" s="2" t="s">
        <v>7</v>
      </c>
      <c r="J923" s="2" t="s">
        <v>8</v>
      </c>
      <c r="K923" s="2" t="s">
        <v>8</v>
      </c>
      <c r="L923" s="2" t="s">
        <v>9</v>
      </c>
      <c r="M923" s="1" t="s">
        <v>11686</v>
      </c>
      <c r="N923" s="1" t="s">
        <v>8271</v>
      </c>
      <c r="O923" s="2" t="s">
        <v>51</v>
      </c>
      <c r="Q923" s="2" t="s">
        <v>12</v>
      </c>
      <c r="R923" s="2" t="s">
        <v>34</v>
      </c>
      <c r="T923" s="2" t="s">
        <v>14</v>
      </c>
      <c r="U923" s="3">
        <v>12</v>
      </c>
      <c r="V923" s="3">
        <v>12</v>
      </c>
      <c r="W923" s="4" t="s">
        <v>11687</v>
      </c>
      <c r="X923" s="4" t="s">
        <v>11687</v>
      </c>
      <c r="Y923" s="4" t="s">
        <v>7444</v>
      </c>
      <c r="Z923" s="4" t="s">
        <v>7444</v>
      </c>
      <c r="AA923" s="3">
        <v>89</v>
      </c>
      <c r="AB923" s="3">
        <v>83</v>
      </c>
      <c r="AC923" s="3">
        <v>85</v>
      </c>
      <c r="AD923" s="3">
        <v>1</v>
      </c>
      <c r="AE923" s="3">
        <v>1</v>
      </c>
      <c r="AF923" s="3">
        <v>1</v>
      </c>
      <c r="AG923" s="3">
        <v>1</v>
      </c>
      <c r="AH923" s="3">
        <v>0</v>
      </c>
      <c r="AI923" s="3">
        <v>0</v>
      </c>
      <c r="AJ923" s="3">
        <v>0</v>
      </c>
      <c r="AK923" s="3">
        <v>0</v>
      </c>
      <c r="AL923" s="3">
        <v>1</v>
      </c>
      <c r="AM923" s="3">
        <v>1</v>
      </c>
      <c r="AN923" s="3">
        <v>0</v>
      </c>
      <c r="AO923" s="3">
        <v>0</v>
      </c>
      <c r="AP923" s="3">
        <v>0</v>
      </c>
      <c r="AQ923" s="3">
        <v>0</v>
      </c>
      <c r="AR923" s="2" t="s">
        <v>8</v>
      </c>
      <c r="AS923" s="2" t="s">
        <v>6</v>
      </c>
      <c r="AT923" s="5" t="str">
        <f>HYPERLINK("http://catalog.hathitrust.org/Record/001103243","HathiTrust Record")</f>
        <v>HathiTrust Record</v>
      </c>
      <c r="AU923" s="5" t="str">
        <f>HYPERLINK("https://creighton-primo.hosted.exlibrisgroup.com/primo-explore/search?tab=default_tab&amp;search_scope=EVERYTHING&amp;vid=01CRU&amp;lang=en_US&amp;offset=0&amp;query=any,contains,991001421949702656","Catalog Record")</f>
        <v>Catalog Record</v>
      </c>
      <c r="AV923" s="5" t="str">
        <f>HYPERLINK("http://www.worldcat.org/oclc/16709378","WorldCat Record")</f>
        <v>WorldCat Record</v>
      </c>
      <c r="AW923" s="2" t="s">
        <v>11688</v>
      </c>
      <c r="AX923" s="2" t="s">
        <v>11689</v>
      </c>
      <c r="AY923" s="2" t="s">
        <v>11690</v>
      </c>
      <c r="AZ923" s="2" t="s">
        <v>11690</v>
      </c>
      <c r="BA923" s="2" t="s">
        <v>11691</v>
      </c>
      <c r="BB923" s="2" t="s">
        <v>21</v>
      </c>
      <c r="BD923" s="2" t="s">
        <v>11692</v>
      </c>
      <c r="BE923" s="2" t="s">
        <v>11693</v>
      </c>
      <c r="BF923" s="2" t="s">
        <v>11694</v>
      </c>
    </row>
    <row r="924" spans="1:58" ht="42.75" customHeight="1" x14ac:dyDescent="0.25">
      <c r="A924" s="8" t="s">
        <v>8</v>
      </c>
      <c r="B924" s="1" t="s">
        <v>0</v>
      </c>
      <c r="C924" s="1" t="s">
        <v>1</v>
      </c>
      <c r="D924" s="1" t="s">
        <v>11695</v>
      </c>
      <c r="E924" s="1" t="s">
        <v>11696</v>
      </c>
      <c r="F924" s="1" t="s">
        <v>11697</v>
      </c>
      <c r="H924" s="2" t="s">
        <v>8</v>
      </c>
      <c r="I924" s="2" t="s">
        <v>7</v>
      </c>
      <c r="J924" s="2" t="s">
        <v>8</v>
      </c>
      <c r="K924" s="2" t="s">
        <v>8</v>
      </c>
      <c r="L924" s="2" t="s">
        <v>9</v>
      </c>
      <c r="N924" s="1" t="s">
        <v>11061</v>
      </c>
      <c r="O924" s="2" t="s">
        <v>874</v>
      </c>
      <c r="Q924" s="2" t="s">
        <v>12</v>
      </c>
      <c r="R924" s="2" t="s">
        <v>520</v>
      </c>
      <c r="T924" s="2" t="s">
        <v>14</v>
      </c>
      <c r="U924" s="3">
        <v>1</v>
      </c>
      <c r="V924" s="3">
        <v>1</v>
      </c>
      <c r="W924" s="4" t="s">
        <v>11698</v>
      </c>
      <c r="X924" s="4" t="s">
        <v>11698</v>
      </c>
      <c r="Y924" s="4" t="s">
        <v>1643</v>
      </c>
      <c r="Z924" s="4" t="s">
        <v>1643</v>
      </c>
      <c r="AA924" s="3">
        <v>68</v>
      </c>
      <c r="AB924" s="3">
        <v>60</v>
      </c>
      <c r="AC924" s="3">
        <v>62</v>
      </c>
      <c r="AD924" s="3">
        <v>1</v>
      </c>
      <c r="AE924" s="3">
        <v>1</v>
      </c>
      <c r="AF924" s="3">
        <v>2</v>
      </c>
      <c r="AG924" s="3">
        <v>2</v>
      </c>
      <c r="AH924" s="3">
        <v>2</v>
      </c>
      <c r="AI924" s="3">
        <v>2</v>
      </c>
      <c r="AJ924" s="3">
        <v>0</v>
      </c>
      <c r="AK924" s="3">
        <v>0</v>
      </c>
      <c r="AL924" s="3">
        <v>2</v>
      </c>
      <c r="AM924" s="3">
        <v>2</v>
      </c>
      <c r="AN924" s="3">
        <v>0</v>
      </c>
      <c r="AO924" s="3">
        <v>0</v>
      </c>
      <c r="AP924" s="3">
        <v>0</v>
      </c>
      <c r="AQ924" s="3">
        <v>0</v>
      </c>
      <c r="AR924" s="2" t="s">
        <v>8</v>
      </c>
      <c r="AS924" s="2" t="s">
        <v>6</v>
      </c>
      <c r="AT924" s="5" t="str">
        <f>HYPERLINK("http://catalog.hathitrust.org/Record/003956197","HathiTrust Record")</f>
        <v>HathiTrust Record</v>
      </c>
      <c r="AU924" s="5" t="str">
        <f>HYPERLINK("https://creighton-primo.hosted.exlibrisgroup.com/primo-explore/search?tab=default_tab&amp;search_scope=EVERYTHING&amp;vid=01CRU&amp;lang=en_US&amp;offset=0&amp;query=any,contains,991000396949702656","Catalog Record")</f>
        <v>Catalog Record</v>
      </c>
      <c r="AV924" s="5" t="str">
        <f>HYPERLINK("http://www.worldcat.org/oclc/37031319","WorldCat Record")</f>
        <v>WorldCat Record</v>
      </c>
      <c r="AW924" s="2" t="s">
        <v>11699</v>
      </c>
      <c r="AX924" s="2" t="s">
        <v>11700</v>
      </c>
      <c r="AY924" s="2" t="s">
        <v>11701</v>
      </c>
      <c r="AZ924" s="2" t="s">
        <v>11701</v>
      </c>
      <c r="BA924" s="2" t="s">
        <v>11702</v>
      </c>
      <c r="BB924" s="2" t="s">
        <v>21</v>
      </c>
      <c r="BD924" s="2" t="s">
        <v>11703</v>
      </c>
      <c r="BE924" s="2" t="s">
        <v>11704</v>
      </c>
      <c r="BF924" s="2" t="s">
        <v>11705</v>
      </c>
    </row>
    <row r="925" spans="1:58" ht="42.75" customHeight="1" x14ac:dyDescent="0.25">
      <c r="A925" s="8" t="s">
        <v>8</v>
      </c>
      <c r="B925" s="1" t="s">
        <v>0</v>
      </c>
      <c r="C925" s="1" t="s">
        <v>1</v>
      </c>
      <c r="D925" s="1" t="s">
        <v>11706</v>
      </c>
      <c r="E925" s="1" t="s">
        <v>11707</v>
      </c>
      <c r="F925" s="1" t="s">
        <v>11708</v>
      </c>
      <c r="H925" s="2" t="s">
        <v>8</v>
      </c>
      <c r="I925" s="2" t="s">
        <v>7</v>
      </c>
      <c r="J925" s="2" t="s">
        <v>8</v>
      </c>
      <c r="K925" s="2" t="s">
        <v>8</v>
      </c>
      <c r="L925" s="2" t="s">
        <v>9</v>
      </c>
      <c r="M925" s="1" t="s">
        <v>11709</v>
      </c>
      <c r="N925" s="1" t="s">
        <v>11710</v>
      </c>
      <c r="O925" s="2" t="s">
        <v>830</v>
      </c>
      <c r="Q925" s="2" t="s">
        <v>12</v>
      </c>
      <c r="R925" s="2" t="s">
        <v>13</v>
      </c>
      <c r="T925" s="2" t="s">
        <v>14</v>
      </c>
      <c r="U925" s="3">
        <v>2</v>
      </c>
      <c r="V925" s="3">
        <v>2</v>
      </c>
      <c r="W925" s="4" t="s">
        <v>11711</v>
      </c>
      <c r="X925" s="4" t="s">
        <v>11711</v>
      </c>
      <c r="Y925" s="4" t="s">
        <v>11712</v>
      </c>
      <c r="Z925" s="4" t="s">
        <v>11712</v>
      </c>
      <c r="AA925" s="3">
        <v>455</v>
      </c>
      <c r="AB925" s="3">
        <v>365</v>
      </c>
      <c r="AC925" s="3">
        <v>543</v>
      </c>
      <c r="AD925" s="3">
        <v>21</v>
      </c>
      <c r="AE925" s="3">
        <v>28</v>
      </c>
      <c r="AF925" s="3">
        <v>11</v>
      </c>
      <c r="AG925" s="3">
        <v>20</v>
      </c>
      <c r="AH925" s="3">
        <v>3</v>
      </c>
      <c r="AI925" s="3">
        <v>6</v>
      </c>
      <c r="AJ925" s="3">
        <v>1</v>
      </c>
      <c r="AK925" s="3">
        <v>1</v>
      </c>
      <c r="AL925" s="3">
        <v>5</v>
      </c>
      <c r="AM925" s="3">
        <v>5</v>
      </c>
      <c r="AN925" s="3">
        <v>3</v>
      </c>
      <c r="AO925" s="3">
        <v>9</v>
      </c>
      <c r="AP925" s="3">
        <v>0</v>
      </c>
      <c r="AQ925" s="3">
        <v>0</v>
      </c>
      <c r="AR925" s="2" t="s">
        <v>8</v>
      </c>
      <c r="AS925" s="2" t="s">
        <v>8</v>
      </c>
      <c r="AU925" s="5" t="str">
        <f>HYPERLINK("https://creighton-primo.hosted.exlibrisgroup.com/primo-explore/search?tab=default_tab&amp;search_scope=EVERYTHING&amp;vid=01CRU&amp;lang=en_US&amp;offset=0&amp;query=any,contains,991000367289702656","Catalog Record")</f>
        <v>Catalog Record</v>
      </c>
      <c r="AV925" s="5" t="str">
        <f>HYPERLINK("http://www.worldcat.org/oclc/55083077","WorldCat Record")</f>
        <v>WorldCat Record</v>
      </c>
      <c r="AW925" s="2" t="s">
        <v>11713</v>
      </c>
      <c r="AX925" s="2" t="s">
        <v>11714</v>
      </c>
      <c r="AY925" s="2" t="s">
        <v>11715</v>
      </c>
      <c r="AZ925" s="2" t="s">
        <v>11715</v>
      </c>
      <c r="BA925" s="2" t="s">
        <v>11716</v>
      </c>
      <c r="BB925" s="2" t="s">
        <v>21</v>
      </c>
      <c r="BD925" s="2" t="s">
        <v>11717</v>
      </c>
      <c r="BE925" s="2" t="s">
        <v>11718</v>
      </c>
      <c r="BF925" s="2" t="s">
        <v>11719</v>
      </c>
    </row>
    <row r="926" spans="1:58" ht="42.75" customHeight="1" x14ac:dyDescent="0.25">
      <c r="A926" s="8" t="s">
        <v>8</v>
      </c>
      <c r="B926" s="1" t="s">
        <v>0</v>
      </c>
      <c r="C926" s="1" t="s">
        <v>1</v>
      </c>
      <c r="D926" s="1" t="s">
        <v>11720</v>
      </c>
      <c r="E926" s="1" t="s">
        <v>11721</v>
      </c>
      <c r="F926" s="1" t="s">
        <v>11722</v>
      </c>
      <c r="H926" s="2" t="s">
        <v>8</v>
      </c>
      <c r="I926" s="2" t="s">
        <v>7</v>
      </c>
      <c r="J926" s="2" t="s">
        <v>8</v>
      </c>
      <c r="K926" s="2" t="s">
        <v>8</v>
      </c>
      <c r="L926" s="2" t="s">
        <v>9</v>
      </c>
      <c r="M926" s="1" t="s">
        <v>11723</v>
      </c>
      <c r="N926" s="1" t="s">
        <v>11724</v>
      </c>
      <c r="O926" s="2" t="s">
        <v>814</v>
      </c>
      <c r="Q926" s="2" t="s">
        <v>12</v>
      </c>
      <c r="R926" s="2" t="s">
        <v>1873</v>
      </c>
      <c r="T926" s="2" t="s">
        <v>14</v>
      </c>
      <c r="U926" s="3">
        <v>4</v>
      </c>
      <c r="V926" s="3">
        <v>4</v>
      </c>
      <c r="W926" s="4" t="s">
        <v>9087</v>
      </c>
      <c r="X926" s="4" t="s">
        <v>9087</v>
      </c>
      <c r="Y926" s="4" t="s">
        <v>11725</v>
      </c>
      <c r="Z926" s="4" t="s">
        <v>11725</v>
      </c>
      <c r="AA926" s="3">
        <v>62</v>
      </c>
      <c r="AB926" s="3">
        <v>61</v>
      </c>
      <c r="AC926" s="3">
        <v>61</v>
      </c>
      <c r="AD926" s="3">
        <v>1</v>
      </c>
      <c r="AE926" s="3">
        <v>1</v>
      </c>
      <c r="AF926" s="3">
        <v>0</v>
      </c>
      <c r="AG926" s="3">
        <v>0</v>
      </c>
      <c r="AH926" s="3">
        <v>0</v>
      </c>
      <c r="AI926" s="3">
        <v>0</v>
      </c>
      <c r="AJ926" s="3">
        <v>0</v>
      </c>
      <c r="AK926" s="3">
        <v>0</v>
      </c>
      <c r="AL926" s="3">
        <v>0</v>
      </c>
      <c r="AM926" s="3">
        <v>0</v>
      </c>
      <c r="AN926" s="3">
        <v>0</v>
      </c>
      <c r="AO926" s="3">
        <v>0</v>
      </c>
      <c r="AP926" s="3">
        <v>0</v>
      </c>
      <c r="AQ926" s="3">
        <v>0</v>
      </c>
      <c r="AR926" s="2" t="s">
        <v>8</v>
      </c>
      <c r="AS926" s="2" t="s">
        <v>8</v>
      </c>
      <c r="AU926" s="5" t="str">
        <f>HYPERLINK("https://creighton-primo.hosted.exlibrisgroup.com/primo-explore/search?tab=default_tab&amp;search_scope=EVERYTHING&amp;vid=01CRU&amp;lang=en_US&amp;offset=0&amp;query=any,contains,991001550099702656","Catalog Record")</f>
        <v>Catalog Record</v>
      </c>
      <c r="AV926" s="5" t="str">
        <f>HYPERLINK("http://www.worldcat.org/oclc/41129204","WorldCat Record")</f>
        <v>WorldCat Record</v>
      </c>
      <c r="AW926" s="2" t="s">
        <v>11726</v>
      </c>
      <c r="AX926" s="2" t="s">
        <v>11727</v>
      </c>
      <c r="AY926" s="2" t="s">
        <v>11728</v>
      </c>
      <c r="AZ926" s="2" t="s">
        <v>11728</v>
      </c>
      <c r="BA926" s="2" t="s">
        <v>11729</v>
      </c>
      <c r="BB926" s="2" t="s">
        <v>21</v>
      </c>
      <c r="BD926" s="2" t="s">
        <v>11730</v>
      </c>
      <c r="BE926" s="2" t="s">
        <v>11731</v>
      </c>
      <c r="BF926" s="2" t="s">
        <v>11732</v>
      </c>
    </row>
    <row r="927" spans="1:58" ht="42.75" customHeight="1" x14ac:dyDescent="0.25">
      <c r="A927" s="8" t="s">
        <v>8</v>
      </c>
      <c r="B927" s="1" t="s">
        <v>0</v>
      </c>
      <c r="C927" s="1" t="s">
        <v>1</v>
      </c>
      <c r="D927" s="1" t="s">
        <v>11733</v>
      </c>
      <c r="E927" s="1" t="s">
        <v>11734</v>
      </c>
      <c r="F927" s="1" t="s">
        <v>11735</v>
      </c>
      <c r="H927" s="2" t="s">
        <v>8</v>
      </c>
      <c r="I927" s="2" t="s">
        <v>7</v>
      </c>
      <c r="J927" s="2" t="s">
        <v>8</v>
      </c>
      <c r="K927" s="2" t="s">
        <v>8</v>
      </c>
      <c r="L927" s="2" t="s">
        <v>9</v>
      </c>
      <c r="M927" s="1" t="s">
        <v>11736</v>
      </c>
      <c r="N927" s="1" t="s">
        <v>11737</v>
      </c>
      <c r="O927" s="2" t="s">
        <v>844</v>
      </c>
      <c r="Q927" s="2" t="s">
        <v>12</v>
      </c>
      <c r="R927" s="2" t="s">
        <v>1340</v>
      </c>
      <c r="T927" s="2" t="s">
        <v>14</v>
      </c>
      <c r="U927" s="3">
        <v>0</v>
      </c>
      <c r="V927" s="3">
        <v>0</v>
      </c>
      <c r="W927" s="4" t="s">
        <v>1643</v>
      </c>
      <c r="X927" s="4" t="s">
        <v>1643</v>
      </c>
      <c r="Y927" s="4" t="s">
        <v>1643</v>
      </c>
      <c r="Z927" s="4" t="s">
        <v>1643</v>
      </c>
      <c r="AA927" s="3">
        <v>7</v>
      </c>
      <c r="AB927" s="3">
        <v>7</v>
      </c>
      <c r="AC927" s="3">
        <v>7</v>
      </c>
      <c r="AD927" s="3">
        <v>1</v>
      </c>
      <c r="AE927" s="3">
        <v>1</v>
      </c>
      <c r="AF927" s="3">
        <v>0</v>
      </c>
      <c r="AG927" s="3">
        <v>0</v>
      </c>
      <c r="AH927" s="3">
        <v>0</v>
      </c>
      <c r="AI927" s="3">
        <v>0</v>
      </c>
      <c r="AJ927" s="3">
        <v>0</v>
      </c>
      <c r="AK927" s="3">
        <v>0</v>
      </c>
      <c r="AL927" s="3">
        <v>0</v>
      </c>
      <c r="AM927" s="3">
        <v>0</v>
      </c>
      <c r="AN927" s="3">
        <v>0</v>
      </c>
      <c r="AO927" s="3">
        <v>0</v>
      </c>
      <c r="AP927" s="3">
        <v>0</v>
      </c>
      <c r="AQ927" s="3">
        <v>0</v>
      </c>
      <c r="AR927" s="2" t="s">
        <v>8</v>
      </c>
      <c r="AS927" s="2" t="s">
        <v>8</v>
      </c>
      <c r="AU927" s="5" t="str">
        <f>HYPERLINK("https://creighton-primo.hosted.exlibrisgroup.com/primo-explore/search?tab=default_tab&amp;search_scope=EVERYTHING&amp;vid=01CRU&amp;lang=en_US&amp;offset=0&amp;query=any,contains,991000396669702656","Catalog Record")</f>
        <v>Catalog Record</v>
      </c>
      <c r="AV927" s="5" t="str">
        <f>HYPERLINK("http://www.worldcat.org/oclc/33446331","WorldCat Record")</f>
        <v>WorldCat Record</v>
      </c>
      <c r="AW927" s="2" t="s">
        <v>11738</v>
      </c>
      <c r="AX927" s="2" t="s">
        <v>11739</v>
      </c>
      <c r="AY927" s="2" t="s">
        <v>11740</v>
      </c>
      <c r="AZ927" s="2" t="s">
        <v>11740</v>
      </c>
      <c r="BA927" s="2" t="s">
        <v>11741</v>
      </c>
      <c r="BB927" s="2" t="s">
        <v>21</v>
      </c>
      <c r="BD927" s="2" t="s">
        <v>11742</v>
      </c>
      <c r="BE927" s="2" t="s">
        <v>11743</v>
      </c>
      <c r="BF927" s="2" t="s">
        <v>11744</v>
      </c>
    </row>
    <row r="928" spans="1:58" ht="42.75" customHeight="1" x14ac:dyDescent="0.25">
      <c r="A928" s="8" t="s">
        <v>8</v>
      </c>
      <c r="B928" s="1" t="s">
        <v>0</v>
      </c>
      <c r="C928" s="1" t="s">
        <v>1</v>
      </c>
      <c r="D928" s="1" t="s">
        <v>11745</v>
      </c>
      <c r="E928" s="1" t="s">
        <v>11746</v>
      </c>
      <c r="F928" s="1" t="s">
        <v>11747</v>
      </c>
      <c r="H928" s="2" t="s">
        <v>8</v>
      </c>
      <c r="I928" s="2" t="s">
        <v>7</v>
      </c>
      <c r="J928" s="2" t="s">
        <v>8</v>
      </c>
      <c r="K928" s="2" t="s">
        <v>8</v>
      </c>
      <c r="L928" s="2" t="s">
        <v>9</v>
      </c>
      <c r="M928" s="1" t="s">
        <v>11748</v>
      </c>
      <c r="N928" s="1" t="s">
        <v>11749</v>
      </c>
      <c r="O928" s="2" t="s">
        <v>252</v>
      </c>
      <c r="Q928" s="2" t="s">
        <v>12</v>
      </c>
      <c r="R928" s="2" t="s">
        <v>34</v>
      </c>
      <c r="T928" s="2" t="s">
        <v>14</v>
      </c>
      <c r="U928" s="3">
        <v>1</v>
      </c>
      <c r="V928" s="3">
        <v>1</v>
      </c>
      <c r="W928" s="4" t="s">
        <v>5637</v>
      </c>
      <c r="X928" s="4" t="s">
        <v>5637</v>
      </c>
      <c r="Y928" s="4" t="s">
        <v>16</v>
      </c>
      <c r="Z928" s="4" t="s">
        <v>16</v>
      </c>
      <c r="AA928" s="3">
        <v>193</v>
      </c>
      <c r="AB928" s="3">
        <v>174</v>
      </c>
      <c r="AC928" s="3">
        <v>176</v>
      </c>
      <c r="AD928" s="3">
        <v>1</v>
      </c>
      <c r="AE928" s="3">
        <v>1</v>
      </c>
      <c r="AF928" s="3">
        <v>5</v>
      </c>
      <c r="AG928" s="3">
        <v>5</v>
      </c>
      <c r="AH928" s="3">
        <v>1</v>
      </c>
      <c r="AI928" s="3">
        <v>1</v>
      </c>
      <c r="AJ928" s="3">
        <v>2</v>
      </c>
      <c r="AK928" s="3">
        <v>2</v>
      </c>
      <c r="AL928" s="3">
        <v>3</v>
      </c>
      <c r="AM928" s="3">
        <v>3</v>
      </c>
      <c r="AN928" s="3">
        <v>0</v>
      </c>
      <c r="AO928" s="3">
        <v>0</v>
      </c>
      <c r="AP928" s="3">
        <v>0</v>
      </c>
      <c r="AQ928" s="3">
        <v>0</v>
      </c>
      <c r="AR928" s="2" t="s">
        <v>8</v>
      </c>
      <c r="AS928" s="2" t="s">
        <v>6</v>
      </c>
      <c r="AT928" s="5" t="str">
        <f>HYPERLINK("http://catalog.hathitrust.org/Record/000763742","HathiTrust Record")</f>
        <v>HathiTrust Record</v>
      </c>
      <c r="AU928" s="5" t="str">
        <f>HYPERLINK("https://creighton-primo.hosted.exlibrisgroup.com/primo-explore/search?tab=default_tab&amp;search_scope=EVERYTHING&amp;vid=01CRU&amp;lang=en_US&amp;offset=0&amp;query=any,contains,991000660449702656","Catalog Record")</f>
        <v>Catalog Record</v>
      </c>
      <c r="AV928" s="5" t="str">
        <f>HYPERLINK("http://www.worldcat.org/oclc/7461052","WorldCat Record")</f>
        <v>WorldCat Record</v>
      </c>
      <c r="AW928" s="2" t="s">
        <v>11750</v>
      </c>
      <c r="AX928" s="2" t="s">
        <v>11751</v>
      </c>
      <c r="AY928" s="2" t="s">
        <v>11752</v>
      </c>
      <c r="AZ928" s="2" t="s">
        <v>11752</v>
      </c>
      <c r="BA928" s="2" t="s">
        <v>11753</v>
      </c>
      <c r="BB928" s="2" t="s">
        <v>21</v>
      </c>
      <c r="BD928" s="2" t="s">
        <v>11754</v>
      </c>
      <c r="BE928" s="2" t="s">
        <v>11755</v>
      </c>
      <c r="BF928" s="2" t="s">
        <v>11756</v>
      </c>
    </row>
    <row r="929" spans="1:58" ht="42.75" customHeight="1" x14ac:dyDescent="0.25">
      <c r="A929" s="8" t="s">
        <v>8</v>
      </c>
      <c r="B929" s="1" t="s">
        <v>0</v>
      </c>
      <c r="C929" s="1" t="s">
        <v>1</v>
      </c>
      <c r="D929" s="1" t="s">
        <v>11757</v>
      </c>
      <c r="E929" s="1" t="s">
        <v>11758</v>
      </c>
      <c r="F929" s="1" t="s">
        <v>11759</v>
      </c>
      <c r="H929" s="2" t="s">
        <v>8</v>
      </c>
      <c r="I929" s="2" t="s">
        <v>7</v>
      </c>
      <c r="J929" s="2" t="s">
        <v>8</v>
      </c>
      <c r="K929" s="2" t="s">
        <v>8</v>
      </c>
      <c r="L929" s="2" t="s">
        <v>9</v>
      </c>
      <c r="N929" s="1" t="s">
        <v>4046</v>
      </c>
      <c r="O929" s="2" t="s">
        <v>252</v>
      </c>
      <c r="Q929" s="2" t="s">
        <v>12</v>
      </c>
      <c r="R929" s="2" t="s">
        <v>815</v>
      </c>
      <c r="T929" s="2" t="s">
        <v>14</v>
      </c>
      <c r="U929" s="3">
        <v>2</v>
      </c>
      <c r="V929" s="3">
        <v>2</v>
      </c>
      <c r="W929" s="4" t="s">
        <v>691</v>
      </c>
      <c r="X929" s="4" t="s">
        <v>691</v>
      </c>
      <c r="Y929" s="4" t="s">
        <v>16</v>
      </c>
      <c r="Z929" s="4" t="s">
        <v>16</v>
      </c>
      <c r="AA929" s="3">
        <v>199</v>
      </c>
      <c r="AB929" s="3">
        <v>178</v>
      </c>
      <c r="AC929" s="3">
        <v>310</v>
      </c>
      <c r="AD929" s="3">
        <v>1</v>
      </c>
      <c r="AE929" s="3">
        <v>1</v>
      </c>
      <c r="AF929" s="3">
        <v>6</v>
      </c>
      <c r="AG929" s="3">
        <v>9</v>
      </c>
      <c r="AH929" s="3">
        <v>2</v>
      </c>
      <c r="AI929" s="3">
        <v>5</v>
      </c>
      <c r="AJ929" s="3">
        <v>0</v>
      </c>
      <c r="AK929" s="3">
        <v>0</v>
      </c>
      <c r="AL929" s="3">
        <v>5</v>
      </c>
      <c r="AM929" s="3">
        <v>7</v>
      </c>
      <c r="AN929" s="3">
        <v>0</v>
      </c>
      <c r="AO929" s="3">
        <v>0</v>
      </c>
      <c r="AP929" s="3">
        <v>1</v>
      </c>
      <c r="AQ929" s="3">
        <v>1</v>
      </c>
      <c r="AR929" s="2" t="s">
        <v>8</v>
      </c>
      <c r="AS929" s="2" t="s">
        <v>8</v>
      </c>
      <c r="AU929" s="5" t="str">
        <f>HYPERLINK("https://creighton-primo.hosted.exlibrisgroup.com/primo-explore/search?tab=default_tab&amp;search_scope=EVERYTHING&amp;vid=01CRU&amp;lang=en_US&amp;offset=0&amp;query=any,contains,991000660599702656","Catalog Record")</f>
        <v>Catalog Record</v>
      </c>
      <c r="AV929" s="5" t="str">
        <f>HYPERLINK("http://www.worldcat.org/oclc/7460546","WorldCat Record")</f>
        <v>WorldCat Record</v>
      </c>
      <c r="AW929" s="2" t="s">
        <v>11760</v>
      </c>
      <c r="AX929" s="2" t="s">
        <v>11761</v>
      </c>
      <c r="AY929" s="2" t="s">
        <v>11762</v>
      </c>
      <c r="AZ929" s="2" t="s">
        <v>11762</v>
      </c>
      <c r="BA929" s="2" t="s">
        <v>11763</v>
      </c>
      <c r="BB929" s="2" t="s">
        <v>21</v>
      </c>
      <c r="BD929" s="2" t="s">
        <v>11764</v>
      </c>
      <c r="BE929" s="2" t="s">
        <v>11765</v>
      </c>
      <c r="BF929" s="2" t="s">
        <v>11766</v>
      </c>
    </row>
    <row r="930" spans="1:58" ht="42.75" customHeight="1" x14ac:dyDescent="0.25">
      <c r="A930" s="8" t="s">
        <v>8</v>
      </c>
      <c r="B930" s="1" t="s">
        <v>0</v>
      </c>
      <c r="C930" s="1" t="s">
        <v>1</v>
      </c>
      <c r="D930" s="1" t="s">
        <v>11767</v>
      </c>
      <c r="E930" s="1" t="s">
        <v>11768</v>
      </c>
      <c r="F930" s="1" t="s">
        <v>11769</v>
      </c>
      <c r="H930" s="2" t="s">
        <v>8</v>
      </c>
      <c r="I930" s="2" t="s">
        <v>7</v>
      </c>
      <c r="J930" s="2" t="s">
        <v>8</v>
      </c>
      <c r="K930" s="2" t="s">
        <v>8</v>
      </c>
      <c r="L930" s="2" t="s">
        <v>9</v>
      </c>
      <c r="M930" s="1" t="s">
        <v>11770</v>
      </c>
      <c r="N930" s="1" t="s">
        <v>11771</v>
      </c>
      <c r="O930" s="2" t="s">
        <v>128</v>
      </c>
      <c r="Q930" s="2" t="s">
        <v>12</v>
      </c>
      <c r="R930" s="2" t="s">
        <v>577</v>
      </c>
      <c r="T930" s="2" t="s">
        <v>14</v>
      </c>
      <c r="U930" s="3">
        <v>4</v>
      </c>
      <c r="V930" s="3">
        <v>4</v>
      </c>
      <c r="W930" s="4" t="s">
        <v>9243</v>
      </c>
      <c r="X930" s="4" t="s">
        <v>9243</v>
      </c>
      <c r="Y930" s="4" t="s">
        <v>1553</v>
      </c>
      <c r="Z930" s="4" t="s">
        <v>1553</v>
      </c>
      <c r="AA930" s="3">
        <v>85</v>
      </c>
      <c r="AB930" s="3">
        <v>80</v>
      </c>
      <c r="AC930" s="3">
        <v>82</v>
      </c>
      <c r="AD930" s="3">
        <v>1</v>
      </c>
      <c r="AE930" s="3">
        <v>1</v>
      </c>
      <c r="AF930" s="3">
        <v>1</v>
      </c>
      <c r="AG930" s="3">
        <v>1</v>
      </c>
      <c r="AH930" s="3">
        <v>0</v>
      </c>
      <c r="AI930" s="3">
        <v>0</v>
      </c>
      <c r="AJ930" s="3">
        <v>0</v>
      </c>
      <c r="AK930" s="3">
        <v>0</v>
      </c>
      <c r="AL930" s="3">
        <v>1</v>
      </c>
      <c r="AM930" s="3">
        <v>1</v>
      </c>
      <c r="AN930" s="3">
        <v>0</v>
      </c>
      <c r="AO930" s="3">
        <v>0</v>
      </c>
      <c r="AP930" s="3">
        <v>0</v>
      </c>
      <c r="AQ930" s="3">
        <v>0</v>
      </c>
      <c r="AR930" s="2" t="s">
        <v>8</v>
      </c>
      <c r="AS930" s="2" t="s">
        <v>6</v>
      </c>
      <c r="AT930" s="5" t="str">
        <f>HYPERLINK("http://catalog.hathitrust.org/Record/000299010","HathiTrust Record")</f>
        <v>HathiTrust Record</v>
      </c>
      <c r="AU930" s="5" t="str">
        <f>HYPERLINK("https://creighton-primo.hosted.exlibrisgroup.com/primo-explore/search?tab=default_tab&amp;search_scope=EVERYTHING&amp;vid=01CRU&amp;lang=en_US&amp;offset=0&amp;query=any,contains,991000174979702656","Catalog Record")</f>
        <v>Catalog Record</v>
      </c>
      <c r="AV930" s="5" t="str">
        <f>HYPERLINK("http://www.worldcat.org/oclc/4833946","WorldCat Record")</f>
        <v>WorldCat Record</v>
      </c>
      <c r="AW930" s="2" t="s">
        <v>11772</v>
      </c>
      <c r="AX930" s="2" t="s">
        <v>11773</v>
      </c>
      <c r="AY930" s="2" t="s">
        <v>11774</v>
      </c>
      <c r="AZ930" s="2" t="s">
        <v>11774</v>
      </c>
      <c r="BA930" s="2" t="s">
        <v>11775</v>
      </c>
      <c r="BB930" s="2" t="s">
        <v>21</v>
      </c>
      <c r="BD930" s="2" t="s">
        <v>11776</v>
      </c>
      <c r="BE930" s="2" t="s">
        <v>11777</v>
      </c>
      <c r="BF930" s="2" t="s">
        <v>11778</v>
      </c>
    </row>
    <row r="931" spans="1:58" ht="42.75" customHeight="1" x14ac:dyDescent="0.25">
      <c r="A931" s="8" t="s">
        <v>8</v>
      </c>
      <c r="B931" s="1" t="s">
        <v>0</v>
      </c>
      <c r="C931" s="1" t="s">
        <v>1</v>
      </c>
      <c r="D931" s="1" t="s">
        <v>11779</v>
      </c>
      <c r="E931" s="1" t="s">
        <v>11780</v>
      </c>
      <c r="F931" s="1" t="s">
        <v>11781</v>
      </c>
      <c r="H931" s="2" t="s">
        <v>8</v>
      </c>
      <c r="I931" s="2" t="s">
        <v>7</v>
      </c>
      <c r="J931" s="2" t="s">
        <v>8</v>
      </c>
      <c r="K931" s="2" t="s">
        <v>8</v>
      </c>
      <c r="L931" s="2" t="s">
        <v>9</v>
      </c>
      <c r="N931" s="1" t="s">
        <v>1577</v>
      </c>
      <c r="O931" s="2" t="s">
        <v>627</v>
      </c>
      <c r="Q931" s="2" t="s">
        <v>12</v>
      </c>
      <c r="R931" s="2" t="s">
        <v>34</v>
      </c>
      <c r="T931" s="2" t="s">
        <v>14</v>
      </c>
      <c r="U931" s="3">
        <v>10</v>
      </c>
      <c r="V931" s="3">
        <v>10</v>
      </c>
      <c r="W931" s="4" t="s">
        <v>11782</v>
      </c>
      <c r="X931" s="4" t="s">
        <v>11782</v>
      </c>
      <c r="Y931" s="4" t="s">
        <v>2487</v>
      </c>
      <c r="Z931" s="4" t="s">
        <v>2487</v>
      </c>
      <c r="AA931" s="3">
        <v>89</v>
      </c>
      <c r="AB931" s="3">
        <v>69</v>
      </c>
      <c r="AC931" s="3">
        <v>92</v>
      </c>
      <c r="AD931" s="3">
        <v>1</v>
      </c>
      <c r="AE931" s="3">
        <v>1</v>
      </c>
      <c r="AF931" s="3">
        <v>1</v>
      </c>
      <c r="AG931" s="3">
        <v>1</v>
      </c>
      <c r="AH931" s="3">
        <v>0</v>
      </c>
      <c r="AI931" s="3">
        <v>0</v>
      </c>
      <c r="AJ931" s="3">
        <v>0</v>
      </c>
      <c r="AK931" s="3">
        <v>0</v>
      </c>
      <c r="AL931" s="3">
        <v>1</v>
      </c>
      <c r="AM931" s="3">
        <v>1</v>
      </c>
      <c r="AN931" s="3">
        <v>0</v>
      </c>
      <c r="AO931" s="3">
        <v>0</v>
      </c>
      <c r="AP931" s="3">
        <v>0</v>
      </c>
      <c r="AQ931" s="3">
        <v>0</v>
      </c>
      <c r="AR931" s="2" t="s">
        <v>8</v>
      </c>
      <c r="AS931" s="2" t="s">
        <v>6</v>
      </c>
      <c r="AT931" s="5" t="str">
        <f>HYPERLINK("http://catalog.hathitrust.org/Record/001823956","HathiTrust Record")</f>
        <v>HathiTrust Record</v>
      </c>
      <c r="AU931" s="5" t="str">
        <f>HYPERLINK("https://creighton-primo.hosted.exlibrisgroup.com/primo-explore/search?tab=default_tab&amp;search_scope=EVERYTHING&amp;vid=01CRU&amp;lang=en_US&amp;offset=0&amp;query=any,contains,991000761019702656","Catalog Record")</f>
        <v>Catalog Record</v>
      </c>
      <c r="AV931" s="5" t="str">
        <f>HYPERLINK("http://www.worldcat.org/oclc/19324675","WorldCat Record")</f>
        <v>WorldCat Record</v>
      </c>
      <c r="AW931" s="2" t="s">
        <v>11783</v>
      </c>
      <c r="AX931" s="2" t="s">
        <v>11784</v>
      </c>
      <c r="AY931" s="2" t="s">
        <v>11785</v>
      </c>
      <c r="AZ931" s="2" t="s">
        <v>11785</v>
      </c>
      <c r="BA931" s="2" t="s">
        <v>11786</v>
      </c>
      <c r="BB931" s="2" t="s">
        <v>21</v>
      </c>
      <c r="BD931" s="2" t="s">
        <v>11787</v>
      </c>
      <c r="BE931" s="2" t="s">
        <v>11788</v>
      </c>
      <c r="BF931" s="2" t="s">
        <v>11789</v>
      </c>
    </row>
    <row r="932" spans="1:58" ht="42.75" customHeight="1" x14ac:dyDescent="0.25">
      <c r="A932" s="8" t="s">
        <v>8</v>
      </c>
      <c r="B932" s="1" t="s">
        <v>0</v>
      </c>
      <c r="C932" s="1" t="s">
        <v>1</v>
      </c>
      <c r="D932" s="1" t="s">
        <v>11790</v>
      </c>
      <c r="E932" s="1" t="s">
        <v>11791</v>
      </c>
      <c r="F932" s="1" t="s">
        <v>11792</v>
      </c>
      <c r="H932" s="2" t="s">
        <v>8</v>
      </c>
      <c r="I932" s="2" t="s">
        <v>7</v>
      </c>
      <c r="J932" s="2" t="s">
        <v>8</v>
      </c>
      <c r="K932" s="2" t="s">
        <v>8</v>
      </c>
      <c r="L932" s="2" t="s">
        <v>9</v>
      </c>
      <c r="N932" s="1" t="s">
        <v>11793</v>
      </c>
      <c r="O932" s="2" t="s">
        <v>67</v>
      </c>
      <c r="Q932" s="2" t="s">
        <v>12</v>
      </c>
      <c r="R932" s="2" t="s">
        <v>643</v>
      </c>
      <c r="T932" s="2" t="s">
        <v>14</v>
      </c>
      <c r="U932" s="3">
        <v>5</v>
      </c>
      <c r="V932" s="3">
        <v>5</v>
      </c>
      <c r="W932" s="4" t="s">
        <v>11794</v>
      </c>
      <c r="X932" s="4" t="s">
        <v>11794</v>
      </c>
      <c r="Y932" s="4" t="s">
        <v>11795</v>
      </c>
      <c r="Z932" s="4" t="s">
        <v>11795</v>
      </c>
      <c r="AA932" s="3">
        <v>82</v>
      </c>
      <c r="AB932" s="3">
        <v>42</v>
      </c>
      <c r="AC932" s="3">
        <v>61</v>
      </c>
      <c r="AD932" s="3">
        <v>1</v>
      </c>
      <c r="AE932" s="3">
        <v>1</v>
      </c>
      <c r="AF932" s="3">
        <v>0</v>
      </c>
      <c r="AG932" s="3">
        <v>0</v>
      </c>
      <c r="AH932" s="3">
        <v>0</v>
      </c>
      <c r="AI932" s="3">
        <v>0</v>
      </c>
      <c r="AJ932" s="3">
        <v>0</v>
      </c>
      <c r="AK932" s="3">
        <v>0</v>
      </c>
      <c r="AL932" s="3">
        <v>0</v>
      </c>
      <c r="AM932" s="3">
        <v>0</v>
      </c>
      <c r="AN932" s="3">
        <v>0</v>
      </c>
      <c r="AO932" s="3">
        <v>0</v>
      </c>
      <c r="AP932" s="3">
        <v>0</v>
      </c>
      <c r="AQ932" s="3">
        <v>0</v>
      </c>
      <c r="AR932" s="2" t="s">
        <v>8</v>
      </c>
      <c r="AS932" s="2" t="s">
        <v>6</v>
      </c>
      <c r="AT932" s="5" t="str">
        <f>HYPERLINK("http://catalog.hathitrust.org/Record/000579700","HathiTrust Record")</f>
        <v>HathiTrust Record</v>
      </c>
      <c r="AU932" s="5" t="str">
        <f>HYPERLINK("https://creighton-primo.hosted.exlibrisgroup.com/primo-explore/search?tab=default_tab&amp;search_scope=EVERYTHING&amp;vid=01CRU&amp;lang=en_US&amp;offset=0&amp;query=any,contains,991001414799702656","Catalog Record")</f>
        <v>Catalog Record</v>
      </c>
      <c r="AV932" s="5" t="str">
        <f>HYPERLINK("http://www.worldcat.org/oclc/12082179","WorldCat Record")</f>
        <v>WorldCat Record</v>
      </c>
      <c r="AW932" s="2" t="s">
        <v>11796</v>
      </c>
      <c r="AX932" s="2" t="s">
        <v>11797</v>
      </c>
      <c r="AY932" s="2" t="s">
        <v>11798</v>
      </c>
      <c r="AZ932" s="2" t="s">
        <v>11798</v>
      </c>
      <c r="BA932" s="2" t="s">
        <v>11799</v>
      </c>
      <c r="BB932" s="2" t="s">
        <v>21</v>
      </c>
      <c r="BD932" s="2" t="s">
        <v>11800</v>
      </c>
      <c r="BE932" s="2" t="s">
        <v>11801</v>
      </c>
      <c r="BF932" s="2" t="s">
        <v>11802</v>
      </c>
    </row>
    <row r="933" spans="1:58" ht="42.75" customHeight="1" x14ac:dyDescent="0.25">
      <c r="A933" s="8" t="s">
        <v>8</v>
      </c>
      <c r="B933" s="1" t="s">
        <v>0</v>
      </c>
      <c r="C933" s="1" t="s">
        <v>1</v>
      </c>
      <c r="D933" s="1" t="s">
        <v>11803</v>
      </c>
      <c r="E933" s="1" t="s">
        <v>11804</v>
      </c>
      <c r="F933" s="1" t="s">
        <v>11805</v>
      </c>
      <c r="H933" s="2" t="s">
        <v>8</v>
      </c>
      <c r="I933" s="2" t="s">
        <v>7</v>
      </c>
      <c r="J933" s="2" t="s">
        <v>8</v>
      </c>
      <c r="K933" s="2" t="s">
        <v>8</v>
      </c>
      <c r="L933" s="2" t="s">
        <v>9</v>
      </c>
      <c r="N933" s="1" t="s">
        <v>11806</v>
      </c>
      <c r="O933" s="2" t="s">
        <v>589</v>
      </c>
      <c r="Q933" s="2" t="s">
        <v>12</v>
      </c>
      <c r="R933" s="2" t="s">
        <v>11807</v>
      </c>
      <c r="T933" s="2" t="s">
        <v>14</v>
      </c>
      <c r="U933" s="3">
        <v>4</v>
      </c>
      <c r="V933" s="3">
        <v>4</v>
      </c>
      <c r="W933" s="4" t="s">
        <v>1567</v>
      </c>
      <c r="X933" s="4" t="s">
        <v>1567</v>
      </c>
      <c r="Y933" s="4" t="s">
        <v>1567</v>
      </c>
      <c r="Z933" s="4" t="s">
        <v>1567</v>
      </c>
      <c r="AA933" s="3">
        <v>50</v>
      </c>
      <c r="AB933" s="3">
        <v>50</v>
      </c>
      <c r="AC933" s="3">
        <v>50</v>
      </c>
      <c r="AD933" s="3">
        <v>1</v>
      </c>
      <c r="AE933" s="3">
        <v>1</v>
      </c>
      <c r="AF933" s="3">
        <v>1</v>
      </c>
      <c r="AG933" s="3">
        <v>1</v>
      </c>
      <c r="AH933" s="3">
        <v>0</v>
      </c>
      <c r="AI933" s="3">
        <v>0</v>
      </c>
      <c r="AJ933" s="3">
        <v>0</v>
      </c>
      <c r="AK933" s="3">
        <v>0</v>
      </c>
      <c r="AL933" s="3">
        <v>1</v>
      </c>
      <c r="AM933" s="3">
        <v>1</v>
      </c>
      <c r="AN933" s="3">
        <v>0</v>
      </c>
      <c r="AO933" s="3">
        <v>0</v>
      </c>
      <c r="AP933" s="3">
        <v>0</v>
      </c>
      <c r="AQ933" s="3">
        <v>0</v>
      </c>
      <c r="AR933" s="2" t="s">
        <v>8</v>
      </c>
      <c r="AS933" s="2" t="s">
        <v>8</v>
      </c>
      <c r="AU933" s="5" t="str">
        <f>HYPERLINK("https://creighton-primo.hosted.exlibrisgroup.com/primo-explore/search?tab=default_tab&amp;search_scope=EVERYTHING&amp;vid=01CRU&amp;lang=en_US&amp;offset=0&amp;query=any,contains,991000940999702656","Catalog Record")</f>
        <v>Catalog Record</v>
      </c>
      <c r="AV933" s="5" t="str">
        <f>HYPERLINK("http://www.worldcat.org/oclc/24023518","WorldCat Record")</f>
        <v>WorldCat Record</v>
      </c>
      <c r="AW933" s="2" t="s">
        <v>11808</v>
      </c>
      <c r="AX933" s="2" t="s">
        <v>11809</v>
      </c>
      <c r="AY933" s="2" t="s">
        <v>11810</v>
      </c>
      <c r="AZ933" s="2" t="s">
        <v>11810</v>
      </c>
      <c r="BA933" s="2" t="s">
        <v>11811</v>
      </c>
      <c r="BB933" s="2" t="s">
        <v>21</v>
      </c>
      <c r="BD933" s="2" t="s">
        <v>11812</v>
      </c>
      <c r="BE933" s="2" t="s">
        <v>11813</v>
      </c>
      <c r="BF933" s="2" t="s">
        <v>11814</v>
      </c>
    </row>
    <row r="934" spans="1:58" ht="42.75" customHeight="1" x14ac:dyDescent="0.25">
      <c r="A934" s="8" t="s">
        <v>8</v>
      </c>
      <c r="B934" s="1" t="s">
        <v>0</v>
      </c>
      <c r="C934" s="1" t="s">
        <v>1</v>
      </c>
      <c r="D934" s="1" t="s">
        <v>11815</v>
      </c>
      <c r="E934" s="1" t="s">
        <v>11816</v>
      </c>
      <c r="F934" s="1" t="s">
        <v>11817</v>
      </c>
      <c r="H934" s="2" t="s">
        <v>8</v>
      </c>
      <c r="I934" s="2" t="s">
        <v>7</v>
      </c>
      <c r="J934" s="2" t="s">
        <v>8</v>
      </c>
      <c r="K934" s="2" t="s">
        <v>8</v>
      </c>
      <c r="L934" s="2" t="s">
        <v>9</v>
      </c>
      <c r="N934" s="1" t="s">
        <v>11818</v>
      </c>
      <c r="O934" s="2" t="s">
        <v>731</v>
      </c>
      <c r="Q934" s="2" t="s">
        <v>12</v>
      </c>
      <c r="R934" s="2" t="s">
        <v>933</v>
      </c>
      <c r="T934" s="2" t="s">
        <v>14</v>
      </c>
      <c r="U934" s="3">
        <v>0</v>
      </c>
      <c r="V934" s="3">
        <v>0</v>
      </c>
      <c r="W934" s="4" t="s">
        <v>11819</v>
      </c>
      <c r="X934" s="4" t="s">
        <v>11819</v>
      </c>
      <c r="Y934" s="4" t="s">
        <v>9381</v>
      </c>
      <c r="Z934" s="4" t="s">
        <v>9381</v>
      </c>
      <c r="AA934" s="3">
        <v>7</v>
      </c>
      <c r="AB934" s="3">
        <v>7</v>
      </c>
      <c r="AC934" s="3">
        <v>9</v>
      </c>
      <c r="AD934" s="3">
        <v>1</v>
      </c>
      <c r="AE934" s="3">
        <v>1</v>
      </c>
      <c r="AF934" s="3">
        <v>0</v>
      </c>
      <c r="AG934" s="3">
        <v>0</v>
      </c>
      <c r="AH934" s="3">
        <v>0</v>
      </c>
      <c r="AI934" s="3">
        <v>0</v>
      </c>
      <c r="AJ934" s="3">
        <v>0</v>
      </c>
      <c r="AK934" s="3">
        <v>0</v>
      </c>
      <c r="AL934" s="3">
        <v>0</v>
      </c>
      <c r="AM934" s="3">
        <v>0</v>
      </c>
      <c r="AN934" s="3">
        <v>0</v>
      </c>
      <c r="AO934" s="3">
        <v>0</v>
      </c>
      <c r="AP934" s="3">
        <v>0</v>
      </c>
      <c r="AQ934" s="3">
        <v>0</v>
      </c>
      <c r="AR934" s="2" t="s">
        <v>8</v>
      </c>
      <c r="AS934" s="2" t="s">
        <v>6</v>
      </c>
      <c r="AT934" s="5" t="str">
        <f>HYPERLINK("http://catalog.hathitrust.org/Record/010378872","HathiTrust Record")</f>
        <v>HathiTrust Record</v>
      </c>
      <c r="AU934" s="5" t="str">
        <f>HYPERLINK("https://creighton-primo.hosted.exlibrisgroup.com/primo-explore/search?tab=default_tab&amp;search_scope=EVERYTHING&amp;vid=01CRU&amp;lang=en_US&amp;offset=0&amp;query=any,contains,991000271829702656","Catalog Record")</f>
        <v>Catalog Record</v>
      </c>
      <c r="AV934" s="5" t="str">
        <f>HYPERLINK("http://www.worldcat.org/oclc/40456587","WorldCat Record")</f>
        <v>WorldCat Record</v>
      </c>
      <c r="AW934" s="2" t="s">
        <v>11820</v>
      </c>
      <c r="AX934" s="2" t="s">
        <v>11821</v>
      </c>
      <c r="AY934" s="2" t="s">
        <v>11822</v>
      </c>
      <c r="AZ934" s="2" t="s">
        <v>11822</v>
      </c>
      <c r="BA934" s="2" t="s">
        <v>11823</v>
      </c>
      <c r="BB934" s="2" t="s">
        <v>21</v>
      </c>
      <c r="BE934" s="2" t="s">
        <v>11824</v>
      </c>
      <c r="BF934" s="2" t="s">
        <v>11825</v>
      </c>
    </row>
    <row r="935" spans="1:58" ht="42.75" customHeight="1" x14ac:dyDescent="0.25">
      <c r="A935" s="8" t="s">
        <v>8</v>
      </c>
      <c r="B935" s="1" t="s">
        <v>0</v>
      </c>
      <c r="C935" s="1" t="s">
        <v>1</v>
      </c>
      <c r="D935" s="1" t="s">
        <v>11826</v>
      </c>
      <c r="E935" s="1" t="s">
        <v>11827</v>
      </c>
      <c r="F935" s="1" t="s">
        <v>11828</v>
      </c>
      <c r="H935" s="2" t="s">
        <v>8</v>
      </c>
      <c r="I935" s="2" t="s">
        <v>7</v>
      </c>
      <c r="J935" s="2" t="s">
        <v>8</v>
      </c>
      <c r="K935" s="2" t="s">
        <v>8</v>
      </c>
      <c r="L935" s="2" t="s">
        <v>9</v>
      </c>
      <c r="M935" s="1" t="s">
        <v>11829</v>
      </c>
      <c r="N935" s="1" t="s">
        <v>11830</v>
      </c>
      <c r="O935" s="2" t="s">
        <v>67</v>
      </c>
      <c r="P935" s="1" t="s">
        <v>83</v>
      </c>
      <c r="Q935" s="2" t="s">
        <v>12</v>
      </c>
      <c r="R935" s="2" t="s">
        <v>34</v>
      </c>
      <c r="T935" s="2" t="s">
        <v>14</v>
      </c>
      <c r="U935" s="3">
        <v>8</v>
      </c>
      <c r="V935" s="3">
        <v>8</v>
      </c>
      <c r="W935" s="4" t="s">
        <v>11831</v>
      </c>
      <c r="X935" s="4" t="s">
        <v>11831</v>
      </c>
      <c r="Y935" s="4" t="s">
        <v>1553</v>
      </c>
      <c r="Z935" s="4" t="s">
        <v>1553</v>
      </c>
      <c r="AA935" s="3">
        <v>108</v>
      </c>
      <c r="AB935" s="3">
        <v>90</v>
      </c>
      <c r="AC935" s="3">
        <v>135</v>
      </c>
      <c r="AD935" s="3">
        <v>1</v>
      </c>
      <c r="AE935" s="3">
        <v>1</v>
      </c>
      <c r="AF935" s="3">
        <v>2</v>
      </c>
      <c r="AG935" s="3">
        <v>2</v>
      </c>
      <c r="AH935" s="3">
        <v>0</v>
      </c>
      <c r="AI935" s="3">
        <v>0</v>
      </c>
      <c r="AJ935" s="3">
        <v>1</v>
      </c>
      <c r="AK935" s="3">
        <v>1</v>
      </c>
      <c r="AL935" s="3">
        <v>1</v>
      </c>
      <c r="AM935" s="3">
        <v>1</v>
      </c>
      <c r="AN935" s="3">
        <v>0</v>
      </c>
      <c r="AO935" s="3">
        <v>0</v>
      </c>
      <c r="AP935" s="3">
        <v>0</v>
      </c>
      <c r="AQ935" s="3">
        <v>0</v>
      </c>
      <c r="AR935" s="2" t="s">
        <v>8</v>
      </c>
      <c r="AS935" s="2" t="s">
        <v>6</v>
      </c>
      <c r="AT935" s="5" t="str">
        <f>HYPERLINK("http://catalog.hathitrust.org/Record/000376415","HathiTrust Record")</f>
        <v>HathiTrust Record</v>
      </c>
      <c r="AU935" s="5" t="str">
        <f>HYPERLINK("https://creighton-primo.hosted.exlibrisgroup.com/primo-explore/search?tab=default_tab&amp;search_scope=EVERYTHING&amp;vid=01CRU&amp;lang=en_US&amp;offset=0&amp;query=any,contains,991000660829702656","Catalog Record")</f>
        <v>Catalog Record</v>
      </c>
      <c r="AV935" s="5" t="str">
        <f>HYPERLINK("http://www.worldcat.org/oclc/12215043","WorldCat Record")</f>
        <v>WorldCat Record</v>
      </c>
      <c r="AW935" s="2" t="s">
        <v>11832</v>
      </c>
      <c r="AX935" s="2" t="s">
        <v>11833</v>
      </c>
      <c r="AY935" s="2" t="s">
        <v>11834</v>
      </c>
      <c r="AZ935" s="2" t="s">
        <v>11834</v>
      </c>
      <c r="BA935" s="2" t="s">
        <v>11835</v>
      </c>
      <c r="BB935" s="2" t="s">
        <v>21</v>
      </c>
      <c r="BD935" s="2" t="s">
        <v>11836</v>
      </c>
      <c r="BE935" s="2" t="s">
        <v>11837</v>
      </c>
      <c r="BF935" s="2" t="s">
        <v>11838</v>
      </c>
    </row>
    <row r="936" spans="1:58" ht="42.75" customHeight="1" x14ac:dyDescent="0.25">
      <c r="A936" s="8" t="s">
        <v>8</v>
      </c>
      <c r="B936" s="1" t="s">
        <v>0</v>
      </c>
      <c r="C936" s="1" t="s">
        <v>1</v>
      </c>
      <c r="D936" s="1" t="s">
        <v>11839</v>
      </c>
      <c r="E936" s="1" t="s">
        <v>11840</v>
      </c>
      <c r="F936" s="1" t="s">
        <v>11841</v>
      </c>
      <c r="H936" s="2" t="s">
        <v>8</v>
      </c>
      <c r="I936" s="2" t="s">
        <v>7</v>
      </c>
      <c r="J936" s="2" t="s">
        <v>8</v>
      </c>
      <c r="K936" s="2" t="s">
        <v>8</v>
      </c>
      <c r="L936" s="2" t="s">
        <v>7</v>
      </c>
      <c r="M936" s="1" t="s">
        <v>11842</v>
      </c>
      <c r="N936" s="1" t="s">
        <v>11843</v>
      </c>
      <c r="O936" s="2" t="s">
        <v>642</v>
      </c>
      <c r="Q936" s="2" t="s">
        <v>12</v>
      </c>
      <c r="R936" s="2" t="s">
        <v>643</v>
      </c>
      <c r="T936" s="2" t="s">
        <v>14</v>
      </c>
      <c r="U936" s="3">
        <v>3</v>
      </c>
      <c r="V936" s="3">
        <v>3</v>
      </c>
      <c r="W936" s="4" t="s">
        <v>11000</v>
      </c>
      <c r="X936" s="4" t="s">
        <v>11000</v>
      </c>
      <c r="Y936" s="4" t="s">
        <v>644</v>
      </c>
      <c r="Z936" s="4" t="s">
        <v>644</v>
      </c>
      <c r="AA936" s="3">
        <v>147</v>
      </c>
      <c r="AB936" s="3">
        <v>80</v>
      </c>
      <c r="AC936" s="3">
        <v>1048</v>
      </c>
      <c r="AD936" s="3">
        <v>1</v>
      </c>
      <c r="AE936" s="3">
        <v>15</v>
      </c>
      <c r="AF936" s="3">
        <v>4</v>
      </c>
      <c r="AG936" s="3">
        <v>45</v>
      </c>
      <c r="AH936" s="3">
        <v>1</v>
      </c>
      <c r="AI936" s="3">
        <v>12</v>
      </c>
      <c r="AJ936" s="3">
        <v>1</v>
      </c>
      <c r="AK936" s="3">
        <v>10</v>
      </c>
      <c r="AL936" s="3">
        <v>4</v>
      </c>
      <c r="AM936" s="3">
        <v>16</v>
      </c>
      <c r="AN936" s="3">
        <v>0</v>
      </c>
      <c r="AO936" s="3">
        <v>13</v>
      </c>
      <c r="AP936" s="3">
        <v>0</v>
      </c>
      <c r="AQ936" s="3">
        <v>2</v>
      </c>
      <c r="AR936" s="2" t="s">
        <v>8</v>
      </c>
      <c r="AS936" s="2" t="s">
        <v>6</v>
      </c>
      <c r="AT936" s="5" t="str">
        <f>HYPERLINK("http://catalog.hathitrust.org/Record/004734836","HathiTrust Record")</f>
        <v>HathiTrust Record</v>
      </c>
      <c r="AU936" s="5" t="str">
        <f>HYPERLINK("https://creighton-primo.hosted.exlibrisgroup.com/primo-explore/search?tab=default_tab&amp;search_scope=EVERYTHING&amp;vid=01CRU&amp;lang=en_US&amp;offset=0&amp;query=any,contains,991000389049702656","Catalog Record")</f>
        <v>Catalog Record</v>
      </c>
      <c r="AV936" s="5" t="str">
        <f>HYPERLINK("http://www.worldcat.org/oclc/54858246","WorldCat Record")</f>
        <v>WorldCat Record</v>
      </c>
      <c r="AW936" s="2" t="s">
        <v>11844</v>
      </c>
      <c r="AX936" s="2" t="s">
        <v>11845</v>
      </c>
      <c r="AY936" s="2" t="s">
        <v>11846</v>
      </c>
      <c r="AZ936" s="2" t="s">
        <v>11846</v>
      </c>
      <c r="BA936" s="2" t="s">
        <v>11847</v>
      </c>
      <c r="BB936" s="2" t="s">
        <v>21</v>
      </c>
      <c r="BD936" s="2" t="s">
        <v>11848</v>
      </c>
      <c r="BE936" s="2" t="s">
        <v>11849</v>
      </c>
      <c r="BF936" s="2" t="s">
        <v>11850</v>
      </c>
    </row>
    <row r="937" spans="1:58" ht="42.75" customHeight="1" x14ac:dyDescent="0.25">
      <c r="A937" s="8" t="s">
        <v>8</v>
      </c>
      <c r="B937" s="1" t="s">
        <v>0</v>
      </c>
      <c r="C937" s="1" t="s">
        <v>1</v>
      </c>
      <c r="D937" s="1" t="s">
        <v>11851</v>
      </c>
      <c r="E937" s="1" t="s">
        <v>11852</v>
      </c>
      <c r="F937" s="1" t="s">
        <v>11853</v>
      </c>
      <c r="H937" s="2" t="s">
        <v>8</v>
      </c>
      <c r="I937" s="2" t="s">
        <v>7</v>
      </c>
      <c r="J937" s="2" t="s">
        <v>8</v>
      </c>
      <c r="K937" s="2" t="s">
        <v>8</v>
      </c>
      <c r="L937" s="2" t="s">
        <v>9</v>
      </c>
      <c r="M937" s="1" t="s">
        <v>11854</v>
      </c>
      <c r="N937" s="1" t="s">
        <v>11855</v>
      </c>
      <c r="O937" s="2" t="s">
        <v>731</v>
      </c>
      <c r="Q937" s="2" t="s">
        <v>12</v>
      </c>
      <c r="R937" s="2" t="s">
        <v>5455</v>
      </c>
      <c r="T937" s="2" t="s">
        <v>14</v>
      </c>
      <c r="U937" s="3">
        <v>5</v>
      </c>
      <c r="V937" s="3">
        <v>5</v>
      </c>
      <c r="W937" s="4" t="s">
        <v>11856</v>
      </c>
      <c r="X937" s="4" t="s">
        <v>11856</v>
      </c>
      <c r="Y937" s="4" t="s">
        <v>6526</v>
      </c>
      <c r="Z937" s="4" t="s">
        <v>6526</v>
      </c>
      <c r="AA937" s="3">
        <v>113</v>
      </c>
      <c r="AB937" s="3">
        <v>80</v>
      </c>
      <c r="AC937" s="3">
        <v>735</v>
      </c>
      <c r="AD937" s="3">
        <v>1</v>
      </c>
      <c r="AE937" s="3">
        <v>2</v>
      </c>
      <c r="AF937" s="3">
        <v>1</v>
      </c>
      <c r="AG937" s="3">
        <v>8</v>
      </c>
      <c r="AH937" s="3">
        <v>0</v>
      </c>
      <c r="AI937" s="3">
        <v>5</v>
      </c>
      <c r="AJ937" s="3">
        <v>0</v>
      </c>
      <c r="AK937" s="3">
        <v>0</v>
      </c>
      <c r="AL937" s="3">
        <v>1</v>
      </c>
      <c r="AM937" s="3">
        <v>3</v>
      </c>
      <c r="AN937" s="3">
        <v>0</v>
      </c>
      <c r="AO937" s="3">
        <v>1</v>
      </c>
      <c r="AP937" s="3">
        <v>0</v>
      </c>
      <c r="AQ937" s="3">
        <v>0</v>
      </c>
      <c r="AR937" s="2" t="s">
        <v>8</v>
      </c>
      <c r="AS937" s="2" t="s">
        <v>6</v>
      </c>
      <c r="AT937" s="5" t="str">
        <f>HYPERLINK("http://catalog.hathitrust.org/Record/003971397","HathiTrust Record")</f>
        <v>HathiTrust Record</v>
      </c>
      <c r="AU937" s="5" t="str">
        <f>HYPERLINK("https://creighton-primo.hosted.exlibrisgroup.com/primo-explore/search?tab=default_tab&amp;search_scope=EVERYTHING&amp;vid=01CRU&amp;lang=en_US&amp;offset=0&amp;query=any,contains,991001570649702656","Catalog Record")</f>
        <v>Catalog Record</v>
      </c>
      <c r="AV937" s="5" t="str">
        <f>HYPERLINK("http://www.worldcat.org/oclc/38547758","WorldCat Record")</f>
        <v>WorldCat Record</v>
      </c>
      <c r="AW937" s="2" t="s">
        <v>11857</v>
      </c>
      <c r="AX937" s="2" t="s">
        <v>11858</v>
      </c>
      <c r="AY937" s="2" t="s">
        <v>11859</v>
      </c>
      <c r="AZ937" s="2" t="s">
        <v>11859</v>
      </c>
      <c r="BA937" s="2" t="s">
        <v>11860</v>
      </c>
      <c r="BB937" s="2" t="s">
        <v>21</v>
      </c>
      <c r="BD937" s="2" t="s">
        <v>11861</v>
      </c>
      <c r="BE937" s="2" t="s">
        <v>11862</v>
      </c>
      <c r="BF937" s="2" t="s">
        <v>11863</v>
      </c>
    </row>
    <row r="938" spans="1:58" ht="42.75" customHeight="1" x14ac:dyDescent="0.25">
      <c r="A938" s="8" t="s">
        <v>8</v>
      </c>
      <c r="B938" s="1" t="s">
        <v>0</v>
      </c>
      <c r="C938" s="1" t="s">
        <v>1</v>
      </c>
      <c r="D938" s="1" t="s">
        <v>11864</v>
      </c>
      <c r="E938" s="1" t="s">
        <v>11865</v>
      </c>
      <c r="F938" s="1" t="s">
        <v>11866</v>
      </c>
      <c r="H938" s="2" t="s">
        <v>8</v>
      </c>
      <c r="I938" s="2" t="s">
        <v>7</v>
      </c>
      <c r="J938" s="2" t="s">
        <v>8</v>
      </c>
      <c r="K938" s="2" t="s">
        <v>8</v>
      </c>
      <c r="L938" s="2" t="s">
        <v>9</v>
      </c>
      <c r="M938" s="1" t="s">
        <v>11867</v>
      </c>
      <c r="N938" s="1" t="s">
        <v>11868</v>
      </c>
      <c r="O938" s="2" t="s">
        <v>602</v>
      </c>
      <c r="Q938" s="2" t="s">
        <v>12</v>
      </c>
      <c r="R938" s="2" t="s">
        <v>267</v>
      </c>
      <c r="T938" s="2" t="s">
        <v>14</v>
      </c>
      <c r="U938" s="3">
        <v>15</v>
      </c>
      <c r="V938" s="3">
        <v>15</v>
      </c>
      <c r="W938" s="4" t="s">
        <v>8668</v>
      </c>
      <c r="X938" s="4" t="s">
        <v>8668</v>
      </c>
      <c r="Y938" s="4" t="s">
        <v>11869</v>
      </c>
      <c r="Z938" s="4" t="s">
        <v>11869</v>
      </c>
      <c r="AA938" s="3">
        <v>67</v>
      </c>
      <c r="AB938" s="3">
        <v>67</v>
      </c>
      <c r="AC938" s="3">
        <v>70</v>
      </c>
      <c r="AD938" s="3">
        <v>1</v>
      </c>
      <c r="AE938" s="3">
        <v>1</v>
      </c>
      <c r="AF938" s="3">
        <v>2</v>
      </c>
      <c r="AG938" s="3">
        <v>2</v>
      </c>
      <c r="AH938" s="3">
        <v>0</v>
      </c>
      <c r="AI938" s="3">
        <v>0</v>
      </c>
      <c r="AJ938" s="3">
        <v>0</v>
      </c>
      <c r="AK938" s="3">
        <v>0</v>
      </c>
      <c r="AL938" s="3">
        <v>2</v>
      </c>
      <c r="AM938" s="3">
        <v>2</v>
      </c>
      <c r="AN938" s="3">
        <v>0</v>
      </c>
      <c r="AO938" s="3">
        <v>0</v>
      </c>
      <c r="AP938" s="3">
        <v>0</v>
      </c>
      <c r="AQ938" s="3">
        <v>0</v>
      </c>
      <c r="AR938" s="2" t="s">
        <v>8</v>
      </c>
      <c r="AS938" s="2" t="s">
        <v>6</v>
      </c>
      <c r="AT938" s="5" t="str">
        <f>HYPERLINK("http://catalog.hathitrust.org/Record/002698810","HathiTrust Record")</f>
        <v>HathiTrust Record</v>
      </c>
      <c r="AU938" s="5" t="str">
        <f>HYPERLINK("https://creighton-primo.hosted.exlibrisgroup.com/primo-explore/search?tab=default_tab&amp;search_scope=EVERYTHING&amp;vid=01CRU&amp;lang=en_US&amp;offset=0&amp;query=any,contains,991001477489702656","Catalog Record")</f>
        <v>Catalog Record</v>
      </c>
      <c r="AV938" s="5" t="str">
        <f>HYPERLINK("http://www.worldcat.org/oclc/29702478","WorldCat Record")</f>
        <v>WorldCat Record</v>
      </c>
      <c r="AW938" s="2" t="s">
        <v>11870</v>
      </c>
      <c r="AX938" s="2" t="s">
        <v>11871</v>
      </c>
      <c r="AY938" s="2" t="s">
        <v>11872</v>
      </c>
      <c r="AZ938" s="2" t="s">
        <v>11872</v>
      </c>
      <c r="BA938" s="2" t="s">
        <v>11873</v>
      </c>
      <c r="BB938" s="2" t="s">
        <v>21</v>
      </c>
      <c r="BE938" s="2" t="s">
        <v>11874</v>
      </c>
      <c r="BF938" s="2" t="s">
        <v>11875</v>
      </c>
    </row>
    <row r="939" spans="1:58" ht="42.75" customHeight="1" x14ac:dyDescent="0.25">
      <c r="A939" s="8" t="s">
        <v>8</v>
      </c>
      <c r="B939" s="1" t="s">
        <v>0</v>
      </c>
      <c r="C939" s="1" t="s">
        <v>1</v>
      </c>
      <c r="D939" s="1" t="s">
        <v>11876</v>
      </c>
      <c r="E939" s="1" t="s">
        <v>11877</v>
      </c>
      <c r="F939" s="1" t="s">
        <v>11878</v>
      </c>
      <c r="H939" s="2" t="s">
        <v>8</v>
      </c>
      <c r="I939" s="2" t="s">
        <v>7</v>
      </c>
      <c r="J939" s="2" t="s">
        <v>8</v>
      </c>
      <c r="K939" s="2" t="s">
        <v>8</v>
      </c>
      <c r="L939" s="2" t="s">
        <v>9</v>
      </c>
      <c r="M939" s="1" t="s">
        <v>11879</v>
      </c>
      <c r="N939" s="1" t="s">
        <v>6716</v>
      </c>
      <c r="O939" s="2" t="s">
        <v>814</v>
      </c>
      <c r="P939" s="1" t="s">
        <v>732</v>
      </c>
      <c r="Q939" s="2" t="s">
        <v>12</v>
      </c>
      <c r="R939" s="2" t="s">
        <v>456</v>
      </c>
      <c r="T939" s="2" t="s">
        <v>14</v>
      </c>
      <c r="U939" s="3">
        <v>8</v>
      </c>
      <c r="V939" s="3">
        <v>8</v>
      </c>
      <c r="W939" s="4" t="s">
        <v>11880</v>
      </c>
      <c r="X939" s="4" t="s">
        <v>11880</v>
      </c>
      <c r="Y939" s="4" t="s">
        <v>11881</v>
      </c>
      <c r="Z939" s="4" t="s">
        <v>11881</v>
      </c>
      <c r="AA939" s="3">
        <v>125</v>
      </c>
      <c r="AB939" s="3">
        <v>97</v>
      </c>
      <c r="AC939" s="3">
        <v>240</v>
      </c>
      <c r="AD939" s="3">
        <v>1</v>
      </c>
      <c r="AE939" s="3">
        <v>3</v>
      </c>
      <c r="AF939" s="3">
        <v>3</v>
      </c>
      <c r="AG939" s="3">
        <v>9</v>
      </c>
      <c r="AH939" s="3">
        <v>0</v>
      </c>
      <c r="AI939" s="3">
        <v>2</v>
      </c>
      <c r="AJ939" s="3">
        <v>1</v>
      </c>
      <c r="AK939" s="3">
        <v>2</v>
      </c>
      <c r="AL939" s="3">
        <v>2</v>
      </c>
      <c r="AM939" s="3">
        <v>4</v>
      </c>
      <c r="AN939" s="3">
        <v>0</v>
      </c>
      <c r="AO939" s="3">
        <v>2</v>
      </c>
      <c r="AP939" s="3">
        <v>0</v>
      </c>
      <c r="AQ939" s="3">
        <v>0</v>
      </c>
      <c r="AR939" s="2" t="s">
        <v>8</v>
      </c>
      <c r="AS939" s="2" t="s">
        <v>6</v>
      </c>
      <c r="AT939" s="5" t="str">
        <f>HYPERLINK("http://catalog.hathitrust.org/Record/004066758","HathiTrust Record")</f>
        <v>HathiTrust Record</v>
      </c>
      <c r="AU939" s="5" t="str">
        <f>HYPERLINK("https://creighton-primo.hosted.exlibrisgroup.com/primo-explore/search?tab=default_tab&amp;search_scope=EVERYTHING&amp;vid=01CRU&amp;lang=en_US&amp;offset=0&amp;query=any,contains,991001442469702656","Catalog Record")</f>
        <v>Catalog Record</v>
      </c>
      <c r="AV939" s="5" t="str">
        <f>HYPERLINK("http://www.worldcat.org/oclc/40869654","WorldCat Record")</f>
        <v>WorldCat Record</v>
      </c>
      <c r="AW939" s="2" t="s">
        <v>11882</v>
      </c>
      <c r="AX939" s="2" t="s">
        <v>11883</v>
      </c>
      <c r="AY939" s="2" t="s">
        <v>11884</v>
      </c>
      <c r="AZ939" s="2" t="s">
        <v>11884</v>
      </c>
      <c r="BA939" s="2" t="s">
        <v>11885</v>
      </c>
      <c r="BB939" s="2" t="s">
        <v>21</v>
      </c>
      <c r="BD939" s="2" t="s">
        <v>11886</v>
      </c>
      <c r="BE939" s="2" t="s">
        <v>11887</v>
      </c>
      <c r="BF939" s="2" t="s">
        <v>11888</v>
      </c>
    </row>
    <row r="940" spans="1:58" ht="42.75" customHeight="1" x14ac:dyDescent="0.25">
      <c r="A940" s="8" t="s">
        <v>8</v>
      </c>
      <c r="B940" s="1" t="s">
        <v>0</v>
      </c>
      <c r="C940" s="1" t="s">
        <v>1</v>
      </c>
      <c r="D940" s="1" t="s">
        <v>11889</v>
      </c>
      <c r="E940" s="1" t="s">
        <v>11890</v>
      </c>
      <c r="F940" s="1" t="s">
        <v>11891</v>
      </c>
      <c r="H940" s="2" t="s">
        <v>8</v>
      </c>
      <c r="I940" s="2" t="s">
        <v>7</v>
      </c>
      <c r="J940" s="2" t="s">
        <v>8</v>
      </c>
      <c r="K940" s="2" t="s">
        <v>8</v>
      </c>
      <c r="L940" s="2" t="s">
        <v>9</v>
      </c>
      <c r="M940" s="1" t="s">
        <v>11892</v>
      </c>
      <c r="N940" s="1" t="s">
        <v>11893</v>
      </c>
      <c r="O940" s="2" t="s">
        <v>11</v>
      </c>
      <c r="Q940" s="2" t="s">
        <v>12</v>
      </c>
      <c r="R940" s="2" t="s">
        <v>13</v>
      </c>
      <c r="S940" s="1" t="s">
        <v>11894</v>
      </c>
      <c r="T940" s="2" t="s">
        <v>14</v>
      </c>
      <c r="U940" s="3">
        <v>15</v>
      </c>
      <c r="V940" s="3">
        <v>15</v>
      </c>
      <c r="W940" s="4" t="s">
        <v>482</v>
      </c>
      <c r="X940" s="4" t="s">
        <v>482</v>
      </c>
      <c r="Y940" s="4" t="s">
        <v>16</v>
      </c>
      <c r="Z940" s="4" t="s">
        <v>16</v>
      </c>
      <c r="AA940" s="3">
        <v>295</v>
      </c>
      <c r="AB940" s="3">
        <v>275</v>
      </c>
      <c r="AC940" s="3">
        <v>277</v>
      </c>
      <c r="AD940" s="3">
        <v>3</v>
      </c>
      <c r="AE940" s="3">
        <v>3</v>
      </c>
      <c r="AF940" s="3">
        <v>6</v>
      </c>
      <c r="AG940" s="3">
        <v>6</v>
      </c>
      <c r="AH940" s="3">
        <v>2</v>
      </c>
      <c r="AI940" s="3">
        <v>2</v>
      </c>
      <c r="AJ940" s="3">
        <v>1</v>
      </c>
      <c r="AK940" s="3">
        <v>1</v>
      </c>
      <c r="AL940" s="3">
        <v>3</v>
      </c>
      <c r="AM940" s="3">
        <v>3</v>
      </c>
      <c r="AN940" s="3">
        <v>2</v>
      </c>
      <c r="AO940" s="3">
        <v>2</v>
      </c>
      <c r="AP940" s="3">
        <v>0</v>
      </c>
      <c r="AQ940" s="3">
        <v>0</v>
      </c>
      <c r="AR940" s="2" t="s">
        <v>8</v>
      </c>
      <c r="AS940" s="2" t="s">
        <v>6</v>
      </c>
      <c r="AT940" s="5" t="str">
        <f>HYPERLINK("http://catalog.hathitrust.org/Record/000744011","HathiTrust Record")</f>
        <v>HathiTrust Record</v>
      </c>
      <c r="AU940" s="5" t="str">
        <f>HYPERLINK("https://creighton-primo.hosted.exlibrisgroup.com/primo-explore/search?tab=default_tab&amp;search_scope=EVERYTHING&amp;vid=01CRU&amp;lang=en_US&amp;offset=0&amp;query=any,contains,991000661929702656","Catalog Record")</f>
        <v>Catalog Record</v>
      </c>
      <c r="AV940" s="5" t="str">
        <f>HYPERLINK("http://www.worldcat.org/oclc/2415549","WorldCat Record")</f>
        <v>WorldCat Record</v>
      </c>
      <c r="AW940" s="2" t="s">
        <v>11895</v>
      </c>
      <c r="AX940" s="2" t="s">
        <v>11896</v>
      </c>
      <c r="AY940" s="2" t="s">
        <v>11897</v>
      </c>
      <c r="AZ940" s="2" t="s">
        <v>11897</v>
      </c>
      <c r="BA940" s="2" t="s">
        <v>11898</v>
      </c>
      <c r="BB940" s="2" t="s">
        <v>21</v>
      </c>
      <c r="BD940" s="2" t="s">
        <v>11899</v>
      </c>
      <c r="BE940" s="2" t="s">
        <v>11900</v>
      </c>
      <c r="BF940" s="2" t="s">
        <v>11901</v>
      </c>
    </row>
    <row r="941" spans="1:58" ht="42.75" customHeight="1" x14ac:dyDescent="0.25">
      <c r="A941" s="8" t="s">
        <v>8</v>
      </c>
      <c r="B941" s="1" t="s">
        <v>0</v>
      </c>
      <c r="C941" s="1" t="s">
        <v>1</v>
      </c>
      <c r="D941" s="1" t="s">
        <v>11902</v>
      </c>
      <c r="E941" s="1" t="s">
        <v>11903</v>
      </c>
      <c r="F941" s="1" t="s">
        <v>11904</v>
      </c>
      <c r="H941" s="2" t="s">
        <v>8</v>
      </c>
      <c r="I941" s="2" t="s">
        <v>7</v>
      </c>
      <c r="J941" s="2" t="s">
        <v>8</v>
      </c>
      <c r="K941" s="2" t="s">
        <v>8</v>
      </c>
      <c r="L941" s="2" t="s">
        <v>9</v>
      </c>
      <c r="M941" s="1" t="s">
        <v>11905</v>
      </c>
      <c r="N941" s="1" t="s">
        <v>11906</v>
      </c>
      <c r="O941" s="2" t="s">
        <v>410</v>
      </c>
      <c r="P941" s="1" t="s">
        <v>11907</v>
      </c>
      <c r="Q941" s="2" t="s">
        <v>12</v>
      </c>
      <c r="R941" s="2" t="s">
        <v>520</v>
      </c>
      <c r="T941" s="2" t="s">
        <v>14</v>
      </c>
      <c r="U941" s="3">
        <v>3</v>
      </c>
      <c r="V941" s="3">
        <v>3</v>
      </c>
      <c r="W941" s="4" t="s">
        <v>11908</v>
      </c>
      <c r="X941" s="4" t="s">
        <v>11908</v>
      </c>
      <c r="Y941" s="4" t="s">
        <v>1087</v>
      </c>
      <c r="Z941" s="4" t="s">
        <v>1087</v>
      </c>
      <c r="AA941" s="3">
        <v>17</v>
      </c>
      <c r="AB941" s="3">
        <v>17</v>
      </c>
      <c r="AC941" s="3">
        <v>125</v>
      </c>
      <c r="AD941" s="3">
        <v>1</v>
      </c>
      <c r="AE941" s="3">
        <v>1</v>
      </c>
      <c r="AF941" s="3">
        <v>1</v>
      </c>
      <c r="AG941" s="3">
        <v>2</v>
      </c>
      <c r="AH941" s="3">
        <v>0</v>
      </c>
      <c r="AI941" s="3">
        <v>0</v>
      </c>
      <c r="AJ941" s="3">
        <v>0</v>
      </c>
      <c r="AK941" s="3">
        <v>0</v>
      </c>
      <c r="AL941" s="3">
        <v>1</v>
      </c>
      <c r="AM941" s="3">
        <v>1</v>
      </c>
      <c r="AN941" s="3">
        <v>0</v>
      </c>
      <c r="AO941" s="3">
        <v>0</v>
      </c>
      <c r="AP941" s="3">
        <v>0</v>
      </c>
      <c r="AQ941" s="3">
        <v>1</v>
      </c>
      <c r="AR941" s="2" t="s">
        <v>8</v>
      </c>
      <c r="AS941" s="2" t="s">
        <v>8</v>
      </c>
      <c r="AU941" s="5" t="str">
        <f>HYPERLINK("https://creighton-primo.hosted.exlibrisgroup.com/primo-explore/search?tab=default_tab&amp;search_scope=EVERYTHING&amp;vid=01CRU&amp;lang=en_US&amp;offset=0&amp;query=any,contains,991001233379702656","Catalog Record")</f>
        <v>Catalog Record</v>
      </c>
      <c r="AV941" s="5" t="str">
        <f>HYPERLINK("http://www.worldcat.org/oclc/27000523","WorldCat Record")</f>
        <v>WorldCat Record</v>
      </c>
      <c r="AW941" s="2" t="s">
        <v>11909</v>
      </c>
      <c r="AX941" s="2" t="s">
        <v>11910</v>
      </c>
      <c r="AY941" s="2" t="s">
        <v>11911</v>
      </c>
      <c r="AZ941" s="2" t="s">
        <v>11911</v>
      </c>
      <c r="BA941" s="2" t="s">
        <v>11912</v>
      </c>
      <c r="BB941" s="2" t="s">
        <v>21</v>
      </c>
      <c r="BD941" s="2" t="s">
        <v>11913</v>
      </c>
      <c r="BE941" s="2" t="s">
        <v>11914</v>
      </c>
      <c r="BF941" s="2" t="s">
        <v>11915</v>
      </c>
    </row>
    <row r="942" spans="1:58" ht="42.75" customHeight="1" x14ac:dyDescent="0.25">
      <c r="A942" s="8" t="s">
        <v>8</v>
      </c>
      <c r="B942" s="1" t="s">
        <v>0</v>
      </c>
      <c r="C942" s="1" t="s">
        <v>1</v>
      </c>
      <c r="D942" s="1" t="s">
        <v>11916</v>
      </c>
      <c r="E942" s="1" t="s">
        <v>11917</v>
      </c>
      <c r="F942" s="1" t="s">
        <v>11918</v>
      </c>
      <c r="H942" s="2" t="s">
        <v>8</v>
      </c>
      <c r="I942" s="2" t="s">
        <v>7</v>
      </c>
      <c r="J942" s="2" t="s">
        <v>8</v>
      </c>
      <c r="K942" s="2" t="s">
        <v>8</v>
      </c>
      <c r="L942" s="2" t="s">
        <v>9</v>
      </c>
      <c r="N942" s="1" t="s">
        <v>11919</v>
      </c>
      <c r="O942" s="2" t="s">
        <v>410</v>
      </c>
      <c r="Q942" s="2" t="s">
        <v>12</v>
      </c>
      <c r="R942" s="2" t="s">
        <v>520</v>
      </c>
      <c r="T942" s="2" t="s">
        <v>14</v>
      </c>
      <c r="U942" s="3">
        <v>4</v>
      </c>
      <c r="V942" s="3">
        <v>4</v>
      </c>
      <c r="W942" s="4" t="s">
        <v>11908</v>
      </c>
      <c r="X942" s="4" t="s">
        <v>11908</v>
      </c>
      <c r="Y942" s="4" t="s">
        <v>1087</v>
      </c>
      <c r="Z942" s="4" t="s">
        <v>1087</v>
      </c>
      <c r="AA942" s="3">
        <v>15</v>
      </c>
      <c r="AB942" s="3">
        <v>15</v>
      </c>
      <c r="AC942" s="3">
        <v>15</v>
      </c>
      <c r="AD942" s="3">
        <v>1</v>
      </c>
      <c r="AE942" s="3">
        <v>1</v>
      </c>
      <c r="AF942" s="3">
        <v>0</v>
      </c>
      <c r="AG942" s="3">
        <v>0</v>
      </c>
      <c r="AH942" s="3">
        <v>0</v>
      </c>
      <c r="AI942" s="3">
        <v>0</v>
      </c>
      <c r="AJ942" s="3">
        <v>0</v>
      </c>
      <c r="AK942" s="3">
        <v>0</v>
      </c>
      <c r="AL942" s="3">
        <v>0</v>
      </c>
      <c r="AM942" s="3">
        <v>0</v>
      </c>
      <c r="AN942" s="3">
        <v>0</v>
      </c>
      <c r="AO942" s="3">
        <v>0</v>
      </c>
      <c r="AP942" s="3">
        <v>0</v>
      </c>
      <c r="AQ942" s="3">
        <v>0</v>
      </c>
      <c r="AR942" s="2" t="s">
        <v>8</v>
      </c>
      <c r="AS942" s="2" t="s">
        <v>8</v>
      </c>
      <c r="AU942" s="5" t="str">
        <f>HYPERLINK("https://creighton-primo.hosted.exlibrisgroup.com/primo-explore/search?tab=default_tab&amp;search_scope=EVERYTHING&amp;vid=01CRU&amp;lang=en_US&amp;offset=0&amp;query=any,contains,991001233729702656","Catalog Record")</f>
        <v>Catalog Record</v>
      </c>
      <c r="AV942" s="5" t="str">
        <f>HYPERLINK("http://www.worldcat.org/oclc/29785548","WorldCat Record")</f>
        <v>WorldCat Record</v>
      </c>
      <c r="AW942" s="2" t="s">
        <v>11920</v>
      </c>
      <c r="AX942" s="2" t="s">
        <v>11921</v>
      </c>
      <c r="AY942" s="2" t="s">
        <v>11922</v>
      </c>
      <c r="AZ942" s="2" t="s">
        <v>11922</v>
      </c>
      <c r="BA942" s="2" t="s">
        <v>11923</v>
      </c>
      <c r="BB942" s="2" t="s">
        <v>21</v>
      </c>
      <c r="BE942" s="2" t="s">
        <v>11924</v>
      </c>
      <c r="BF942" s="2" t="s">
        <v>11925</v>
      </c>
    </row>
    <row r="943" spans="1:58" ht="42.75" customHeight="1" x14ac:dyDescent="0.25">
      <c r="A943" s="8" t="s">
        <v>8</v>
      </c>
      <c r="B943" s="1" t="s">
        <v>0</v>
      </c>
      <c r="C943" s="1" t="s">
        <v>1</v>
      </c>
      <c r="D943" s="1" t="s">
        <v>11926</v>
      </c>
      <c r="E943" s="1" t="s">
        <v>11927</v>
      </c>
      <c r="F943" s="1" t="s">
        <v>11928</v>
      </c>
      <c r="H943" s="2" t="s">
        <v>8</v>
      </c>
      <c r="I943" s="2" t="s">
        <v>7</v>
      </c>
      <c r="J943" s="2" t="s">
        <v>8</v>
      </c>
      <c r="K943" s="2" t="s">
        <v>8</v>
      </c>
      <c r="L943" s="2" t="s">
        <v>9</v>
      </c>
      <c r="M943" s="1" t="s">
        <v>11929</v>
      </c>
      <c r="N943" s="1" t="s">
        <v>4246</v>
      </c>
      <c r="O943" s="2" t="s">
        <v>814</v>
      </c>
      <c r="Q943" s="2" t="s">
        <v>12</v>
      </c>
      <c r="R943" s="2" t="s">
        <v>13</v>
      </c>
      <c r="T943" s="2" t="s">
        <v>14</v>
      </c>
      <c r="U943" s="3">
        <v>1</v>
      </c>
      <c r="V943" s="3">
        <v>1</v>
      </c>
      <c r="W943" s="4" t="s">
        <v>8507</v>
      </c>
      <c r="X943" s="4" t="s">
        <v>8507</v>
      </c>
      <c r="Y943" s="4" t="s">
        <v>8507</v>
      </c>
      <c r="Z943" s="4" t="s">
        <v>8507</v>
      </c>
      <c r="AA943" s="3">
        <v>36</v>
      </c>
      <c r="AB943" s="3">
        <v>36</v>
      </c>
      <c r="AC943" s="3">
        <v>160</v>
      </c>
      <c r="AD943" s="3">
        <v>1</v>
      </c>
      <c r="AE943" s="3">
        <v>3</v>
      </c>
      <c r="AF943" s="3">
        <v>2</v>
      </c>
      <c r="AG943" s="3">
        <v>11</v>
      </c>
      <c r="AH943" s="3">
        <v>0</v>
      </c>
      <c r="AI943" s="3">
        <v>1</v>
      </c>
      <c r="AJ943" s="3">
        <v>1</v>
      </c>
      <c r="AK943" s="3">
        <v>3</v>
      </c>
      <c r="AL943" s="3">
        <v>0</v>
      </c>
      <c r="AM943" s="3">
        <v>3</v>
      </c>
      <c r="AN943" s="3">
        <v>0</v>
      </c>
      <c r="AO943" s="3">
        <v>2</v>
      </c>
      <c r="AP943" s="3">
        <v>1</v>
      </c>
      <c r="AQ943" s="3">
        <v>2</v>
      </c>
      <c r="AR943" s="2" t="s">
        <v>8</v>
      </c>
      <c r="AS943" s="2" t="s">
        <v>6</v>
      </c>
      <c r="AT943" s="5" t="str">
        <f>HYPERLINK("http://catalog.hathitrust.org/Record/004041344","HathiTrust Record")</f>
        <v>HathiTrust Record</v>
      </c>
      <c r="AU943" s="5" t="str">
        <f>HYPERLINK("https://creighton-primo.hosted.exlibrisgroup.com/primo-explore/search?tab=default_tab&amp;search_scope=EVERYTHING&amp;vid=01CRU&amp;lang=en_US&amp;offset=0&amp;query=any,contains,991000358389702656","Catalog Record")</f>
        <v>Catalog Record</v>
      </c>
      <c r="AV943" s="5" t="str">
        <f>HYPERLINK("http://www.worldcat.org/oclc/40907564","WorldCat Record")</f>
        <v>WorldCat Record</v>
      </c>
      <c r="AW943" s="2" t="s">
        <v>11930</v>
      </c>
      <c r="AX943" s="2" t="s">
        <v>11931</v>
      </c>
      <c r="AY943" s="2" t="s">
        <v>11932</v>
      </c>
      <c r="AZ943" s="2" t="s">
        <v>11932</v>
      </c>
      <c r="BA943" s="2" t="s">
        <v>11933</v>
      </c>
      <c r="BB943" s="2" t="s">
        <v>21</v>
      </c>
      <c r="BD943" s="2" t="s">
        <v>11934</v>
      </c>
      <c r="BE943" s="2" t="s">
        <v>11935</v>
      </c>
      <c r="BF943" s="2" t="s">
        <v>11936</v>
      </c>
    </row>
    <row r="944" spans="1:58" ht="42.75" customHeight="1" x14ac:dyDescent="0.25">
      <c r="A944" s="8" t="s">
        <v>8</v>
      </c>
      <c r="B944" s="1" t="s">
        <v>0</v>
      </c>
      <c r="C944" s="1" t="s">
        <v>1</v>
      </c>
      <c r="D944" s="1" t="s">
        <v>11937</v>
      </c>
      <c r="E944" s="1" t="s">
        <v>11938</v>
      </c>
      <c r="F944" s="1" t="s">
        <v>11939</v>
      </c>
      <c r="H944" s="2" t="s">
        <v>8</v>
      </c>
      <c r="I944" s="2" t="s">
        <v>7</v>
      </c>
      <c r="J944" s="2" t="s">
        <v>8</v>
      </c>
      <c r="K944" s="2" t="s">
        <v>8</v>
      </c>
      <c r="L944" s="2" t="s">
        <v>9</v>
      </c>
      <c r="M944" s="1" t="s">
        <v>11940</v>
      </c>
      <c r="N944" s="1" t="s">
        <v>11941</v>
      </c>
      <c r="O944" s="2" t="s">
        <v>1446</v>
      </c>
      <c r="Q944" s="2" t="s">
        <v>12</v>
      </c>
      <c r="R944" s="2" t="s">
        <v>11942</v>
      </c>
      <c r="T944" s="2" t="s">
        <v>14</v>
      </c>
      <c r="U944" s="3">
        <v>2</v>
      </c>
      <c r="V944" s="3">
        <v>2</v>
      </c>
      <c r="W944" s="4" t="s">
        <v>11943</v>
      </c>
      <c r="X944" s="4" t="s">
        <v>11943</v>
      </c>
      <c r="Y944" s="4" t="s">
        <v>1553</v>
      </c>
      <c r="Z944" s="4" t="s">
        <v>1553</v>
      </c>
      <c r="AA944" s="3">
        <v>186</v>
      </c>
      <c r="AB944" s="3">
        <v>115</v>
      </c>
      <c r="AC944" s="3">
        <v>116</v>
      </c>
      <c r="AD944" s="3">
        <v>2</v>
      </c>
      <c r="AE944" s="3">
        <v>2</v>
      </c>
      <c r="AF944" s="3">
        <v>5</v>
      </c>
      <c r="AG944" s="3">
        <v>5</v>
      </c>
      <c r="AH944" s="3">
        <v>1</v>
      </c>
      <c r="AI944" s="3">
        <v>1</v>
      </c>
      <c r="AJ944" s="3">
        <v>1</v>
      </c>
      <c r="AK944" s="3">
        <v>1</v>
      </c>
      <c r="AL944" s="3">
        <v>1</v>
      </c>
      <c r="AM944" s="3">
        <v>1</v>
      </c>
      <c r="AN944" s="3">
        <v>1</v>
      </c>
      <c r="AO944" s="3">
        <v>1</v>
      </c>
      <c r="AP944" s="3">
        <v>2</v>
      </c>
      <c r="AQ944" s="3">
        <v>2</v>
      </c>
      <c r="AR944" s="2" t="s">
        <v>8</v>
      </c>
      <c r="AS944" s="2" t="s">
        <v>6</v>
      </c>
      <c r="AT944" s="5" t="str">
        <f>HYPERLINK("http://catalog.hathitrust.org/Record/001558640","HathiTrust Record")</f>
        <v>HathiTrust Record</v>
      </c>
      <c r="AU944" s="5" t="str">
        <f>HYPERLINK("https://creighton-primo.hosted.exlibrisgroup.com/primo-explore/search?tab=default_tab&amp;search_scope=EVERYTHING&amp;vid=01CRU&amp;lang=en_US&amp;offset=0&amp;query=any,contains,991000662519702656","Catalog Record")</f>
        <v>Catalog Record</v>
      </c>
      <c r="AV944" s="5" t="str">
        <f>HYPERLINK("http://www.worldcat.org/oclc/3090287","WorldCat Record")</f>
        <v>WorldCat Record</v>
      </c>
      <c r="AW944" s="2" t="s">
        <v>11944</v>
      </c>
      <c r="AX944" s="2" t="s">
        <v>11945</v>
      </c>
      <c r="AY944" s="2" t="s">
        <v>11946</v>
      </c>
      <c r="AZ944" s="2" t="s">
        <v>11946</v>
      </c>
      <c r="BA944" s="2" t="s">
        <v>11947</v>
      </c>
      <c r="BB944" s="2" t="s">
        <v>21</v>
      </c>
      <c r="BD944" s="2" t="s">
        <v>11948</v>
      </c>
      <c r="BE944" s="2" t="s">
        <v>11949</v>
      </c>
      <c r="BF944" s="2" t="s">
        <v>11950</v>
      </c>
    </row>
    <row r="945" spans="1:58" ht="42.75" customHeight="1" x14ac:dyDescent="0.25">
      <c r="A945" s="8" t="s">
        <v>8</v>
      </c>
      <c r="B945" s="1" t="s">
        <v>0</v>
      </c>
      <c r="C945" s="1" t="s">
        <v>1</v>
      </c>
      <c r="D945" s="1" t="s">
        <v>11951</v>
      </c>
      <c r="E945" s="1" t="s">
        <v>11952</v>
      </c>
      <c r="F945" s="1" t="s">
        <v>11953</v>
      </c>
      <c r="H945" s="2" t="s">
        <v>8</v>
      </c>
      <c r="I945" s="2" t="s">
        <v>7</v>
      </c>
      <c r="J945" s="2" t="s">
        <v>8</v>
      </c>
      <c r="K945" s="2" t="s">
        <v>8</v>
      </c>
      <c r="L945" s="2" t="s">
        <v>9</v>
      </c>
      <c r="M945" s="1" t="s">
        <v>11954</v>
      </c>
      <c r="N945" s="1" t="s">
        <v>11955</v>
      </c>
      <c r="O945" s="2" t="s">
        <v>602</v>
      </c>
      <c r="P945" s="1" t="s">
        <v>1225</v>
      </c>
      <c r="Q945" s="2" t="s">
        <v>12</v>
      </c>
      <c r="R945" s="2" t="s">
        <v>1170</v>
      </c>
      <c r="S945" s="1" t="s">
        <v>9482</v>
      </c>
      <c r="T945" s="2" t="s">
        <v>14</v>
      </c>
      <c r="U945" s="3">
        <v>8</v>
      </c>
      <c r="V945" s="3">
        <v>8</v>
      </c>
      <c r="W945" s="4" t="s">
        <v>11956</v>
      </c>
      <c r="X945" s="4" t="s">
        <v>11956</v>
      </c>
      <c r="Y945" s="4" t="s">
        <v>11957</v>
      </c>
      <c r="Z945" s="4" t="s">
        <v>11957</v>
      </c>
      <c r="AA945" s="3">
        <v>376</v>
      </c>
      <c r="AB945" s="3">
        <v>299</v>
      </c>
      <c r="AC945" s="3">
        <v>305</v>
      </c>
      <c r="AD945" s="3">
        <v>2</v>
      </c>
      <c r="AE945" s="3">
        <v>2</v>
      </c>
      <c r="AF945" s="3">
        <v>16</v>
      </c>
      <c r="AG945" s="3">
        <v>16</v>
      </c>
      <c r="AH945" s="3">
        <v>6</v>
      </c>
      <c r="AI945" s="3">
        <v>6</v>
      </c>
      <c r="AJ945" s="3">
        <v>5</v>
      </c>
      <c r="AK945" s="3">
        <v>5</v>
      </c>
      <c r="AL945" s="3">
        <v>7</v>
      </c>
      <c r="AM945" s="3">
        <v>7</v>
      </c>
      <c r="AN945" s="3">
        <v>1</v>
      </c>
      <c r="AO945" s="3">
        <v>1</v>
      </c>
      <c r="AP945" s="3">
        <v>1</v>
      </c>
      <c r="AQ945" s="3">
        <v>1</v>
      </c>
      <c r="AR945" s="2" t="s">
        <v>8</v>
      </c>
      <c r="AS945" s="2" t="s">
        <v>8</v>
      </c>
      <c r="AU945" s="5" t="str">
        <f>HYPERLINK("https://creighton-primo.hosted.exlibrisgroup.com/primo-explore/search?tab=default_tab&amp;search_scope=EVERYTHING&amp;vid=01CRU&amp;lang=en_US&amp;offset=0&amp;query=any,contains,991001023629702656","Catalog Record")</f>
        <v>Catalog Record</v>
      </c>
      <c r="AV945" s="5" t="str">
        <f>HYPERLINK("http://www.worldcat.org/oclc/23287869","WorldCat Record")</f>
        <v>WorldCat Record</v>
      </c>
      <c r="AW945" s="2" t="s">
        <v>11958</v>
      </c>
      <c r="AX945" s="2" t="s">
        <v>11959</v>
      </c>
      <c r="AY945" s="2" t="s">
        <v>11960</v>
      </c>
      <c r="AZ945" s="2" t="s">
        <v>11960</v>
      </c>
      <c r="BA945" s="2" t="s">
        <v>11961</v>
      </c>
      <c r="BB945" s="2" t="s">
        <v>21</v>
      </c>
      <c r="BD945" s="2" t="s">
        <v>11962</v>
      </c>
      <c r="BE945" s="2" t="s">
        <v>11963</v>
      </c>
      <c r="BF945" s="2" t="s">
        <v>11964</v>
      </c>
    </row>
    <row r="946" spans="1:58" ht="42.75" customHeight="1" x14ac:dyDescent="0.25">
      <c r="A946" s="8" t="s">
        <v>8</v>
      </c>
      <c r="B946" s="1" t="s">
        <v>0</v>
      </c>
      <c r="C946" s="1" t="s">
        <v>1</v>
      </c>
      <c r="D946" s="1" t="s">
        <v>11965</v>
      </c>
      <c r="E946" s="1" t="s">
        <v>11966</v>
      </c>
      <c r="F946" s="1" t="s">
        <v>11967</v>
      </c>
      <c r="H946" s="2" t="s">
        <v>8</v>
      </c>
      <c r="I946" s="2" t="s">
        <v>7</v>
      </c>
      <c r="J946" s="2" t="s">
        <v>8</v>
      </c>
      <c r="K946" s="2" t="s">
        <v>8</v>
      </c>
      <c r="L946" s="2" t="s">
        <v>9</v>
      </c>
      <c r="M946" s="1" t="s">
        <v>11968</v>
      </c>
      <c r="N946" s="1" t="s">
        <v>11969</v>
      </c>
      <c r="O946" s="2" t="s">
        <v>688</v>
      </c>
      <c r="Q946" s="2" t="s">
        <v>12</v>
      </c>
      <c r="R946" s="2" t="s">
        <v>1252</v>
      </c>
      <c r="T946" s="2" t="s">
        <v>14</v>
      </c>
      <c r="U946" s="3">
        <v>5</v>
      </c>
      <c r="V946" s="3">
        <v>5</v>
      </c>
      <c r="W946" s="4" t="s">
        <v>4314</v>
      </c>
      <c r="X946" s="4" t="s">
        <v>4314</v>
      </c>
      <c r="Y946" s="4" t="s">
        <v>412</v>
      </c>
      <c r="Z946" s="4" t="s">
        <v>412</v>
      </c>
      <c r="AA946" s="3">
        <v>44</v>
      </c>
      <c r="AB946" s="3">
        <v>44</v>
      </c>
      <c r="AC946" s="3">
        <v>44</v>
      </c>
      <c r="AD946" s="3">
        <v>1</v>
      </c>
      <c r="AE946" s="3">
        <v>1</v>
      </c>
      <c r="AF946" s="3">
        <v>1</v>
      </c>
      <c r="AG946" s="3">
        <v>1</v>
      </c>
      <c r="AH946" s="3">
        <v>0</v>
      </c>
      <c r="AI946" s="3">
        <v>0</v>
      </c>
      <c r="AJ946" s="3">
        <v>0</v>
      </c>
      <c r="AK946" s="3">
        <v>0</v>
      </c>
      <c r="AL946" s="3">
        <v>1</v>
      </c>
      <c r="AM946" s="3">
        <v>1</v>
      </c>
      <c r="AN946" s="3">
        <v>0</v>
      </c>
      <c r="AO946" s="3">
        <v>0</v>
      </c>
      <c r="AP946" s="3">
        <v>0</v>
      </c>
      <c r="AQ946" s="3">
        <v>0</v>
      </c>
      <c r="AR946" s="2" t="s">
        <v>8</v>
      </c>
      <c r="AS946" s="2" t="s">
        <v>8</v>
      </c>
      <c r="AU946" s="5" t="str">
        <f>HYPERLINK("https://creighton-primo.hosted.exlibrisgroup.com/primo-explore/search?tab=default_tab&amp;search_scope=EVERYTHING&amp;vid=01CRU&amp;lang=en_US&amp;offset=0&amp;query=any,contains,991000674659702656","Catalog Record")</f>
        <v>Catalog Record</v>
      </c>
      <c r="AV946" s="5" t="str">
        <f>HYPERLINK("http://www.worldcat.org/oclc/30503363","WorldCat Record")</f>
        <v>WorldCat Record</v>
      </c>
      <c r="AW946" s="2" t="s">
        <v>11970</v>
      </c>
      <c r="AX946" s="2" t="s">
        <v>11971</v>
      </c>
      <c r="AY946" s="2" t="s">
        <v>11972</v>
      </c>
      <c r="AZ946" s="2" t="s">
        <v>11972</v>
      </c>
      <c r="BA946" s="2" t="s">
        <v>11973</v>
      </c>
      <c r="BB946" s="2" t="s">
        <v>21</v>
      </c>
      <c r="BE946" s="2" t="s">
        <v>11974</v>
      </c>
      <c r="BF946" s="2" t="s">
        <v>11975</v>
      </c>
    </row>
    <row r="947" spans="1:58" ht="42.75" customHeight="1" x14ac:dyDescent="0.25">
      <c r="A947" s="8" t="s">
        <v>8</v>
      </c>
      <c r="B947" s="1" t="s">
        <v>0</v>
      </c>
      <c r="C947" s="1" t="s">
        <v>1</v>
      </c>
      <c r="D947" s="1" t="s">
        <v>11976</v>
      </c>
      <c r="E947" s="1" t="s">
        <v>11977</v>
      </c>
      <c r="F947" s="1" t="s">
        <v>11978</v>
      </c>
      <c r="H947" s="2" t="s">
        <v>8</v>
      </c>
      <c r="I947" s="2" t="s">
        <v>7</v>
      </c>
      <c r="J947" s="2" t="s">
        <v>8</v>
      </c>
      <c r="K947" s="2" t="s">
        <v>8</v>
      </c>
      <c r="L947" s="2" t="s">
        <v>9</v>
      </c>
      <c r="N947" s="1" t="s">
        <v>11979</v>
      </c>
      <c r="O947" s="2" t="s">
        <v>614</v>
      </c>
      <c r="Q947" s="2" t="s">
        <v>12</v>
      </c>
      <c r="R947" s="2" t="s">
        <v>520</v>
      </c>
      <c r="T947" s="2" t="s">
        <v>14</v>
      </c>
      <c r="U947" s="3">
        <v>10</v>
      </c>
      <c r="V947" s="3">
        <v>10</v>
      </c>
      <c r="W947" s="4" t="s">
        <v>11956</v>
      </c>
      <c r="X947" s="4" t="s">
        <v>11956</v>
      </c>
      <c r="Y947" s="4" t="s">
        <v>11980</v>
      </c>
      <c r="Z947" s="4" t="s">
        <v>11980</v>
      </c>
      <c r="AA947" s="3">
        <v>100</v>
      </c>
      <c r="AB947" s="3">
        <v>90</v>
      </c>
      <c r="AC947" s="3">
        <v>90</v>
      </c>
      <c r="AD947" s="3">
        <v>2</v>
      </c>
      <c r="AE947" s="3">
        <v>2</v>
      </c>
      <c r="AF947" s="3">
        <v>9</v>
      </c>
      <c r="AG947" s="3">
        <v>9</v>
      </c>
      <c r="AH947" s="3">
        <v>0</v>
      </c>
      <c r="AI947" s="3">
        <v>0</v>
      </c>
      <c r="AJ947" s="3">
        <v>2</v>
      </c>
      <c r="AK947" s="3">
        <v>2</v>
      </c>
      <c r="AL947" s="3">
        <v>1</v>
      </c>
      <c r="AM947" s="3">
        <v>1</v>
      </c>
      <c r="AN947" s="3">
        <v>1</v>
      </c>
      <c r="AO947" s="3">
        <v>1</v>
      </c>
      <c r="AP947" s="3">
        <v>6</v>
      </c>
      <c r="AQ947" s="3">
        <v>6</v>
      </c>
      <c r="AR947" s="2" t="s">
        <v>8</v>
      </c>
      <c r="AS947" s="2" t="s">
        <v>8</v>
      </c>
      <c r="AU947" s="5" t="str">
        <f>HYPERLINK("https://creighton-primo.hosted.exlibrisgroup.com/primo-explore/search?tab=default_tab&amp;search_scope=EVERYTHING&amp;vid=01CRU&amp;lang=en_US&amp;offset=0&amp;query=any,contains,991001340689702656","Catalog Record")</f>
        <v>Catalog Record</v>
      </c>
      <c r="AV947" s="5" t="str">
        <f>HYPERLINK("http://www.worldcat.org/oclc/29703739","WorldCat Record")</f>
        <v>WorldCat Record</v>
      </c>
      <c r="AW947" s="2" t="s">
        <v>11981</v>
      </c>
      <c r="AX947" s="2" t="s">
        <v>11982</v>
      </c>
      <c r="AY947" s="2" t="s">
        <v>11983</v>
      </c>
      <c r="AZ947" s="2" t="s">
        <v>11983</v>
      </c>
      <c r="BA947" s="2" t="s">
        <v>11984</v>
      </c>
      <c r="BB947" s="2" t="s">
        <v>21</v>
      </c>
      <c r="BD947" s="2" t="s">
        <v>11985</v>
      </c>
      <c r="BE947" s="2" t="s">
        <v>11986</v>
      </c>
      <c r="BF947" s="2" t="s">
        <v>11987</v>
      </c>
    </row>
    <row r="948" spans="1:58" ht="42.75" customHeight="1" x14ac:dyDescent="0.25">
      <c r="A948" s="8" t="s">
        <v>8</v>
      </c>
      <c r="B948" s="1" t="s">
        <v>0</v>
      </c>
      <c r="C948" s="1" t="s">
        <v>1</v>
      </c>
      <c r="D948" s="1" t="s">
        <v>11988</v>
      </c>
      <c r="E948" s="1" t="s">
        <v>11989</v>
      </c>
      <c r="F948" s="1" t="s">
        <v>11990</v>
      </c>
      <c r="H948" s="2" t="s">
        <v>8</v>
      </c>
      <c r="I948" s="2" t="s">
        <v>7</v>
      </c>
      <c r="J948" s="2" t="s">
        <v>8</v>
      </c>
      <c r="K948" s="2" t="s">
        <v>8</v>
      </c>
      <c r="L948" s="2" t="s">
        <v>9</v>
      </c>
      <c r="M948" s="1" t="s">
        <v>11991</v>
      </c>
      <c r="N948" s="1" t="s">
        <v>11992</v>
      </c>
      <c r="O948" s="2" t="s">
        <v>602</v>
      </c>
      <c r="P948" s="1" t="s">
        <v>2031</v>
      </c>
      <c r="Q948" s="2" t="s">
        <v>12</v>
      </c>
      <c r="R948" s="2" t="s">
        <v>5806</v>
      </c>
      <c r="T948" s="2" t="s">
        <v>14</v>
      </c>
      <c r="U948" s="3">
        <v>9</v>
      </c>
      <c r="V948" s="3">
        <v>9</v>
      </c>
      <c r="W948" s="4" t="s">
        <v>11993</v>
      </c>
      <c r="X948" s="4" t="s">
        <v>11993</v>
      </c>
      <c r="Y948" s="4" t="s">
        <v>11994</v>
      </c>
      <c r="Z948" s="4" t="s">
        <v>11994</v>
      </c>
      <c r="AA948" s="3">
        <v>6</v>
      </c>
      <c r="AB948" s="3">
        <v>6</v>
      </c>
      <c r="AC948" s="3">
        <v>23</v>
      </c>
      <c r="AD948" s="3">
        <v>1</v>
      </c>
      <c r="AE948" s="3">
        <v>2</v>
      </c>
      <c r="AF948" s="3">
        <v>0</v>
      </c>
      <c r="AG948" s="3">
        <v>0</v>
      </c>
      <c r="AH948" s="3">
        <v>0</v>
      </c>
      <c r="AI948" s="3">
        <v>0</v>
      </c>
      <c r="AJ948" s="3">
        <v>0</v>
      </c>
      <c r="AK948" s="3">
        <v>0</v>
      </c>
      <c r="AL948" s="3">
        <v>0</v>
      </c>
      <c r="AM948" s="3">
        <v>0</v>
      </c>
      <c r="AN948" s="3">
        <v>0</v>
      </c>
      <c r="AO948" s="3">
        <v>0</v>
      </c>
      <c r="AP948" s="3">
        <v>0</v>
      </c>
      <c r="AQ948" s="3">
        <v>0</v>
      </c>
      <c r="AR948" s="2" t="s">
        <v>8</v>
      </c>
      <c r="AS948" s="2" t="s">
        <v>8</v>
      </c>
      <c r="AU948" s="5" t="str">
        <f>HYPERLINK("https://creighton-primo.hosted.exlibrisgroup.com/primo-explore/search?tab=default_tab&amp;search_scope=EVERYTHING&amp;vid=01CRU&amp;lang=en_US&amp;offset=0&amp;query=any,contains,991000947649702656","Catalog Record")</f>
        <v>Catalog Record</v>
      </c>
      <c r="AV948" s="5" t="str">
        <f>HYPERLINK("http://www.worldcat.org/oclc/24649866","WorldCat Record")</f>
        <v>WorldCat Record</v>
      </c>
      <c r="AW948" s="2" t="s">
        <v>11995</v>
      </c>
      <c r="AX948" s="2" t="s">
        <v>11996</v>
      </c>
      <c r="AY948" s="2" t="s">
        <v>11997</v>
      </c>
      <c r="AZ948" s="2" t="s">
        <v>11997</v>
      </c>
      <c r="BA948" s="2" t="s">
        <v>11998</v>
      </c>
      <c r="BB948" s="2" t="s">
        <v>21</v>
      </c>
      <c r="BE948" s="2" t="s">
        <v>11999</v>
      </c>
      <c r="BF948" s="2" t="s">
        <v>12000</v>
      </c>
    </row>
    <row r="949" spans="1:58" ht="42.75" customHeight="1" x14ac:dyDescent="0.25">
      <c r="A949" s="8" t="s">
        <v>8</v>
      </c>
      <c r="B949" s="1" t="s">
        <v>0</v>
      </c>
      <c r="C949" s="1" t="s">
        <v>1</v>
      </c>
      <c r="D949" s="1" t="s">
        <v>12001</v>
      </c>
      <c r="E949" s="1" t="s">
        <v>12002</v>
      </c>
      <c r="F949" s="1" t="s">
        <v>12003</v>
      </c>
      <c r="H949" s="2" t="s">
        <v>8</v>
      </c>
      <c r="I949" s="2" t="s">
        <v>7</v>
      </c>
      <c r="J949" s="2" t="s">
        <v>8</v>
      </c>
      <c r="K949" s="2" t="s">
        <v>8</v>
      </c>
      <c r="L949" s="2" t="s">
        <v>9</v>
      </c>
      <c r="M949" s="1" t="s">
        <v>12004</v>
      </c>
      <c r="N949" s="1" t="s">
        <v>12005</v>
      </c>
      <c r="O949" s="2" t="s">
        <v>627</v>
      </c>
      <c r="Q949" s="2" t="s">
        <v>12</v>
      </c>
      <c r="R949" s="2" t="s">
        <v>1170</v>
      </c>
      <c r="S949" s="1" t="s">
        <v>12006</v>
      </c>
      <c r="T949" s="2" t="s">
        <v>14</v>
      </c>
      <c r="U949" s="3">
        <v>2</v>
      </c>
      <c r="V949" s="3">
        <v>2</v>
      </c>
      <c r="W949" s="4" t="s">
        <v>12007</v>
      </c>
      <c r="X949" s="4" t="s">
        <v>12007</v>
      </c>
      <c r="Y949" s="4" t="s">
        <v>12007</v>
      </c>
      <c r="Z949" s="4" t="s">
        <v>12007</v>
      </c>
      <c r="AA949" s="3">
        <v>97</v>
      </c>
      <c r="AB949" s="3">
        <v>91</v>
      </c>
      <c r="AC949" s="3">
        <v>105</v>
      </c>
      <c r="AD949" s="3">
        <v>2</v>
      </c>
      <c r="AE949" s="3">
        <v>2</v>
      </c>
      <c r="AF949" s="3">
        <v>3</v>
      </c>
      <c r="AG949" s="3">
        <v>3</v>
      </c>
      <c r="AH949" s="3">
        <v>0</v>
      </c>
      <c r="AI949" s="3">
        <v>0</v>
      </c>
      <c r="AJ949" s="3">
        <v>1</v>
      </c>
      <c r="AK949" s="3">
        <v>1</v>
      </c>
      <c r="AL949" s="3">
        <v>2</v>
      </c>
      <c r="AM949" s="3">
        <v>2</v>
      </c>
      <c r="AN949" s="3">
        <v>1</v>
      </c>
      <c r="AO949" s="3">
        <v>1</v>
      </c>
      <c r="AP949" s="3">
        <v>0</v>
      </c>
      <c r="AQ949" s="3">
        <v>0</v>
      </c>
      <c r="AR949" s="2" t="s">
        <v>8</v>
      </c>
      <c r="AS949" s="2" t="s">
        <v>8</v>
      </c>
      <c r="AU949" s="5" t="str">
        <f>HYPERLINK("https://creighton-primo.hosted.exlibrisgroup.com/primo-explore/search?tab=default_tab&amp;search_scope=EVERYTHING&amp;vid=01CRU&amp;lang=en_US&amp;offset=0&amp;query=any,contains,991001441269702656","Catalog Record")</f>
        <v>Catalog Record</v>
      </c>
      <c r="AV949" s="5" t="str">
        <f>HYPERLINK("http://www.worldcat.org/oclc/20458835","WorldCat Record")</f>
        <v>WorldCat Record</v>
      </c>
      <c r="AW949" s="2" t="s">
        <v>12008</v>
      </c>
      <c r="AX949" s="2" t="s">
        <v>12009</v>
      </c>
      <c r="AY949" s="2" t="s">
        <v>12010</v>
      </c>
      <c r="AZ949" s="2" t="s">
        <v>12010</v>
      </c>
      <c r="BA949" s="2" t="s">
        <v>12011</v>
      </c>
      <c r="BB949" s="2" t="s">
        <v>21</v>
      </c>
      <c r="BD949" s="2" t="s">
        <v>12012</v>
      </c>
      <c r="BE949" s="2" t="s">
        <v>12013</v>
      </c>
      <c r="BF949" s="2" t="s">
        <v>12014</v>
      </c>
    </row>
    <row r="950" spans="1:58" ht="42.75" customHeight="1" x14ac:dyDescent="0.25">
      <c r="A950" s="8" t="s">
        <v>8</v>
      </c>
      <c r="B950" s="1" t="s">
        <v>0</v>
      </c>
      <c r="C950" s="1" t="s">
        <v>1</v>
      </c>
      <c r="D950" s="1" t="s">
        <v>12015</v>
      </c>
      <c r="E950" s="1" t="s">
        <v>12016</v>
      </c>
      <c r="F950" s="1" t="s">
        <v>12017</v>
      </c>
      <c r="H950" s="2" t="s">
        <v>8</v>
      </c>
      <c r="I950" s="2" t="s">
        <v>7</v>
      </c>
      <c r="J950" s="2" t="s">
        <v>8</v>
      </c>
      <c r="K950" s="2" t="s">
        <v>8</v>
      </c>
      <c r="L950" s="2" t="s">
        <v>9</v>
      </c>
      <c r="N950" s="1" t="s">
        <v>12018</v>
      </c>
      <c r="O950" s="2" t="s">
        <v>642</v>
      </c>
      <c r="Q950" s="2" t="s">
        <v>12</v>
      </c>
      <c r="R950" s="2" t="s">
        <v>577</v>
      </c>
      <c r="T950" s="2" t="s">
        <v>14</v>
      </c>
      <c r="U950" s="3">
        <v>10</v>
      </c>
      <c r="V950" s="3">
        <v>10</v>
      </c>
      <c r="W950" s="4" t="s">
        <v>12019</v>
      </c>
      <c r="X950" s="4" t="s">
        <v>12019</v>
      </c>
      <c r="Y950" s="4" t="s">
        <v>7992</v>
      </c>
      <c r="Z950" s="4" t="s">
        <v>7992</v>
      </c>
      <c r="AA950" s="3">
        <v>153</v>
      </c>
      <c r="AB950" s="3">
        <v>101</v>
      </c>
      <c r="AC950" s="3">
        <v>1063</v>
      </c>
      <c r="AD950" s="3">
        <v>1</v>
      </c>
      <c r="AE950" s="3">
        <v>27</v>
      </c>
      <c r="AF950" s="3">
        <v>3</v>
      </c>
      <c r="AG950" s="3">
        <v>38</v>
      </c>
      <c r="AH950" s="3">
        <v>1</v>
      </c>
      <c r="AI950" s="3">
        <v>13</v>
      </c>
      <c r="AJ950" s="3">
        <v>0</v>
      </c>
      <c r="AK950" s="3">
        <v>6</v>
      </c>
      <c r="AL950" s="3">
        <v>2</v>
      </c>
      <c r="AM950" s="3">
        <v>10</v>
      </c>
      <c r="AN950" s="3">
        <v>0</v>
      </c>
      <c r="AO950" s="3">
        <v>12</v>
      </c>
      <c r="AP950" s="3">
        <v>0</v>
      </c>
      <c r="AQ950" s="3">
        <v>1</v>
      </c>
      <c r="AR950" s="2" t="s">
        <v>8</v>
      </c>
      <c r="AS950" s="2" t="s">
        <v>6</v>
      </c>
      <c r="AT950" s="5" t="str">
        <f>HYPERLINK("http://catalog.hathitrust.org/Record/003882825","HathiTrust Record")</f>
        <v>HathiTrust Record</v>
      </c>
      <c r="AU950" s="5" t="str">
        <f>HYPERLINK("https://creighton-primo.hosted.exlibrisgroup.com/primo-explore/search?tab=default_tab&amp;search_scope=EVERYTHING&amp;vid=01CRU&amp;lang=en_US&amp;offset=0&amp;query=any,contains,991000400189702656","Catalog Record")</f>
        <v>Catalog Record</v>
      </c>
      <c r="AV950" s="5" t="str">
        <f>HYPERLINK("http://www.worldcat.org/oclc/51924183","WorldCat Record")</f>
        <v>WorldCat Record</v>
      </c>
      <c r="AW950" s="2" t="s">
        <v>12020</v>
      </c>
      <c r="AX950" s="2" t="s">
        <v>12021</v>
      </c>
      <c r="AY950" s="2" t="s">
        <v>12022</v>
      </c>
      <c r="AZ950" s="2" t="s">
        <v>12022</v>
      </c>
      <c r="BA950" s="2" t="s">
        <v>12023</v>
      </c>
      <c r="BB950" s="2" t="s">
        <v>21</v>
      </c>
      <c r="BD950" s="2" t="s">
        <v>12024</v>
      </c>
      <c r="BE950" s="2" t="s">
        <v>12025</v>
      </c>
      <c r="BF950" s="2" t="s">
        <v>12026</v>
      </c>
    </row>
    <row r="951" spans="1:58" ht="42.75" customHeight="1" x14ac:dyDescent="0.25">
      <c r="A951" s="8" t="s">
        <v>8</v>
      </c>
      <c r="B951" s="1" t="s">
        <v>0</v>
      </c>
      <c r="C951" s="1" t="s">
        <v>1</v>
      </c>
      <c r="D951" s="1" t="s">
        <v>12027</v>
      </c>
      <c r="E951" s="1" t="s">
        <v>12028</v>
      </c>
      <c r="F951" s="1" t="s">
        <v>12029</v>
      </c>
      <c r="H951" s="2" t="s">
        <v>8</v>
      </c>
      <c r="I951" s="2" t="s">
        <v>7</v>
      </c>
      <c r="J951" s="2" t="s">
        <v>8</v>
      </c>
      <c r="K951" s="2" t="s">
        <v>8</v>
      </c>
      <c r="L951" s="2" t="s">
        <v>9</v>
      </c>
      <c r="M951" s="1" t="s">
        <v>12030</v>
      </c>
      <c r="N951" s="1" t="s">
        <v>3832</v>
      </c>
      <c r="O951" s="2" t="s">
        <v>814</v>
      </c>
      <c r="Q951" s="2" t="s">
        <v>12</v>
      </c>
      <c r="R951" s="2" t="s">
        <v>13</v>
      </c>
      <c r="T951" s="2" t="s">
        <v>14</v>
      </c>
      <c r="U951" s="3">
        <v>3</v>
      </c>
      <c r="V951" s="3">
        <v>3</v>
      </c>
      <c r="W951" s="4" t="s">
        <v>12031</v>
      </c>
      <c r="X951" s="4" t="s">
        <v>12031</v>
      </c>
      <c r="Y951" s="4" t="s">
        <v>12032</v>
      </c>
      <c r="Z951" s="4" t="s">
        <v>12032</v>
      </c>
      <c r="AA951" s="3">
        <v>333</v>
      </c>
      <c r="AB951" s="3">
        <v>267</v>
      </c>
      <c r="AC951" s="3">
        <v>288</v>
      </c>
      <c r="AD951" s="3">
        <v>2</v>
      </c>
      <c r="AE951" s="3">
        <v>2</v>
      </c>
      <c r="AF951" s="3">
        <v>11</v>
      </c>
      <c r="AG951" s="3">
        <v>12</v>
      </c>
      <c r="AH951" s="3">
        <v>5</v>
      </c>
      <c r="AI951" s="3">
        <v>5</v>
      </c>
      <c r="AJ951" s="3">
        <v>3</v>
      </c>
      <c r="AK951" s="3">
        <v>3</v>
      </c>
      <c r="AL951" s="3">
        <v>5</v>
      </c>
      <c r="AM951" s="3">
        <v>6</v>
      </c>
      <c r="AN951" s="3">
        <v>1</v>
      </c>
      <c r="AO951" s="3">
        <v>1</v>
      </c>
      <c r="AP951" s="3">
        <v>0</v>
      </c>
      <c r="AQ951" s="3">
        <v>0</v>
      </c>
      <c r="AR951" s="2" t="s">
        <v>8</v>
      </c>
      <c r="AS951" s="2" t="s">
        <v>6</v>
      </c>
      <c r="AT951" s="5" t="str">
        <f>HYPERLINK("http://catalog.hathitrust.org/Record/004007407","HathiTrust Record")</f>
        <v>HathiTrust Record</v>
      </c>
      <c r="AU951" s="5" t="str">
        <f>HYPERLINK("https://creighton-primo.hosted.exlibrisgroup.com/primo-explore/search?tab=default_tab&amp;search_scope=EVERYTHING&amp;vid=01CRU&amp;lang=en_US&amp;offset=0&amp;query=any,contains,991001532609702656","Catalog Record")</f>
        <v>Catalog Record</v>
      </c>
      <c r="AV951" s="5" t="str">
        <f>HYPERLINK("http://www.worldcat.org/oclc/38067654","WorldCat Record")</f>
        <v>WorldCat Record</v>
      </c>
      <c r="AW951" s="2" t="s">
        <v>12033</v>
      </c>
      <c r="AX951" s="2" t="s">
        <v>12034</v>
      </c>
      <c r="AY951" s="2" t="s">
        <v>12035</v>
      </c>
      <c r="AZ951" s="2" t="s">
        <v>12035</v>
      </c>
      <c r="BA951" s="2" t="s">
        <v>12036</v>
      </c>
      <c r="BB951" s="2" t="s">
        <v>21</v>
      </c>
      <c r="BD951" s="2" t="s">
        <v>12037</v>
      </c>
      <c r="BE951" s="2" t="s">
        <v>12038</v>
      </c>
      <c r="BF951" s="2" t="s">
        <v>12039</v>
      </c>
    </row>
    <row r="952" spans="1:58" ht="42.75" customHeight="1" x14ac:dyDescent="0.25">
      <c r="A952" s="8" t="s">
        <v>8</v>
      </c>
      <c r="B952" s="1" t="s">
        <v>0</v>
      </c>
      <c r="C952" s="1" t="s">
        <v>1</v>
      </c>
      <c r="D952" s="1" t="s">
        <v>12040</v>
      </c>
      <c r="E952" s="1" t="s">
        <v>12041</v>
      </c>
      <c r="F952" s="1" t="s">
        <v>12042</v>
      </c>
      <c r="H952" s="2" t="s">
        <v>8</v>
      </c>
      <c r="I952" s="2" t="s">
        <v>7</v>
      </c>
      <c r="J952" s="2" t="s">
        <v>8</v>
      </c>
      <c r="K952" s="2" t="s">
        <v>8</v>
      </c>
      <c r="L952" s="2" t="s">
        <v>9</v>
      </c>
      <c r="M952" s="1" t="s">
        <v>12043</v>
      </c>
      <c r="N952" s="1" t="s">
        <v>12044</v>
      </c>
      <c r="O952" s="2" t="s">
        <v>874</v>
      </c>
      <c r="Q952" s="2" t="s">
        <v>12</v>
      </c>
      <c r="R952" s="2" t="s">
        <v>628</v>
      </c>
      <c r="T952" s="2" t="s">
        <v>14</v>
      </c>
      <c r="U952" s="3">
        <v>1</v>
      </c>
      <c r="V952" s="3">
        <v>1</v>
      </c>
      <c r="W952" s="4" t="s">
        <v>1239</v>
      </c>
      <c r="X952" s="4" t="s">
        <v>1239</v>
      </c>
      <c r="Y952" s="4" t="s">
        <v>1643</v>
      </c>
      <c r="Z952" s="4" t="s">
        <v>1643</v>
      </c>
      <c r="AA952" s="3">
        <v>495</v>
      </c>
      <c r="AB952" s="3">
        <v>463</v>
      </c>
      <c r="AC952" s="3">
        <v>478</v>
      </c>
      <c r="AD952" s="3">
        <v>2</v>
      </c>
      <c r="AE952" s="3">
        <v>2</v>
      </c>
      <c r="AF952" s="3">
        <v>19</v>
      </c>
      <c r="AG952" s="3">
        <v>19</v>
      </c>
      <c r="AH952" s="3">
        <v>7</v>
      </c>
      <c r="AI952" s="3">
        <v>7</v>
      </c>
      <c r="AJ952" s="3">
        <v>4</v>
      </c>
      <c r="AK952" s="3">
        <v>4</v>
      </c>
      <c r="AL952" s="3">
        <v>14</v>
      </c>
      <c r="AM952" s="3">
        <v>14</v>
      </c>
      <c r="AN952" s="3">
        <v>1</v>
      </c>
      <c r="AO952" s="3">
        <v>1</v>
      </c>
      <c r="AP952" s="3">
        <v>0</v>
      </c>
      <c r="AQ952" s="3">
        <v>0</v>
      </c>
      <c r="AR952" s="2" t="s">
        <v>8</v>
      </c>
      <c r="AS952" s="2" t="s">
        <v>8</v>
      </c>
      <c r="AU952" s="5" t="str">
        <f>HYPERLINK("https://creighton-primo.hosted.exlibrisgroup.com/primo-explore/search?tab=default_tab&amp;search_scope=EVERYTHING&amp;vid=01CRU&amp;lang=en_US&amp;offset=0&amp;query=any,contains,991000397249702656","Catalog Record")</f>
        <v>Catalog Record</v>
      </c>
      <c r="AV952" s="5" t="str">
        <f>HYPERLINK("http://www.worldcat.org/oclc/36316005","WorldCat Record")</f>
        <v>WorldCat Record</v>
      </c>
      <c r="AW952" s="2" t="s">
        <v>12045</v>
      </c>
      <c r="AX952" s="2" t="s">
        <v>12046</v>
      </c>
      <c r="AY952" s="2" t="s">
        <v>12047</v>
      </c>
      <c r="AZ952" s="2" t="s">
        <v>12047</v>
      </c>
      <c r="BA952" s="2" t="s">
        <v>12048</v>
      </c>
      <c r="BB952" s="2" t="s">
        <v>21</v>
      </c>
      <c r="BD952" s="2" t="s">
        <v>12049</v>
      </c>
      <c r="BE952" s="2" t="s">
        <v>12050</v>
      </c>
      <c r="BF952" s="2" t="s">
        <v>12051</v>
      </c>
    </row>
    <row r="953" spans="1:58" ht="42.75" customHeight="1" x14ac:dyDescent="0.25">
      <c r="A953" s="8" t="s">
        <v>8</v>
      </c>
      <c r="B953" s="1" t="s">
        <v>0</v>
      </c>
      <c r="C953" s="1" t="s">
        <v>1</v>
      </c>
      <c r="D953" s="1" t="s">
        <v>12052</v>
      </c>
      <c r="E953" s="1" t="s">
        <v>12053</v>
      </c>
      <c r="F953" s="1" t="s">
        <v>12054</v>
      </c>
      <c r="H953" s="2" t="s">
        <v>8</v>
      </c>
      <c r="I953" s="2" t="s">
        <v>7</v>
      </c>
      <c r="J953" s="2" t="s">
        <v>8</v>
      </c>
      <c r="K953" s="2" t="s">
        <v>8</v>
      </c>
      <c r="L953" s="2" t="s">
        <v>9</v>
      </c>
      <c r="M953" s="1" t="s">
        <v>12055</v>
      </c>
      <c r="N953" s="1" t="s">
        <v>7197</v>
      </c>
      <c r="O953" s="2" t="s">
        <v>2044</v>
      </c>
      <c r="Q953" s="2" t="s">
        <v>12</v>
      </c>
      <c r="R953" s="2" t="s">
        <v>520</v>
      </c>
      <c r="S953" s="1" t="s">
        <v>12056</v>
      </c>
      <c r="T953" s="2" t="s">
        <v>14</v>
      </c>
      <c r="U953" s="3">
        <v>3</v>
      </c>
      <c r="V953" s="3">
        <v>3</v>
      </c>
      <c r="W953" s="4" t="s">
        <v>1239</v>
      </c>
      <c r="X953" s="4" t="s">
        <v>1239</v>
      </c>
      <c r="Y953" s="4" t="s">
        <v>6817</v>
      </c>
      <c r="Z953" s="4" t="s">
        <v>6817</v>
      </c>
      <c r="AA953" s="3">
        <v>62</v>
      </c>
      <c r="AB953" s="3">
        <v>58</v>
      </c>
      <c r="AC953" s="3">
        <v>58</v>
      </c>
      <c r="AD953" s="3">
        <v>1</v>
      </c>
      <c r="AE953" s="3">
        <v>1</v>
      </c>
      <c r="AF953" s="3">
        <v>2</v>
      </c>
      <c r="AG953" s="3">
        <v>2</v>
      </c>
      <c r="AH953" s="3">
        <v>2</v>
      </c>
      <c r="AI953" s="3">
        <v>2</v>
      </c>
      <c r="AJ953" s="3">
        <v>1</v>
      </c>
      <c r="AK953" s="3">
        <v>1</v>
      </c>
      <c r="AL953" s="3">
        <v>1</v>
      </c>
      <c r="AM953" s="3">
        <v>1</v>
      </c>
      <c r="AN953" s="3">
        <v>0</v>
      </c>
      <c r="AO953" s="3">
        <v>0</v>
      </c>
      <c r="AP953" s="3">
        <v>0</v>
      </c>
      <c r="AQ953" s="3">
        <v>0</v>
      </c>
      <c r="AR953" s="2" t="s">
        <v>8</v>
      </c>
      <c r="AS953" s="2" t="s">
        <v>8</v>
      </c>
      <c r="AU953" s="5" t="str">
        <f>HYPERLINK("https://creighton-primo.hosted.exlibrisgroup.com/primo-explore/search?tab=default_tab&amp;search_scope=EVERYTHING&amp;vid=01CRU&amp;lang=en_US&amp;offset=0&amp;query=any,contains,991000379299702656","Catalog Record")</f>
        <v>Catalog Record</v>
      </c>
      <c r="AV953" s="5" t="str">
        <f>HYPERLINK("http://www.worldcat.org/oclc/47973292","WorldCat Record")</f>
        <v>WorldCat Record</v>
      </c>
      <c r="AW953" s="2" t="s">
        <v>12057</v>
      </c>
      <c r="AX953" s="2" t="s">
        <v>12058</v>
      </c>
      <c r="AY953" s="2" t="s">
        <v>12059</v>
      </c>
      <c r="AZ953" s="2" t="s">
        <v>12059</v>
      </c>
      <c r="BA953" s="2" t="s">
        <v>12060</v>
      </c>
      <c r="BB953" s="2" t="s">
        <v>21</v>
      </c>
      <c r="BD953" s="2" t="s">
        <v>12061</v>
      </c>
      <c r="BE953" s="2" t="s">
        <v>12062</v>
      </c>
      <c r="BF953" s="2" t="s">
        <v>12063</v>
      </c>
    </row>
    <row r="954" spans="1:58" ht="42.75" customHeight="1" x14ac:dyDescent="0.25">
      <c r="A954" s="8" t="s">
        <v>8</v>
      </c>
      <c r="B954" s="1" t="s">
        <v>0</v>
      </c>
      <c r="C954" s="1" t="s">
        <v>1</v>
      </c>
      <c r="D954" s="1" t="s">
        <v>12064</v>
      </c>
      <c r="E954" s="1" t="s">
        <v>12065</v>
      </c>
      <c r="F954" s="1" t="s">
        <v>12066</v>
      </c>
      <c r="H954" s="2" t="s">
        <v>8</v>
      </c>
      <c r="I954" s="2" t="s">
        <v>7</v>
      </c>
      <c r="J954" s="2" t="s">
        <v>8</v>
      </c>
      <c r="K954" s="2" t="s">
        <v>8</v>
      </c>
      <c r="L954" s="2" t="s">
        <v>9</v>
      </c>
      <c r="N954" s="1" t="s">
        <v>3134</v>
      </c>
      <c r="O954" s="2" t="s">
        <v>731</v>
      </c>
      <c r="Q954" s="2" t="s">
        <v>12</v>
      </c>
      <c r="R954" s="2" t="s">
        <v>520</v>
      </c>
      <c r="T954" s="2" t="s">
        <v>14</v>
      </c>
      <c r="U954" s="3">
        <v>1</v>
      </c>
      <c r="V954" s="3">
        <v>1</v>
      </c>
      <c r="W954" s="4" t="s">
        <v>1643</v>
      </c>
      <c r="X954" s="4" t="s">
        <v>1643</v>
      </c>
      <c r="Y954" s="4" t="s">
        <v>1643</v>
      </c>
      <c r="Z954" s="4" t="s">
        <v>1643</v>
      </c>
      <c r="AA954" s="3">
        <v>82</v>
      </c>
      <c r="AB954" s="3">
        <v>75</v>
      </c>
      <c r="AC954" s="3">
        <v>75</v>
      </c>
      <c r="AD954" s="3">
        <v>1</v>
      </c>
      <c r="AE954" s="3">
        <v>1</v>
      </c>
      <c r="AF954" s="3">
        <v>5</v>
      </c>
      <c r="AG954" s="3">
        <v>5</v>
      </c>
      <c r="AH954" s="3">
        <v>2</v>
      </c>
      <c r="AI954" s="3">
        <v>2</v>
      </c>
      <c r="AJ954" s="3">
        <v>1</v>
      </c>
      <c r="AK954" s="3">
        <v>1</v>
      </c>
      <c r="AL954" s="3">
        <v>3</v>
      </c>
      <c r="AM954" s="3">
        <v>3</v>
      </c>
      <c r="AN954" s="3">
        <v>0</v>
      </c>
      <c r="AO954" s="3">
        <v>0</v>
      </c>
      <c r="AP954" s="3">
        <v>0</v>
      </c>
      <c r="AQ954" s="3">
        <v>0</v>
      </c>
      <c r="AR954" s="2" t="s">
        <v>8</v>
      </c>
      <c r="AS954" s="2" t="s">
        <v>8</v>
      </c>
      <c r="AU954" s="5" t="str">
        <f>HYPERLINK("https://creighton-primo.hosted.exlibrisgroup.com/primo-explore/search?tab=default_tab&amp;search_scope=EVERYTHING&amp;vid=01CRU&amp;lang=en_US&amp;offset=0&amp;query=any,contains,991000396109702656","Catalog Record")</f>
        <v>Catalog Record</v>
      </c>
      <c r="AV954" s="5" t="str">
        <f>HYPERLINK("http://www.worldcat.org/oclc/38485868","WorldCat Record")</f>
        <v>WorldCat Record</v>
      </c>
      <c r="AW954" s="2" t="s">
        <v>12067</v>
      </c>
      <c r="AX954" s="2" t="s">
        <v>12068</v>
      </c>
      <c r="AY954" s="2" t="s">
        <v>12069</v>
      </c>
      <c r="AZ954" s="2" t="s">
        <v>12069</v>
      </c>
      <c r="BA954" s="2" t="s">
        <v>12070</v>
      </c>
      <c r="BB954" s="2" t="s">
        <v>21</v>
      </c>
      <c r="BD954" s="2" t="s">
        <v>12071</v>
      </c>
      <c r="BE954" s="2" t="s">
        <v>12072</v>
      </c>
      <c r="BF954" s="2" t="s">
        <v>12073</v>
      </c>
    </row>
    <row r="955" spans="1:58" ht="42.75" customHeight="1" x14ac:dyDescent="0.25">
      <c r="A955" s="8" t="s">
        <v>8</v>
      </c>
      <c r="B955" s="1" t="s">
        <v>0</v>
      </c>
      <c r="C955" s="1" t="s">
        <v>1</v>
      </c>
      <c r="D955" s="1" t="s">
        <v>12074</v>
      </c>
      <c r="E955" s="1" t="s">
        <v>12075</v>
      </c>
      <c r="F955" s="1" t="s">
        <v>12076</v>
      </c>
      <c r="H955" s="2" t="s">
        <v>8</v>
      </c>
      <c r="I955" s="2" t="s">
        <v>7</v>
      </c>
      <c r="J955" s="2" t="s">
        <v>8</v>
      </c>
      <c r="K955" s="2" t="s">
        <v>8</v>
      </c>
      <c r="L955" s="2" t="s">
        <v>9</v>
      </c>
      <c r="M955" s="1" t="s">
        <v>12077</v>
      </c>
      <c r="N955" s="1" t="s">
        <v>12078</v>
      </c>
      <c r="O955" s="2" t="s">
        <v>814</v>
      </c>
      <c r="Q955" s="2" t="s">
        <v>12</v>
      </c>
      <c r="R955" s="2" t="s">
        <v>520</v>
      </c>
      <c r="S955" s="1" t="s">
        <v>4247</v>
      </c>
      <c r="T955" s="2" t="s">
        <v>14</v>
      </c>
      <c r="U955" s="3">
        <v>0</v>
      </c>
      <c r="V955" s="3">
        <v>0</v>
      </c>
      <c r="W955" s="4" t="s">
        <v>1643</v>
      </c>
      <c r="X955" s="4" t="s">
        <v>1643</v>
      </c>
      <c r="Y955" s="4" t="s">
        <v>1643</v>
      </c>
      <c r="Z955" s="4" t="s">
        <v>1643</v>
      </c>
      <c r="AA955" s="3">
        <v>20</v>
      </c>
      <c r="AB955" s="3">
        <v>20</v>
      </c>
      <c r="AC955" s="3">
        <v>20</v>
      </c>
      <c r="AD955" s="3">
        <v>1</v>
      </c>
      <c r="AE955" s="3">
        <v>1</v>
      </c>
      <c r="AF955" s="3">
        <v>1</v>
      </c>
      <c r="AG955" s="3">
        <v>1</v>
      </c>
      <c r="AH955" s="3">
        <v>1</v>
      </c>
      <c r="AI955" s="3">
        <v>1</v>
      </c>
      <c r="AJ955" s="3">
        <v>0</v>
      </c>
      <c r="AK955" s="3">
        <v>0</v>
      </c>
      <c r="AL955" s="3">
        <v>1</v>
      </c>
      <c r="AM955" s="3">
        <v>1</v>
      </c>
      <c r="AN955" s="3">
        <v>0</v>
      </c>
      <c r="AO955" s="3">
        <v>0</v>
      </c>
      <c r="AP955" s="3">
        <v>0</v>
      </c>
      <c r="AQ955" s="3">
        <v>0</v>
      </c>
      <c r="AR955" s="2" t="s">
        <v>8</v>
      </c>
      <c r="AS955" s="2" t="s">
        <v>8</v>
      </c>
      <c r="AU955" s="5" t="str">
        <f>HYPERLINK("https://creighton-primo.hosted.exlibrisgroup.com/primo-explore/search?tab=default_tab&amp;search_scope=EVERYTHING&amp;vid=01CRU&amp;lang=en_US&amp;offset=0&amp;query=any,contains,991000397079702656","Catalog Record")</f>
        <v>Catalog Record</v>
      </c>
      <c r="AV955" s="5" t="str">
        <f>HYPERLINK("http://www.worldcat.org/oclc/40693974","WorldCat Record")</f>
        <v>WorldCat Record</v>
      </c>
      <c r="AW955" s="2" t="s">
        <v>12079</v>
      </c>
      <c r="AX955" s="2" t="s">
        <v>12080</v>
      </c>
      <c r="AY955" s="2" t="s">
        <v>12081</v>
      </c>
      <c r="AZ955" s="2" t="s">
        <v>12081</v>
      </c>
      <c r="BA955" s="2" t="s">
        <v>12082</v>
      </c>
      <c r="BB955" s="2" t="s">
        <v>21</v>
      </c>
      <c r="BD955" s="2" t="s">
        <v>12083</v>
      </c>
      <c r="BE955" s="2" t="s">
        <v>12084</v>
      </c>
      <c r="BF955" s="2" t="s">
        <v>12085</v>
      </c>
    </row>
    <row r="956" spans="1:58" ht="42.75" customHeight="1" x14ac:dyDescent="0.25">
      <c r="A956" s="8" t="s">
        <v>8</v>
      </c>
      <c r="B956" s="1" t="s">
        <v>0</v>
      </c>
      <c r="C956" s="1" t="s">
        <v>1</v>
      </c>
      <c r="D956" s="1" t="s">
        <v>12086</v>
      </c>
      <c r="E956" s="1" t="s">
        <v>12087</v>
      </c>
      <c r="F956" s="1" t="s">
        <v>12088</v>
      </c>
      <c r="H956" s="2" t="s">
        <v>8</v>
      </c>
      <c r="I956" s="2" t="s">
        <v>7</v>
      </c>
      <c r="J956" s="2" t="s">
        <v>8</v>
      </c>
      <c r="K956" s="2" t="s">
        <v>8</v>
      </c>
      <c r="L956" s="2" t="s">
        <v>9</v>
      </c>
      <c r="M956" s="1" t="s">
        <v>12089</v>
      </c>
      <c r="N956" s="1" t="s">
        <v>12090</v>
      </c>
      <c r="O956" s="2" t="s">
        <v>814</v>
      </c>
      <c r="Q956" s="2" t="s">
        <v>12</v>
      </c>
      <c r="R956" s="2" t="s">
        <v>1170</v>
      </c>
      <c r="T956" s="2" t="s">
        <v>14</v>
      </c>
      <c r="U956" s="3">
        <v>0</v>
      </c>
      <c r="V956" s="3">
        <v>0</v>
      </c>
      <c r="W956" s="4" t="s">
        <v>1643</v>
      </c>
      <c r="X956" s="4" t="s">
        <v>1643</v>
      </c>
      <c r="Y956" s="4" t="s">
        <v>1643</v>
      </c>
      <c r="Z956" s="4" t="s">
        <v>1643</v>
      </c>
      <c r="AA956" s="3">
        <v>122</v>
      </c>
      <c r="AB956" s="3">
        <v>112</v>
      </c>
      <c r="AC956" s="3">
        <v>112</v>
      </c>
      <c r="AD956" s="3">
        <v>1</v>
      </c>
      <c r="AE956" s="3">
        <v>1</v>
      </c>
      <c r="AF956" s="3">
        <v>5</v>
      </c>
      <c r="AG956" s="3">
        <v>5</v>
      </c>
      <c r="AH956" s="3">
        <v>1</v>
      </c>
      <c r="AI956" s="3">
        <v>1</v>
      </c>
      <c r="AJ956" s="3">
        <v>1</v>
      </c>
      <c r="AK956" s="3">
        <v>1</v>
      </c>
      <c r="AL956" s="3">
        <v>4</v>
      </c>
      <c r="AM956" s="3">
        <v>4</v>
      </c>
      <c r="AN956" s="3">
        <v>0</v>
      </c>
      <c r="AO956" s="3">
        <v>0</v>
      </c>
      <c r="AP956" s="3">
        <v>1</v>
      </c>
      <c r="AQ956" s="3">
        <v>1</v>
      </c>
      <c r="AR956" s="2" t="s">
        <v>8</v>
      </c>
      <c r="AS956" s="2" t="s">
        <v>8</v>
      </c>
      <c r="AU956" s="5" t="str">
        <f>HYPERLINK("https://creighton-primo.hosted.exlibrisgroup.com/primo-explore/search?tab=default_tab&amp;search_scope=EVERYTHING&amp;vid=01CRU&amp;lang=en_US&amp;offset=0&amp;query=any,contains,991000395919702656","Catalog Record")</f>
        <v>Catalog Record</v>
      </c>
      <c r="AV956" s="5" t="str">
        <f>HYPERLINK("http://www.worldcat.org/oclc/39857645","WorldCat Record")</f>
        <v>WorldCat Record</v>
      </c>
      <c r="AW956" s="2" t="s">
        <v>12091</v>
      </c>
      <c r="AX956" s="2" t="s">
        <v>12092</v>
      </c>
      <c r="AY956" s="2" t="s">
        <v>12093</v>
      </c>
      <c r="AZ956" s="2" t="s">
        <v>12093</v>
      </c>
      <c r="BA956" s="2" t="s">
        <v>12094</v>
      </c>
      <c r="BB956" s="2" t="s">
        <v>21</v>
      </c>
      <c r="BD956" s="2" t="s">
        <v>12095</v>
      </c>
      <c r="BE956" s="2" t="s">
        <v>12096</v>
      </c>
      <c r="BF956" s="2" t="s">
        <v>12097</v>
      </c>
    </row>
    <row r="957" spans="1:58" ht="42.75" customHeight="1" x14ac:dyDescent="0.25">
      <c r="A957" s="8" t="s">
        <v>8</v>
      </c>
      <c r="B957" s="1" t="s">
        <v>0</v>
      </c>
      <c r="C957" s="1" t="s">
        <v>1</v>
      </c>
      <c r="D957" s="1" t="s">
        <v>12098</v>
      </c>
      <c r="E957" s="1" t="s">
        <v>12099</v>
      </c>
      <c r="F957" s="1" t="s">
        <v>12100</v>
      </c>
      <c r="H957" s="2" t="s">
        <v>8</v>
      </c>
      <c r="I957" s="2" t="s">
        <v>7</v>
      </c>
      <c r="J957" s="2" t="s">
        <v>8</v>
      </c>
      <c r="K957" s="2" t="s">
        <v>8</v>
      </c>
      <c r="L957" s="2" t="s">
        <v>9</v>
      </c>
      <c r="M957" s="1" t="s">
        <v>12101</v>
      </c>
      <c r="N957" s="1" t="s">
        <v>12102</v>
      </c>
      <c r="O957" s="2" t="s">
        <v>657</v>
      </c>
      <c r="Q957" s="2" t="s">
        <v>12</v>
      </c>
      <c r="R957" s="2" t="s">
        <v>1170</v>
      </c>
      <c r="S957" s="1" t="s">
        <v>12103</v>
      </c>
      <c r="T957" s="2" t="s">
        <v>14</v>
      </c>
      <c r="U957" s="3">
        <v>0</v>
      </c>
      <c r="V957" s="3">
        <v>0</v>
      </c>
      <c r="W957" s="4" t="s">
        <v>1643</v>
      </c>
      <c r="X957" s="4" t="s">
        <v>1643</v>
      </c>
      <c r="Y957" s="4" t="s">
        <v>1643</v>
      </c>
      <c r="Z957" s="4" t="s">
        <v>1643</v>
      </c>
      <c r="AA957" s="3">
        <v>311</v>
      </c>
      <c r="AB957" s="3">
        <v>288</v>
      </c>
      <c r="AC957" s="3">
        <v>300</v>
      </c>
      <c r="AD957" s="3">
        <v>1</v>
      </c>
      <c r="AE957" s="3">
        <v>1</v>
      </c>
      <c r="AF957" s="3">
        <v>13</v>
      </c>
      <c r="AG957" s="3">
        <v>13</v>
      </c>
      <c r="AH957" s="3">
        <v>7</v>
      </c>
      <c r="AI957" s="3">
        <v>7</v>
      </c>
      <c r="AJ957" s="3">
        <v>2</v>
      </c>
      <c r="AK957" s="3">
        <v>2</v>
      </c>
      <c r="AL957" s="3">
        <v>6</v>
      </c>
      <c r="AM957" s="3">
        <v>6</v>
      </c>
      <c r="AN957" s="3">
        <v>0</v>
      </c>
      <c r="AO957" s="3">
        <v>0</v>
      </c>
      <c r="AP957" s="3">
        <v>0</v>
      </c>
      <c r="AQ957" s="3">
        <v>0</v>
      </c>
      <c r="AR957" s="2" t="s">
        <v>8</v>
      </c>
      <c r="AS957" s="2" t="s">
        <v>6</v>
      </c>
      <c r="AT957" s="5" t="str">
        <f>HYPERLINK("http://catalog.hathitrust.org/Record/004210200","HathiTrust Record")</f>
        <v>HathiTrust Record</v>
      </c>
      <c r="AU957" s="5" t="str">
        <f>HYPERLINK("https://creighton-primo.hosted.exlibrisgroup.com/primo-explore/search?tab=default_tab&amp;search_scope=EVERYTHING&amp;vid=01CRU&amp;lang=en_US&amp;offset=0&amp;query=any,contains,991000396209702656","Catalog Record")</f>
        <v>Catalog Record</v>
      </c>
      <c r="AV957" s="5" t="str">
        <f>HYPERLINK("http://www.worldcat.org/oclc/47764234","WorldCat Record")</f>
        <v>WorldCat Record</v>
      </c>
      <c r="AW957" s="2" t="s">
        <v>12104</v>
      </c>
      <c r="AX957" s="2" t="s">
        <v>12105</v>
      </c>
      <c r="AY957" s="2" t="s">
        <v>12106</v>
      </c>
      <c r="AZ957" s="2" t="s">
        <v>12106</v>
      </c>
      <c r="BA957" s="2" t="s">
        <v>12107</v>
      </c>
      <c r="BB957" s="2" t="s">
        <v>21</v>
      </c>
      <c r="BD957" s="2" t="s">
        <v>12108</v>
      </c>
      <c r="BE957" s="2" t="s">
        <v>12109</v>
      </c>
      <c r="BF957" s="2" t="s">
        <v>12110</v>
      </c>
    </row>
    <row r="958" spans="1:58" ht="42.75" customHeight="1" x14ac:dyDescent="0.25">
      <c r="A958" s="8" t="s">
        <v>8</v>
      </c>
      <c r="B958" s="1" t="s">
        <v>0</v>
      </c>
      <c r="C958" s="1" t="s">
        <v>1</v>
      </c>
      <c r="D958" s="1" t="s">
        <v>12111</v>
      </c>
      <c r="E958" s="1" t="s">
        <v>12112</v>
      </c>
      <c r="F958" s="1" t="s">
        <v>12113</v>
      </c>
      <c r="H958" s="2" t="s">
        <v>8</v>
      </c>
      <c r="I958" s="2" t="s">
        <v>7</v>
      </c>
      <c r="J958" s="2" t="s">
        <v>8</v>
      </c>
      <c r="K958" s="2" t="s">
        <v>8</v>
      </c>
      <c r="L958" s="2" t="s">
        <v>9</v>
      </c>
      <c r="M958" s="1" t="s">
        <v>12114</v>
      </c>
      <c r="N958" s="1" t="s">
        <v>8654</v>
      </c>
      <c r="O958" s="2" t="s">
        <v>2044</v>
      </c>
      <c r="P958" s="1" t="s">
        <v>83</v>
      </c>
      <c r="Q958" s="2" t="s">
        <v>12</v>
      </c>
      <c r="R958" s="2" t="s">
        <v>815</v>
      </c>
      <c r="T958" s="2" t="s">
        <v>14</v>
      </c>
      <c r="U958" s="3">
        <v>5</v>
      </c>
      <c r="V958" s="3">
        <v>5</v>
      </c>
      <c r="W958" s="4" t="s">
        <v>5273</v>
      </c>
      <c r="X958" s="4" t="s">
        <v>5273</v>
      </c>
      <c r="Y958" s="4" t="s">
        <v>12115</v>
      </c>
      <c r="Z958" s="4" t="s">
        <v>12115</v>
      </c>
      <c r="AA958" s="3">
        <v>152</v>
      </c>
      <c r="AB958" s="3">
        <v>144</v>
      </c>
      <c r="AC958" s="3">
        <v>383</v>
      </c>
      <c r="AD958" s="3">
        <v>1</v>
      </c>
      <c r="AE958" s="3">
        <v>2</v>
      </c>
      <c r="AF958" s="3">
        <v>8</v>
      </c>
      <c r="AG958" s="3">
        <v>15</v>
      </c>
      <c r="AH958" s="3">
        <v>2</v>
      </c>
      <c r="AI958" s="3">
        <v>3</v>
      </c>
      <c r="AJ958" s="3">
        <v>4</v>
      </c>
      <c r="AK958" s="3">
        <v>7</v>
      </c>
      <c r="AL958" s="3">
        <v>4</v>
      </c>
      <c r="AM958" s="3">
        <v>7</v>
      </c>
      <c r="AN958" s="3">
        <v>0</v>
      </c>
      <c r="AO958" s="3">
        <v>1</v>
      </c>
      <c r="AP958" s="3">
        <v>0</v>
      </c>
      <c r="AQ958" s="3">
        <v>0</v>
      </c>
      <c r="AR958" s="2" t="s">
        <v>8</v>
      </c>
      <c r="AS958" s="2" t="s">
        <v>8</v>
      </c>
      <c r="AU958" s="5" t="str">
        <f>HYPERLINK("https://creighton-primo.hosted.exlibrisgroup.com/primo-explore/search?tab=default_tab&amp;search_scope=EVERYTHING&amp;vid=01CRU&amp;lang=en_US&amp;offset=0&amp;query=any,contains,991000343849702656","Catalog Record")</f>
        <v>Catalog Record</v>
      </c>
      <c r="AV958" s="5" t="str">
        <f>HYPERLINK("http://www.worldcat.org/oclc/48390646","WorldCat Record")</f>
        <v>WorldCat Record</v>
      </c>
      <c r="AW958" s="2" t="s">
        <v>12116</v>
      </c>
      <c r="AX958" s="2" t="s">
        <v>12117</v>
      </c>
      <c r="AY958" s="2" t="s">
        <v>12118</v>
      </c>
      <c r="AZ958" s="2" t="s">
        <v>12118</v>
      </c>
      <c r="BA958" s="2" t="s">
        <v>12119</v>
      </c>
      <c r="BB958" s="2" t="s">
        <v>21</v>
      </c>
      <c r="BD958" s="2" t="s">
        <v>12120</v>
      </c>
      <c r="BE958" s="2" t="s">
        <v>12121</v>
      </c>
      <c r="BF958" s="2" t="s">
        <v>12122</v>
      </c>
    </row>
    <row r="959" spans="1:58" ht="42.75" customHeight="1" x14ac:dyDescent="0.25">
      <c r="A959" s="8" t="s">
        <v>8</v>
      </c>
      <c r="B959" s="1" t="s">
        <v>0</v>
      </c>
      <c r="C959" s="1" t="s">
        <v>1</v>
      </c>
      <c r="D959" s="1" t="s">
        <v>12123</v>
      </c>
      <c r="E959" s="1" t="s">
        <v>12124</v>
      </c>
      <c r="F959" s="1" t="s">
        <v>12125</v>
      </c>
      <c r="H959" s="2" t="s">
        <v>8</v>
      </c>
      <c r="I959" s="2" t="s">
        <v>7</v>
      </c>
      <c r="J959" s="2" t="s">
        <v>8</v>
      </c>
      <c r="K959" s="2" t="s">
        <v>8</v>
      </c>
      <c r="L959" s="2" t="s">
        <v>9</v>
      </c>
      <c r="N959" s="1" t="s">
        <v>4007</v>
      </c>
      <c r="O959" s="2" t="s">
        <v>1060</v>
      </c>
      <c r="P959" s="1" t="s">
        <v>732</v>
      </c>
      <c r="Q959" s="2" t="s">
        <v>12</v>
      </c>
      <c r="R959" s="2" t="s">
        <v>815</v>
      </c>
      <c r="T959" s="2" t="s">
        <v>14</v>
      </c>
      <c r="U959" s="3">
        <v>17</v>
      </c>
      <c r="V959" s="3">
        <v>17</v>
      </c>
      <c r="W959" s="4" t="s">
        <v>12126</v>
      </c>
      <c r="X959" s="4" t="s">
        <v>12126</v>
      </c>
      <c r="Y959" s="4" t="s">
        <v>2421</v>
      </c>
      <c r="Z959" s="4" t="s">
        <v>2421</v>
      </c>
      <c r="AA959" s="3">
        <v>359</v>
      </c>
      <c r="AB959" s="3">
        <v>317</v>
      </c>
      <c r="AC959" s="3">
        <v>639</v>
      </c>
      <c r="AD959" s="3">
        <v>1</v>
      </c>
      <c r="AE959" s="3">
        <v>4</v>
      </c>
      <c r="AF959" s="3">
        <v>9</v>
      </c>
      <c r="AG959" s="3">
        <v>27</v>
      </c>
      <c r="AH959" s="3">
        <v>3</v>
      </c>
      <c r="AI959" s="3">
        <v>8</v>
      </c>
      <c r="AJ959" s="3">
        <v>2</v>
      </c>
      <c r="AK959" s="3">
        <v>6</v>
      </c>
      <c r="AL959" s="3">
        <v>6</v>
      </c>
      <c r="AM959" s="3">
        <v>14</v>
      </c>
      <c r="AN959" s="3">
        <v>0</v>
      </c>
      <c r="AO959" s="3">
        <v>2</v>
      </c>
      <c r="AP959" s="3">
        <v>2</v>
      </c>
      <c r="AQ959" s="3">
        <v>3</v>
      </c>
      <c r="AR959" s="2" t="s">
        <v>8</v>
      </c>
      <c r="AS959" s="2" t="s">
        <v>6</v>
      </c>
      <c r="AT959" s="5" t="str">
        <f>HYPERLINK("http://catalog.hathitrust.org/Record/003085823","HathiTrust Record")</f>
        <v>HathiTrust Record</v>
      </c>
      <c r="AU959" s="5" t="str">
        <f>HYPERLINK("https://creighton-primo.hosted.exlibrisgroup.com/primo-explore/search?tab=default_tab&amp;search_scope=EVERYTHING&amp;vid=01CRU&amp;lang=en_US&amp;offset=0&amp;query=any,contains,991000836159702656","Catalog Record")</f>
        <v>Catalog Record</v>
      </c>
      <c r="AV959" s="5" t="str">
        <f>HYPERLINK("http://www.worldcat.org/oclc/34412829","WorldCat Record")</f>
        <v>WorldCat Record</v>
      </c>
      <c r="AW959" s="2" t="s">
        <v>12127</v>
      </c>
      <c r="AX959" s="2" t="s">
        <v>12128</v>
      </c>
      <c r="AY959" s="2" t="s">
        <v>12129</v>
      </c>
      <c r="AZ959" s="2" t="s">
        <v>12129</v>
      </c>
      <c r="BA959" s="2" t="s">
        <v>12130</v>
      </c>
      <c r="BB959" s="2" t="s">
        <v>21</v>
      </c>
      <c r="BD959" s="2" t="s">
        <v>12131</v>
      </c>
      <c r="BE959" s="2" t="s">
        <v>12132</v>
      </c>
      <c r="BF959" s="2" t="s">
        <v>12133</v>
      </c>
    </row>
    <row r="960" spans="1:58" ht="42.75" customHeight="1" x14ac:dyDescent="0.25">
      <c r="A960" s="8" t="s">
        <v>8</v>
      </c>
      <c r="B960" s="1" t="s">
        <v>0</v>
      </c>
      <c r="C960" s="1" t="s">
        <v>1</v>
      </c>
      <c r="D960" s="1" t="s">
        <v>12134</v>
      </c>
      <c r="E960" s="1" t="s">
        <v>12135</v>
      </c>
      <c r="F960" s="1" t="s">
        <v>12136</v>
      </c>
      <c r="H960" s="2" t="s">
        <v>8</v>
      </c>
      <c r="I960" s="2" t="s">
        <v>7</v>
      </c>
      <c r="J960" s="2" t="s">
        <v>8</v>
      </c>
      <c r="K960" s="2" t="s">
        <v>8</v>
      </c>
      <c r="L960" s="2" t="s">
        <v>9</v>
      </c>
      <c r="N960" s="1" t="s">
        <v>8389</v>
      </c>
      <c r="O960" s="2" t="s">
        <v>907</v>
      </c>
      <c r="Q960" s="2" t="s">
        <v>12</v>
      </c>
      <c r="R960" s="2" t="s">
        <v>815</v>
      </c>
      <c r="T960" s="2" t="s">
        <v>14</v>
      </c>
      <c r="U960" s="3">
        <v>2</v>
      </c>
      <c r="V960" s="3">
        <v>2</v>
      </c>
      <c r="W960" s="4" t="s">
        <v>12126</v>
      </c>
      <c r="X960" s="4" t="s">
        <v>12126</v>
      </c>
      <c r="Y960" s="4" t="s">
        <v>4589</v>
      </c>
      <c r="Z960" s="4" t="s">
        <v>4589</v>
      </c>
      <c r="AA960" s="3">
        <v>154</v>
      </c>
      <c r="AB960" s="3">
        <v>145</v>
      </c>
      <c r="AC960" s="3">
        <v>145</v>
      </c>
      <c r="AD960" s="3">
        <v>1</v>
      </c>
      <c r="AE960" s="3">
        <v>1</v>
      </c>
      <c r="AF960" s="3">
        <v>6</v>
      </c>
      <c r="AG960" s="3">
        <v>6</v>
      </c>
      <c r="AH960" s="3">
        <v>1</v>
      </c>
      <c r="AI960" s="3">
        <v>1</v>
      </c>
      <c r="AJ960" s="3">
        <v>3</v>
      </c>
      <c r="AK960" s="3">
        <v>3</v>
      </c>
      <c r="AL960" s="3">
        <v>4</v>
      </c>
      <c r="AM960" s="3">
        <v>4</v>
      </c>
      <c r="AN960" s="3">
        <v>0</v>
      </c>
      <c r="AO960" s="3">
        <v>0</v>
      </c>
      <c r="AP960" s="3">
        <v>0</v>
      </c>
      <c r="AQ960" s="3">
        <v>0</v>
      </c>
      <c r="AR960" s="2" t="s">
        <v>8</v>
      </c>
      <c r="AS960" s="2" t="s">
        <v>8</v>
      </c>
      <c r="AU960" s="5" t="str">
        <f>HYPERLINK("https://creighton-primo.hosted.exlibrisgroup.com/primo-explore/search?tab=default_tab&amp;search_scope=EVERYTHING&amp;vid=01CRU&amp;lang=en_US&amp;offset=0&amp;query=any,contains,991000378659702656","Catalog Record")</f>
        <v>Catalog Record</v>
      </c>
      <c r="AV960" s="5" t="str">
        <f>HYPERLINK("http://www.worldcat.org/oclc/42814199","WorldCat Record")</f>
        <v>WorldCat Record</v>
      </c>
      <c r="AW960" s="2" t="s">
        <v>12137</v>
      </c>
      <c r="AX960" s="2" t="s">
        <v>12138</v>
      </c>
      <c r="AY960" s="2" t="s">
        <v>12139</v>
      </c>
      <c r="AZ960" s="2" t="s">
        <v>12139</v>
      </c>
      <c r="BA960" s="2" t="s">
        <v>12140</v>
      </c>
      <c r="BB960" s="2" t="s">
        <v>21</v>
      </c>
      <c r="BD960" s="2" t="s">
        <v>12141</v>
      </c>
      <c r="BE960" s="2" t="s">
        <v>12142</v>
      </c>
      <c r="BF960" s="2" t="s">
        <v>12143</v>
      </c>
    </row>
    <row r="961" spans="1:58" ht="42.75" customHeight="1" x14ac:dyDescent="0.25">
      <c r="A961" s="8" t="s">
        <v>8</v>
      </c>
      <c r="B961" s="1" t="s">
        <v>0</v>
      </c>
      <c r="C961" s="1" t="s">
        <v>1</v>
      </c>
      <c r="D961" s="1" t="s">
        <v>12144</v>
      </c>
      <c r="E961" s="1" t="s">
        <v>12145</v>
      </c>
      <c r="F961" s="1" t="s">
        <v>12146</v>
      </c>
      <c r="H961" s="2" t="s">
        <v>8</v>
      </c>
      <c r="I961" s="2" t="s">
        <v>7</v>
      </c>
      <c r="J961" s="2" t="s">
        <v>8</v>
      </c>
      <c r="K961" s="2" t="s">
        <v>8</v>
      </c>
      <c r="L961" s="2" t="s">
        <v>9</v>
      </c>
      <c r="M961" s="1" t="s">
        <v>12147</v>
      </c>
      <c r="N961" s="1" t="s">
        <v>4246</v>
      </c>
      <c r="O961" s="2" t="s">
        <v>814</v>
      </c>
      <c r="Q961" s="2" t="s">
        <v>12</v>
      </c>
      <c r="R961" s="2" t="s">
        <v>13</v>
      </c>
      <c r="S961" s="1" t="s">
        <v>12148</v>
      </c>
      <c r="T961" s="2" t="s">
        <v>14</v>
      </c>
      <c r="U961" s="3">
        <v>0</v>
      </c>
      <c r="V961" s="3">
        <v>0</v>
      </c>
      <c r="W961" s="4" t="s">
        <v>1643</v>
      </c>
      <c r="X961" s="4" t="s">
        <v>1643</v>
      </c>
      <c r="Y961" s="4" t="s">
        <v>1643</v>
      </c>
      <c r="Z961" s="4" t="s">
        <v>1643</v>
      </c>
      <c r="AA961" s="3">
        <v>24</v>
      </c>
      <c r="AB961" s="3">
        <v>24</v>
      </c>
      <c r="AC961" s="3">
        <v>25</v>
      </c>
      <c r="AD961" s="3">
        <v>1</v>
      </c>
      <c r="AE961" s="3">
        <v>1</v>
      </c>
      <c r="AF961" s="3">
        <v>0</v>
      </c>
      <c r="AG961" s="3">
        <v>0</v>
      </c>
      <c r="AH961" s="3">
        <v>0</v>
      </c>
      <c r="AI961" s="3">
        <v>0</v>
      </c>
      <c r="AJ961" s="3">
        <v>0</v>
      </c>
      <c r="AK961" s="3">
        <v>0</v>
      </c>
      <c r="AL961" s="3">
        <v>0</v>
      </c>
      <c r="AM961" s="3">
        <v>0</v>
      </c>
      <c r="AN961" s="3">
        <v>0</v>
      </c>
      <c r="AO961" s="3">
        <v>0</v>
      </c>
      <c r="AP961" s="3">
        <v>0</v>
      </c>
      <c r="AQ961" s="3">
        <v>0</v>
      </c>
      <c r="AR961" s="2" t="s">
        <v>8</v>
      </c>
      <c r="AS961" s="2" t="s">
        <v>6</v>
      </c>
      <c r="AT961" s="5" t="str">
        <f>HYPERLINK("http://catalog.hathitrust.org/Record/007065725","HathiTrust Record")</f>
        <v>HathiTrust Record</v>
      </c>
      <c r="AU961" s="5" t="str">
        <f>HYPERLINK("https://creighton-primo.hosted.exlibrisgroup.com/primo-explore/search?tab=default_tab&amp;search_scope=EVERYTHING&amp;vid=01CRU&amp;lang=en_US&amp;offset=0&amp;query=any,contains,991000397149702656","Catalog Record")</f>
        <v>Catalog Record</v>
      </c>
      <c r="AV961" s="5" t="str">
        <f>HYPERLINK("http://www.worldcat.org/oclc/40675082","WorldCat Record")</f>
        <v>WorldCat Record</v>
      </c>
      <c r="AW961" s="2" t="s">
        <v>12149</v>
      </c>
      <c r="AX961" s="2" t="s">
        <v>12150</v>
      </c>
      <c r="AY961" s="2" t="s">
        <v>12151</v>
      </c>
      <c r="AZ961" s="2" t="s">
        <v>12151</v>
      </c>
      <c r="BA961" s="2" t="s">
        <v>12152</v>
      </c>
      <c r="BB961" s="2" t="s">
        <v>21</v>
      </c>
      <c r="BD961" s="2" t="s">
        <v>12153</v>
      </c>
      <c r="BE961" s="2" t="s">
        <v>12154</v>
      </c>
      <c r="BF961" s="2" t="s">
        <v>12155</v>
      </c>
    </row>
    <row r="962" spans="1:58" ht="42.75" customHeight="1" x14ac:dyDescent="0.25">
      <c r="A962" s="8" t="s">
        <v>8</v>
      </c>
      <c r="B962" s="1" t="s">
        <v>0</v>
      </c>
      <c r="C962" s="1" t="s">
        <v>1</v>
      </c>
      <c r="D962" s="1" t="s">
        <v>12156</v>
      </c>
      <c r="E962" s="1" t="s">
        <v>12157</v>
      </c>
      <c r="F962" s="1" t="s">
        <v>12158</v>
      </c>
      <c r="H962" s="2" t="s">
        <v>8</v>
      </c>
      <c r="I962" s="2" t="s">
        <v>7</v>
      </c>
      <c r="J962" s="2" t="s">
        <v>8</v>
      </c>
      <c r="K962" s="2" t="s">
        <v>8</v>
      </c>
      <c r="L962" s="2" t="s">
        <v>9</v>
      </c>
      <c r="M962" s="1" t="s">
        <v>11929</v>
      </c>
      <c r="N962" s="1" t="s">
        <v>12159</v>
      </c>
      <c r="O962" s="2" t="s">
        <v>874</v>
      </c>
      <c r="Q962" s="2" t="s">
        <v>12</v>
      </c>
      <c r="R962" s="2" t="s">
        <v>520</v>
      </c>
      <c r="S962" s="1" t="s">
        <v>9160</v>
      </c>
      <c r="T962" s="2" t="s">
        <v>14</v>
      </c>
      <c r="U962" s="3">
        <v>4</v>
      </c>
      <c r="V962" s="3">
        <v>4</v>
      </c>
      <c r="W962" s="4" t="s">
        <v>12160</v>
      </c>
      <c r="X962" s="4" t="s">
        <v>12160</v>
      </c>
      <c r="Y962" s="4" t="s">
        <v>9162</v>
      </c>
      <c r="Z962" s="4" t="s">
        <v>9162</v>
      </c>
      <c r="AA962" s="3">
        <v>48</v>
      </c>
      <c r="AB962" s="3">
        <v>46</v>
      </c>
      <c r="AC962" s="3">
        <v>47</v>
      </c>
      <c r="AD962" s="3">
        <v>1</v>
      </c>
      <c r="AE962" s="3">
        <v>1</v>
      </c>
      <c r="AF962" s="3">
        <v>1</v>
      </c>
      <c r="AG962" s="3">
        <v>1</v>
      </c>
      <c r="AH962" s="3">
        <v>1</v>
      </c>
      <c r="AI962" s="3">
        <v>1</v>
      </c>
      <c r="AJ962" s="3">
        <v>0</v>
      </c>
      <c r="AK962" s="3">
        <v>0</v>
      </c>
      <c r="AL962" s="3">
        <v>0</v>
      </c>
      <c r="AM962" s="3">
        <v>0</v>
      </c>
      <c r="AN962" s="3">
        <v>0</v>
      </c>
      <c r="AO962" s="3">
        <v>0</v>
      </c>
      <c r="AP962" s="3">
        <v>0</v>
      </c>
      <c r="AQ962" s="3">
        <v>0</v>
      </c>
      <c r="AR962" s="2" t="s">
        <v>8</v>
      </c>
      <c r="AS962" s="2" t="s">
        <v>6</v>
      </c>
      <c r="AT962" s="5" t="str">
        <f>HYPERLINK("http://catalog.hathitrust.org/Record/003970473","HathiTrust Record")</f>
        <v>HathiTrust Record</v>
      </c>
      <c r="AU962" s="5" t="str">
        <f>HYPERLINK("https://creighton-primo.hosted.exlibrisgroup.com/primo-explore/search?tab=default_tab&amp;search_scope=EVERYTHING&amp;vid=01CRU&amp;lang=en_US&amp;offset=0&amp;query=any,contains,991001534579702656","Catalog Record")</f>
        <v>Catalog Record</v>
      </c>
      <c r="AV962" s="5" t="str">
        <f>HYPERLINK("http://www.worldcat.org/oclc/37665878","WorldCat Record")</f>
        <v>WorldCat Record</v>
      </c>
      <c r="AW962" s="2" t="s">
        <v>12161</v>
      </c>
      <c r="AX962" s="2" t="s">
        <v>12162</v>
      </c>
      <c r="AY962" s="2" t="s">
        <v>12163</v>
      </c>
      <c r="AZ962" s="2" t="s">
        <v>12163</v>
      </c>
      <c r="BA962" s="2" t="s">
        <v>12164</v>
      </c>
      <c r="BB962" s="2" t="s">
        <v>21</v>
      </c>
      <c r="BD962" s="2" t="s">
        <v>12165</v>
      </c>
      <c r="BE962" s="2" t="s">
        <v>12166</v>
      </c>
      <c r="BF962" s="2" t="s">
        <v>12167</v>
      </c>
    </row>
    <row r="963" spans="1:58" ht="42.75" customHeight="1" x14ac:dyDescent="0.25">
      <c r="A963" s="8" t="s">
        <v>8</v>
      </c>
      <c r="B963" s="1" t="s">
        <v>0</v>
      </c>
      <c r="C963" s="1" t="s">
        <v>1</v>
      </c>
      <c r="D963" s="1" t="s">
        <v>12168</v>
      </c>
      <c r="E963" s="1" t="s">
        <v>12169</v>
      </c>
      <c r="F963" s="1" t="s">
        <v>12170</v>
      </c>
      <c r="H963" s="2" t="s">
        <v>8</v>
      </c>
      <c r="I963" s="2" t="s">
        <v>7</v>
      </c>
      <c r="J963" s="2" t="s">
        <v>8</v>
      </c>
      <c r="K963" s="2" t="s">
        <v>8</v>
      </c>
      <c r="L963" s="2" t="s">
        <v>9</v>
      </c>
      <c r="M963" s="1" t="s">
        <v>12171</v>
      </c>
      <c r="N963" s="1" t="s">
        <v>4326</v>
      </c>
      <c r="O963" s="2" t="s">
        <v>874</v>
      </c>
      <c r="Q963" s="2" t="s">
        <v>12</v>
      </c>
      <c r="R963" s="2" t="s">
        <v>520</v>
      </c>
      <c r="T963" s="2" t="s">
        <v>14</v>
      </c>
      <c r="U963" s="3">
        <v>2</v>
      </c>
      <c r="V963" s="3">
        <v>2</v>
      </c>
      <c r="W963" s="4" t="s">
        <v>9962</v>
      </c>
      <c r="X963" s="4" t="s">
        <v>9962</v>
      </c>
      <c r="Y963" s="4" t="s">
        <v>10218</v>
      </c>
      <c r="Z963" s="4" t="s">
        <v>10218</v>
      </c>
      <c r="AA963" s="3">
        <v>79</v>
      </c>
      <c r="AB963" s="3">
        <v>75</v>
      </c>
      <c r="AC963" s="3">
        <v>80</v>
      </c>
      <c r="AD963" s="3">
        <v>1</v>
      </c>
      <c r="AE963" s="3">
        <v>1</v>
      </c>
      <c r="AF963" s="3">
        <v>4</v>
      </c>
      <c r="AG963" s="3">
        <v>4</v>
      </c>
      <c r="AH963" s="3">
        <v>1</v>
      </c>
      <c r="AI963" s="3">
        <v>1</v>
      </c>
      <c r="AJ963" s="3">
        <v>1</v>
      </c>
      <c r="AK963" s="3">
        <v>1</v>
      </c>
      <c r="AL963" s="3">
        <v>2</v>
      </c>
      <c r="AM963" s="3">
        <v>2</v>
      </c>
      <c r="AN963" s="3">
        <v>0</v>
      </c>
      <c r="AO963" s="3">
        <v>0</v>
      </c>
      <c r="AP963" s="3">
        <v>1</v>
      </c>
      <c r="AQ963" s="3">
        <v>1</v>
      </c>
      <c r="AR963" s="2" t="s">
        <v>8</v>
      </c>
      <c r="AS963" s="2" t="s">
        <v>8</v>
      </c>
      <c r="AU963" s="5" t="str">
        <f>HYPERLINK("https://creighton-primo.hosted.exlibrisgroup.com/primo-explore/search?tab=default_tab&amp;search_scope=EVERYTHING&amp;vid=01CRU&amp;lang=en_US&amp;offset=0&amp;query=any,contains,991001483059702656","Catalog Record")</f>
        <v>Catalog Record</v>
      </c>
      <c r="AV963" s="5" t="str">
        <f>HYPERLINK("http://www.worldcat.org/oclc/35771377","WorldCat Record")</f>
        <v>WorldCat Record</v>
      </c>
      <c r="AW963" s="2" t="s">
        <v>12172</v>
      </c>
      <c r="AX963" s="2" t="s">
        <v>12173</v>
      </c>
      <c r="AY963" s="2" t="s">
        <v>12174</v>
      </c>
      <c r="AZ963" s="2" t="s">
        <v>12174</v>
      </c>
      <c r="BA963" s="2" t="s">
        <v>12175</v>
      </c>
      <c r="BB963" s="2" t="s">
        <v>21</v>
      </c>
      <c r="BD963" s="2" t="s">
        <v>12176</v>
      </c>
      <c r="BE963" s="2" t="s">
        <v>12177</v>
      </c>
      <c r="BF963" s="2" t="s">
        <v>12178</v>
      </c>
    </row>
    <row r="964" spans="1:58" ht="42.75" customHeight="1" x14ac:dyDescent="0.25">
      <c r="A964" s="8" t="s">
        <v>8</v>
      </c>
      <c r="B964" s="1" t="s">
        <v>0</v>
      </c>
      <c r="C964" s="1" t="s">
        <v>1</v>
      </c>
      <c r="D964" s="1" t="s">
        <v>12179</v>
      </c>
      <c r="E964" s="1" t="s">
        <v>12180</v>
      </c>
      <c r="F964" s="1" t="s">
        <v>12181</v>
      </c>
      <c r="H964" s="2" t="s">
        <v>8</v>
      </c>
      <c r="I964" s="2" t="s">
        <v>7</v>
      </c>
      <c r="J964" s="2" t="s">
        <v>8</v>
      </c>
      <c r="K964" s="2" t="s">
        <v>8</v>
      </c>
      <c r="L964" s="2" t="s">
        <v>9</v>
      </c>
      <c r="N964" s="1" t="s">
        <v>12182</v>
      </c>
      <c r="O964" s="2" t="s">
        <v>814</v>
      </c>
      <c r="Q964" s="2" t="s">
        <v>12</v>
      </c>
      <c r="R964" s="2" t="s">
        <v>1211</v>
      </c>
      <c r="T964" s="2" t="s">
        <v>14</v>
      </c>
      <c r="U964" s="3">
        <v>4</v>
      </c>
      <c r="V964" s="3">
        <v>4</v>
      </c>
      <c r="W964" s="4" t="s">
        <v>3110</v>
      </c>
      <c r="X964" s="4" t="s">
        <v>3110</v>
      </c>
      <c r="Y964" s="4" t="s">
        <v>4548</v>
      </c>
      <c r="Z964" s="4" t="s">
        <v>4548</v>
      </c>
      <c r="AA964" s="3">
        <v>320</v>
      </c>
      <c r="AB964" s="3">
        <v>290</v>
      </c>
      <c r="AC964" s="3">
        <v>295</v>
      </c>
      <c r="AD964" s="3">
        <v>2</v>
      </c>
      <c r="AE964" s="3">
        <v>2</v>
      </c>
      <c r="AF964" s="3">
        <v>16</v>
      </c>
      <c r="AG964" s="3">
        <v>16</v>
      </c>
      <c r="AH964" s="3">
        <v>5</v>
      </c>
      <c r="AI964" s="3">
        <v>5</v>
      </c>
      <c r="AJ964" s="3">
        <v>5</v>
      </c>
      <c r="AK964" s="3">
        <v>5</v>
      </c>
      <c r="AL964" s="3">
        <v>10</v>
      </c>
      <c r="AM964" s="3">
        <v>10</v>
      </c>
      <c r="AN964" s="3">
        <v>1</v>
      </c>
      <c r="AO964" s="3">
        <v>1</v>
      </c>
      <c r="AP964" s="3">
        <v>2</v>
      </c>
      <c r="AQ964" s="3">
        <v>2</v>
      </c>
      <c r="AR964" s="2" t="s">
        <v>8</v>
      </c>
      <c r="AS964" s="2" t="s">
        <v>8</v>
      </c>
      <c r="AU964" s="5" t="str">
        <f>HYPERLINK("https://creighton-primo.hosted.exlibrisgroup.com/primo-explore/search?tab=default_tab&amp;search_scope=EVERYTHING&amp;vid=01CRU&amp;lang=en_US&amp;offset=0&amp;query=any,contains,991001408679702656","Catalog Record")</f>
        <v>Catalog Record</v>
      </c>
      <c r="AV964" s="5" t="str">
        <f>HYPERLINK("http://www.worldcat.org/oclc/39981766","WorldCat Record")</f>
        <v>WorldCat Record</v>
      </c>
      <c r="AW964" s="2" t="s">
        <v>12183</v>
      </c>
      <c r="AX964" s="2" t="s">
        <v>12184</v>
      </c>
      <c r="AY964" s="2" t="s">
        <v>12185</v>
      </c>
      <c r="AZ964" s="2" t="s">
        <v>12185</v>
      </c>
      <c r="BA964" s="2" t="s">
        <v>12186</v>
      </c>
      <c r="BB964" s="2" t="s">
        <v>21</v>
      </c>
      <c r="BD964" s="2" t="s">
        <v>12187</v>
      </c>
      <c r="BE964" s="2" t="s">
        <v>12188</v>
      </c>
      <c r="BF964" s="2" t="s">
        <v>12189</v>
      </c>
    </row>
    <row r="965" spans="1:58" ht="42.75" customHeight="1" x14ac:dyDescent="0.25">
      <c r="A965" s="8" t="s">
        <v>8</v>
      </c>
      <c r="B965" s="1" t="s">
        <v>0</v>
      </c>
      <c r="C965" s="1" t="s">
        <v>1</v>
      </c>
      <c r="D965" s="1" t="s">
        <v>12190</v>
      </c>
      <c r="E965" s="1" t="s">
        <v>12191</v>
      </c>
      <c r="F965" s="1" t="s">
        <v>12192</v>
      </c>
      <c r="H965" s="2" t="s">
        <v>8</v>
      </c>
      <c r="I965" s="2" t="s">
        <v>7</v>
      </c>
      <c r="J965" s="2" t="s">
        <v>8</v>
      </c>
      <c r="K965" s="2" t="s">
        <v>8</v>
      </c>
      <c r="L965" s="2" t="s">
        <v>9</v>
      </c>
      <c r="N965" s="1" t="s">
        <v>12193</v>
      </c>
      <c r="O965" s="2" t="s">
        <v>814</v>
      </c>
      <c r="Q965" s="2" t="s">
        <v>12</v>
      </c>
      <c r="R965" s="2" t="s">
        <v>13</v>
      </c>
      <c r="T965" s="2" t="s">
        <v>14</v>
      </c>
      <c r="U965" s="3">
        <v>1</v>
      </c>
      <c r="V965" s="3">
        <v>1</v>
      </c>
      <c r="W965" s="4" t="s">
        <v>1643</v>
      </c>
      <c r="X965" s="4" t="s">
        <v>1643</v>
      </c>
      <c r="Y965" s="4" t="s">
        <v>1643</v>
      </c>
      <c r="Z965" s="4" t="s">
        <v>1643</v>
      </c>
      <c r="AA965" s="3">
        <v>53</v>
      </c>
      <c r="AB965" s="3">
        <v>53</v>
      </c>
      <c r="AC965" s="3">
        <v>53</v>
      </c>
      <c r="AD965" s="3">
        <v>1</v>
      </c>
      <c r="AE965" s="3">
        <v>1</v>
      </c>
      <c r="AF965" s="3">
        <v>2</v>
      </c>
      <c r="AG965" s="3">
        <v>2</v>
      </c>
      <c r="AH965" s="3">
        <v>0</v>
      </c>
      <c r="AI965" s="3">
        <v>0</v>
      </c>
      <c r="AJ965" s="3">
        <v>1</v>
      </c>
      <c r="AK965" s="3">
        <v>1</v>
      </c>
      <c r="AL965" s="3">
        <v>1</v>
      </c>
      <c r="AM965" s="3">
        <v>1</v>
      </c>
      <c r="AN965" s="3">
        <v>0</v>
      </c>
      <c r="AO965" s="3">
        <v>0</v>
      </c>
      <c r="AP965" s="3">
        <v>0</v>
      </c>
      <c r="AQ965" s="3">
        <v>0</v>
      </c>
      <c r="AR965" s="2" t="s">
        <v>8</v>
      </c>
      <c r="AS965" s="2" t="s">
        <v>8</v>
      </c>
      <c r="AU965" s="5" t="str">
        <f>HYPERLINK("https://creighton-primo.hosted.exlibrisgroup.com/primo-explore/search?tab=default_tab&amp;search_scope=EVERYTHING&amp;vid=01CRU&amp;lang=en_US&amp;offset=0&amp;query=any,contains,991000396289702656","Catalog Record")</f>
        <v>Catalog Record</v>
      </c>
      <c r="AV965" s="5" t="str">
        <f>HYPERLINK("http://www.worldcat.org/oclc/39764036","WorldCat Record")</f>
        <v>WorldCat Record</v>
      </c>
      <c r="AW965" s="2" t="s">
        <v>12194</v>
      </c>
      <c r="AX965" s="2" t="s">
        <v>12195</v>
      </c>
      <c r="AY965" s="2" t="s">
        <v>12196</v>
      </c>
      <c r="AZ965" s="2" t="s">
        <v>12196</v>
      </c>
      <c r="BA965" s="2" t="s">
        <v>12197</v>
      </c>
      <c r="BB965" s="2" t="s">
        <v>21</v>
      </c>
      <c r="BD965" s="2" t="s">
        <v>12198</v>
      </c>
      <c r="BE965" s="2" t="s">
        <v>12199</v>
      </c>
      <c r="BF965" s="2" t="s">
        <v>12200</v>
      </c>
    </row>
    <row r="966" spans="1:58" ht="42.75" customHeight="1" x14ac:dyDescent="0.25">
      <c r="A966" s="8" t="s">
        <v>8</v>
      </c>
      <c r="B966" s="1" t="s">
        <v>0</v>
      </c>
      <c r="C966" s="1" t="s">
        <v>1</v>
      </c>
      <c r="D966" s="1" t="s">
        <v>12201</v>
      </c>
      <c r="E966" s="1" t="s">
        <v>12202</v>
      </c>
      <c r="F966" s="1" t="s">
        <v>12203</v>
      </c>
      <c r="H966" s="2" t="s">
        <v>8</v>
      </c>
      <c r="I966" s="2" t="s">
        <v>7</v>
      </c>
      <c r="J966" s="2" t="s">
        <v>8</v>
      </c>
      <c r="K966" s="2" t="s">
        <v>8</v>
      </c>
      <c r="L966" s="2" t="s">
        <v>9</v>
      </c>
      <c r="M966" s="1" t="s">
        <v>12204</v>
      </c>
      <c r="N966" s="1" t="s">
        <v>4232</v>
      </c>
      <c r="O966" s="2" t="s">
        <v>731</v>
      </c>
      <c r="Q966" s="2" t="s">
        <v>12</v>
      </c>
      <c r="R966" s="2" t="s">
        <v>815</v>
      </c>
      <c r="T966" s="2" t="s">
        <v>14</v>
      </c>
      <c r="U966" s="3">
        <v>11</v>
      </c>
      <c r="V966" s="3">
        <v>11</v>
      </c>
      <c r="W966" s="4" t="s">
        <v>12126</v>
      </c>
      <c r="X966" s="4" t="s">
        <v>12126</v>
      </c>
      <c r="Y966" s="4" t="s">
        <v>8286</v>
      </c>
      <c r="Z966" s="4" t="s">
        <v>8286</v>
      </c>
      <c r="AA966" s="3">
        <v>390</v>
      </c>
      <c r="AB966" s="3">
        <v>365</v>
      </c>
      <c r="AC966" s="3">
        <v>371</v>
      </c>
      <c r="AD966" s="3">
        <v>3</v>
      </c>
      <c r="AE966" s="3">
        <v>3</v>
      </c>
      <c r="AF966" s="3">
        <v>15</v>
      </c>
      <c r="AG966" s="3">
        <v>15</v>
      </c>
      <c r="AH966" s="3">
        <v>4</v>
      </c>
      <c r="AI966" s="3">
        <v>4</v>
      </c>
      <c r="AJ966" s="3">
        <v>4</v>
      </c>
      <c r="AK966" s="3">
        <v>4</v>
      </c>
      <c r="AL966" s="3">
        <v>8</v>
      </c>
      <c r="AM966" s="3">
        <v>8</v>
      </c>
      <c r="AN966" s="3">
        <v>2</v>
      </c>
      <c r="AO966" s="3">
        <v>2</v>
      </c>
      <c r="AP966" s="3">
        <v>0</v>
      </c>
      <c r="AQ966" s="3">
        <v>0</v>
      </c>
      <c r="AR966" s="2" t="s">
        <v>8</v>
      </c>
      <c r="AS966" s="2" t="s">
        <v>6</v>
      </c>
      <c r="AT966" s="5" t="str">
        <f>HYPERLINK("http://catalog.hathitrust.org/Record/004014207","HathiTrust Record")</f>
        <v>HathiTrust Record</v>
      </c>
      <c r="AU966" s="5" t="str">
        <f>HYPERLINK("https://creighton-primo.hosted.exlibrisgroup.com/primo-explore/search?tab=default_tab&amp;search_scope=EVERYTHING&amp;vid=01CRU&amp;lang=en_US&amp;offset=0&amp;query=any,contains,991001533039702656","Catalog Record")</f>
        <v>Catalog Record</v>
      </c>
      <c r="AV966" s="5" t="str">
        <f>HYPERLINK("http://www.worldcat.org/oclc/39478170","WorldCat Record")</f>
        <v>WorldCat Record</v>
      </c>
      <c r="AW966" s="2" t="s">
        <v>12205</v>
      </c>
      <c r="AX966" s="2" t="s">
        <v>12206</v>
      </c>
      <c r="AY966" s="2" t="s">
        <v>12207</v>
      </c>
      <c r="AZ966" s="2" t="s">
        <v>12207</v>
      </c>
      <c r="BA966" s="2" t="s">
        <v>12208</v>
      </c>
      <c r="BB966" s="2" t="s">
        <v>21</v>
      </c>
      <c r="BD966" s="2" t="s">
        <v>12209</v>
      </c>
      <c r="BE966" s="2" t="s">
        <v>12210</v>
      </c>
      <c r="BF966" s="2" t="s">
        <v>12211</v>
      </c>
    </row>
    <row r="967" spans="1:58" ht="42.75" customHeight="1" x14ac:dyDescent="0.25">
      <c r="A967" s="8" t="s">
        <v>8</v>
      </c>
      <c r="B967" s="1" t="s">
        <v>0</v>
      </c>
      <c r="C967" s="1" t="s">
        <v>1</v>
      </c>
      <c r="D967" s="1" t="s">
        <v>12212</v>
      </c>
      <c r="E967" s="1" t="s">
        <v>12213</v>
      </c>
      <c r="F967" s="1" t="s">
        <v>12214</v>
      </c>
      <c r="H967" s="2" t="s">
        <v>8</v>
      </c>
      <c r="I967" s="2" t="s">
        <v>7</v>
      </c>
      <c r="J967" s="2" t="s">
        <v>8</v>
      </c>
      <c r="K967" s="2" t="s">
        <v>8</v>
      </c>
      <c r="L967" s="2" t="s">
        <v>9</v>
      </c>
      <c r="M967" s="1" t="s">
        <v>12215</v>
      </c>
      <c r="N967" s="1" t="s">
        <v>12216</v>
      </c>
      <c r="O967" s="2" t="s">
        <v>814</v>
      </c>
      <c r="Q967" s="2" t="s">
        <v>12</v>
      </c>
      <c r="R967" s="2" t="s">
        <v>520</v>
      </c>
      <c r="T967" s="2" t="s">
        <v>14</v>
      </c>
      <c r="U967" s="3">
        <v>0</v>
      </c>
      <c r="V967" s="3">
        <v>0</v>
      </c>
      <c r="W967" s="4" t="s">
        <v>4327</v>
      </c>
      <c r="X967" s="4" t="s">
        <v>4327</v>
      </c>
      <c r="Y967" s="4" t="s">
        <v>4327</v>
      </c>
      <c r="Z967" s="4" t="s">
        <v>4327</v>
      </c>
      <c r="AA967" s="3">
        <v>38</v>
      </c>
      <c r="AB967" s="3">
        <v>37</v>
      </c>
      <c r="AC967" s="3">
        <v>39</v>
      </c>
      <c r="AD967" s="3">
        <v>1</v>
      </c>
      <c r="AE967" s="3">
        <v>1</v>
      </c>
      <c r="AF967" s="3">
        <v>2</v>
      </c>
      <c r="AG967" s="3">
        <v>2</v>
      </c>
      <c r="AH967" s="3">
        <v>0</v>
      </c>
      <c r="AI967" s="3">
        <v>0</v>
      </c>
      <c r="AJ967" s="3">
        <v>1</v>
      </c>
      <c r="AK967" s="3">
        <v>1</v>
      </c>
      <c r="AL967" s="3">
        <v>2</v>
      </c>
      <c r="AM967" s="3">
        <v>2</v>
      </c>
      <c r="AN967" s="3">
        <v>0</v>
      </c>
      <c r="AO967" s="3">
        <v>0</v>
      </c>
      <c r="AP967" s="3">
        <v>0</v>
      </c>
      <c r="AQ967" s="3">
        <v>0</v>
      </c>
      <c r="AR967" s="2" t="s">
        <v>8</v>
      </c>
      <c r="AS967" s="2" t="s">
        <v>6</v>
      </c>
      <c r="AT967" s="5" t="str">
        <f>HYPERLINK("http://catalog.hathitrust.org/Record/009819655","HathiTrust Record")</f>
        <v>HathiTrust Record</v>
      </c>
      <c r="AU967" s="5" t="str">
        <f>HYPERLINK("https://creighton-primo.hosted.exlibrisgroup.com/primo-explore/search?tab=default_tab&amp;search_scope=EVERYTHING&amp;vid=01CRU&amp;lang=en_US&amp;offset=0&amp;query=any,contains,991000381649702656","Catalog Record")</f>
        <v>Catalog Record</v>
      </c>
      <c r="AV967" s="5" t="str">
        <f>HYPERLINK("http://www.worldcat.org/oclc/42009376","WorldCat Record")</f>
        <v>WorldCat Record</v>
      </c>
      <c r="AW967" s="2" t="s">
        <v>12217</v>
      </c>
      <c r="AX967" s="2" t="s">
        <v>12218</v>
      </c>
      <c r="AY967" s="2" t="s">
        <v>12219</v>
      </c>
      <c r="AZ967" s="2" t="s">
        <v>12219</v>
      </c>
      <c r="BA967" s="2" t="s">
        <v>12220</v>
      </c>
      <c r="BB967" s="2" t="s">
        <v>21</v>
      </c>
      <c r="BD967" s="2" t="s">
        <v>12221</v>
      </c>
      <c r="BE967" s="2" t="s">
        <v>12222</v>
      </c>
      <c r="BF967" s="2" t="s">
        <v>12223</v>
      </c>
    </row>
    <row r="968" spans="1:58" ht="42.75" customHeight="1" x14ac:dyDescent="0.25">
      <c r="A968" s="8" t="s">
        <v>8</v>
      </c>
      <c r="B968" s="1" t="s">
        <v>0</v>
      </c>
      <c r="C968" s="1" t="s">
        <v>1</v>
      </c>
      <c r="D968" s="1" t="s">
        <v>12224</v>
      </c>
      <c r="E968" s="1" t="s">
        <v>12225</v>
      </c>
      <c r="F968" s="1" t="s">
        <v>12226</v>
      </c>
      <c r="H968" s="2" t="s">
        <v>8</v>
      </c>
      <c r="I968" s="2" t="s">
        <v>7</v>
      </c>
      <c r="J968" s="2" t="s">
        <v>8</v>
      </c>
      <c r="K968" s="2" t="s">
        <v>8</v>
      </c>
      <c r="L968" s="2" t="s">
        <v>9</v>
      </c>
      <c r="N968" s="1" t="s">
        <v>12227</v>
      </c>
      <c r="O968" s="2" t="s">
        <v>731</v>
      </c>
      <c r="Q968" s="2" t="s">
        <v>12</v>
      </c>
      <c r="R968" s="2" t="s">
        <v>1170</v>
      </c>
      <c r="T968" s="2" t="s">
        <v>14</v>
      </c>
      <c r="U968" s="3">
        <v>0</v>
      </c>
      <c r="V968" s="3">
        <v>0</v>
      </c>
      <c r="W968" s="4" t="s">
        <v>1003</v>
      </c>
      <c r="X968" s="4" t="s">
        <v>1003</v>
      </c>
      <c r="Y968" s="4" t="s">
        <v>1004</v>
      </c>
      <c r="Z968" s="4" t="s">
        <v>1004</v>
      </c>
      <c r="AA968" s="3">
        <v>24</v>
      </c>
      <c r="AB968" s="3">
        <v>24</v>
      </c>
      <c r="AC968" s="3">
        <v>24</v>
      </c>
      <c r="AD968" s="3">
        <v>1</v>
      </c>
      <c r="AE968" s="3">
        <v>1</v>
      </c>
      <c r="AF968" s="3">
        <v>1</v>
      </c>
      <c r="AG968" s="3">
        <v>1</v>
      </c>
      <c r="AH968" s="3">
        <v>1</v>
      </c>
      <c r="AI968" s="3">
        <v>1</v>
      </c>
      <c r="AJ968" s="3">
        <v>0</v>
      </c>
      <c r="AK968" s="3">
        <v>0</v>
      </c>
      <c r="AL968" s="3">
        <v>1</v>
      </c>
      <c r="AM968" s="3">
        <v>1</v>
      </c>
      <c r="AN968" s="3">
        <v>0</v>
      </c>
      <c r="AO968" s="3">
        <v>0</v>
      </c>
      <c r="AP968" s="3">
        <v>0</v>
      </c>
      <c r="AQ968" s="3">
        <v>0</v>
      </c>
      <c r="AR968" s="2" t="s">
        <v>8</v>
      </c>
      <c r="AS968" s="2" t="s">
        <v>8</v>
      </c>
      <c r="AU968" s="5" t="str">
        <f>HYPERLINK("https://creighton-primo.hosted.exlibrisgroup.com/primo-explore/search?tab=default_tab&amp;search_scope=EVERYTHING&amp;vid=01CRU&amp;lang=en_US&amp;offset=0&amp;query=any,contains,991000398409702656","Catalog Record")</f>
        <v>Catalog Record</v>
      </c>
      <c r="AV968" s="5" t="str">
        <f>HYPERLINK("http://www.worldcat.org/oclc/37947638","WorldCat Record")</f>
        <v>WorldCat Record</v>
      </c>
      <c r="AW968" s="2" t="s">
        <v>12228</v>
      </c>
      <c r="AX968" s="2" t="s">
        <v>12229</v>
      </c>
      <c r="AY968" s="2" t="s">
        <v>12230</v>
      </c>
      <c r="AZ968" s="2" t="s">
        <v>12230</v>
      </c>
      <c r="BA968" s="2" t="s">
        <v>12231</v>
      </c>
      <c r="BB968" s="2" t="s">
        <v>21</v>
      </c>
      <c r="BD968" s="2" t="s">
        <v>12232</v>
      </c>
      <c r="BE968" s="2" t="s">
        <v>12233</v>
      </c>
      <c r="BF968" s="2" t="s">
        <v>12234</v>
      </c>
    </row>
    <row r="969" spans="1:58" ht="42.75" customHeight="1" x14ac:dyDescent="0.25">
      <c r="A969" s="8" t="s">
        <v>8</v>
      </c>
      <c r="B969" s="1" t="s">
        <v>0</v>
      </c>
      <c r="C969" s="1" t="s">
        <v>1</v>
      </c>
      <c r="D969" s="1" t="s">
        <v>12235</v>
      </c>
      <c r="E969" s="1" t="s">
        <v>12236</v>
      </c>
      <c r="F969" s="1" t="s">
        <v>12237</v>
      </c>
      <c r="H969" s="2" t="s">
        <v>8</v>
      </c>
      <c r="I969" s="2" t="s">
        <v>7</v>
      </c>
      <c r="J969" s="2" t="s">
        <v>8</v>
      </c>
      <c r="K969" s="2" t="s">
        <v>8</v>
      </c>
      <c r="L969" s="2" t="s">
        <v>9</v>
      </c>
      <c r="M969" s="1" t="s">
        <v>12238</v>
      </c>
      <c r="N969" s="1" t="s">
        <v>12239</v>
      </c>
      <c r="O969" s="2" t="s">
        <v>657</v>
      </c>
      <c r="Q969" s="2" t="s">
        <v>12</v>
      </c>
      <c r="R969" s="2" t="s">
        <v>520</v>
      </c>
      <c r="T969" s="2" t="s">
        <v>14</v>
      </c>
      <c r="U969" s="3">
        <v>1</v>
      </c>
      <c r="V969" s="3">
        <v>1</v>
      </c>
      <c r="W969" s="4" t="s">
        <v>10940</v>
      </c>
      <c r="X969" s="4" t="s">
        <v>10940</v>
      </c>
      <c r="Y969" s="4" t="s">
        <v>10941</v>
      </c>
      <c r="Z969" s="4" t="s">
        <v>10941</v>
      </c>
      <c r="AA969" s="3">
        <v>77</v>
      </c>
      <c r="AB969" s="3">
        <v>73</v>
      </c>
      <c r="AC969" s="3">
        <v>77</v>
      </c>
      <c r="AD969" s="3">
        <v>1</v>
      </c>
      <c r="AE969" s="3">
        <v>1</v>
      </c>
      <c r="AF969" s="3">
        <v>5</v>
      </c>
      <c r="AG969" s="3">
        <v>5</v>
      </c>
      <c r="AH969" s="3">
        <v>2</v>
      </c>
      <c r="AI969" s="3">
        <v>2</v>
      </c>
      <c r="AJ969" s="3">
        <v>2</v>
      </c>
      <c r="AK969" s="3">
        <v>2</v>
      </c>
      <c r="AL969" s="3">
        <v>2</v>
      </c>
      <c r="AM969" s="3">
        <v>2</v>
      </c>
      <c r="AN969" s="3">
        <v>0</v>
      </c>
      <c r="AO969" s="3">
        <v>0</v>
      </c>
      <c r="AP969" s="3">
        <v>0</v>
      </c>
      <c r="AQ969" s="3">
        <v>0</v>
      </c>
      <c r="AR969" s="2" t="s">
        <v>8</v>
      </c>
      <c r="AS969" s="2" t="s">
        <v>6</v>
      </c>
      <c r="AT969" s="5" t="str">
        <f>HYPERLINK("http://catalog.hathitrust.org/Record/009148051","HathiTrust Record")</f>
        <v>HathiTrust Record</v>
      </c>
      <c r="AU969" s="5" t="str">
        <f>HYPERLINK("https://creighton-primo.hosted.exlibrisgroup.com/primo-explore/search?tab=default_tab&amp;search_scope=EVERYTHING&amp;vid=01CRU&amp;lang=en_US&amp;offset=0&amp;query=any,contains,991000349099702656","Catalog Record")</f>
        <v>Catalog Record</v>
      </c>
      <c r="AV969" s="5" t="str">
        <f>HYPERLINK("http://www.worldcat.org/oclc/45066321","WorldCat Record")</f>
        <v>WorldCat Record</v>
      </c>
      <c r="AW969" s="2" t="s">
        <v>12240</v>
      </c>
      <c r="AX969" s="2" t="s">
        <v>12241</v>
      </c>
      <c r="AY969" s="2" t="s">
        <v>12242</v>
      </c>
      <c r="AZ969" s="2" t="s">
        <v>12242</v>
      </c>
      <c r="BA969" s="2" t="s">
        <v>12243</v>
      </c>
      <c r="BB969" s="2" t="s">
        <v>21</v>
      </c>
      <c r="BD969" s="2" t="s">
        <v>12244</v>
      </c>
      <c r="BE969" s="2" t="s">
        <v>12245</v>
      </c>
      <c r="BF969" s="2" t="s">
        <v>12246</v>
      </c>
    </row>
    <row r="970" spans="1:58" ht="42.75" customHeight="1" x14ac:dyDescent="0.25">
      <c r="A970" s="8" t="s">
        <v>8</v>
      </c>
      <c r="B970" s="1" t="s">
        <v>0</v>
      </c>
      <c r="C970" s="1" t="s">
        <v>1</v>
      </c>
      <c r="D970" s="1" t="s">
        <v>12247</v>
      </c>
      <c r="E970" s="1" t="s">
        <v>12248</v>
      </c>
      <c r="F970" s="1" t="s">
        <v>12249</v>
      </c>
      <c r="H970" s="2" t="s">
        <v>8</v>
      </c>
      <c r="I970" s="2" t="s">
        <v>7</v>
      </c>
      <c r="J970" s="2" t="s">
        <v>8</v>
      </c>
      <c r="K970" s="2" t="s">
        <v>8</v>
      </c>
      <c r="L970" s="2" t="s">
        <v>9</v>
      </c>
      <c r="N970" s="1" t="s">
        <v>12250</v>
      </c>
      <c r="O970" s="2" t="s">
        <v>814</v>
      </c>
      <c r="P970" s="1" t="s">
        <v>1225</v>
      </c>
      <c r="Q970" s="2" t="s">
        <v>12</v>
      </c>
      <c r="R970" s="2" t="s">
        <v>1170</v>
      </c>
      <c r="S970" s="1" t="s">
        <v>12103</v>
      </c>
      <c r="T970" s="2" t="s">
        <v>14</v>
      </c>
      <c r="U970" s="3">
        <v>0</v>
      </c>
      <c r="V970" s="3">
        <v>0</v>
      </c>
      <c r="W970" s="4" t="s">
        <v>1643</v>
      </c>
      <c r="X970" s="4" t="s">
        <v>1643</v>
      </c>
      <c r="Y970" s="4" t="s">
        <v>1643</v>
      </c>
      <c r="Z970" s="4" t="s">
        <v>1643</v>
      </c>
      <c r="AA970" s="3">
        <v>120</v>
      </c>
      <c r="AB970" s="3">
        <v>108</v>
      </c>
      <c r="AC970" s="3">
        <v>110</v>
      </c>
      <c r="AD970" s="3">
        <v>2</v>
      </c>
      <c r="AE970" s="3">
        <v>2</v>
      </c>
      <c r="AF970" s="3">
        <v>5</v>
      </c>
      <c r="AG970" s="3">
        <v>5</v>
      </c>
      <c r="AH970" s="3">
        <v>0</v>
      </c>
      <c r="AI970" s="3">
        <v>0</v>
      </c>
      <c r="AJ970" s="3">
        <v>2</v>
      </c>
      <c r="AK970" s="3">
        <v>2</v>
      </c>
      <c r="AL970" s="3">
        <v>4</v>
      </c>
      <c r="AM970" s="3">
        <v>4</v>
      </c>
      <c r="AN970" s="3">
        <v>1</v>
      </c>
      <c r="AO970" s="3">
        <v>1</v>
      </c>
      <c r="AP970" s="3">
        <v>0</v>
      </c>
      <c r="AQ970" s="3">
        <v>0</v>
      </c>
      <c r="AR970" s="2" t="s">
        <v>8</v>
      </c>
      <c r="AS970" s="2" t="s">
        <v>6</v>
      </c>
      <c r="AT970" s="5" t="str">
        <f>HYPERLINK("http://catalog.hathitrust.org/Record/004015875","HathiTrust Record")</f>
        <v>HathiTrust Record</v>
      </c>
      <c r="AU970" s="5" t="str">
        <f>HYPERLINK("https://creighton-primo.hosted.exlibrisgroup.com/primo-explore/search?tab=default_tab&amp;search_scope=EVERYTHING&amp;vid=01CRU&amp;lang=en_US&amp;offset=0&amp;query=any,contains,991000395889702656","Catalog Record")</f>
        <v>Catalog Record</v>
      </c>
      <c r="AV970" s="5" t="str">
        <f>HYPERLINK("http://www.worldcat.org/oclc/39747911","WorldCat Record")</f>
        <v>WorldCat Record</v>
      </c>
      <c r="AW970" s="2" t="s">
        <v>12251</v>
      </c>
      <c r="AX970" s="2" t="s">
        <v>12252</v>
      </c>
      <c r="AY970" s="2" t="s">
        <v>12253</v>
      </c>
      <c r="AZ970" s="2" t="s">
        <v>12253</v>
      </c>
      <c r="BA970" s="2" t="s">
        <v>12254</v>
      </c>
      <c r="BB970" s="2" t="s">
        <v>21</v>
      </c>
      <c r="BD970" s="2" t="s">
        <v>12255</v>
      </c>
      <c r="BE970" s="2" t="s">
        <v>12256</v>
      </c>
      <c r="BF970" s="2" t="s">
        <v>12257</v>
      </c>
    </row>
    <row r="971" spans="1:58" ht="42.75" customHeight="1" x14ac:dyDescent="0.25">
      <c r="A971" s="8" t="s">
        <v>8</v>
      </c>
      <c r="B971" s="1" t="s">
        <v>0</v>
      </c>
      <c r="C971" s="1" t="s">
        <v>1</v>
      </c>
      <c r="D971" s="1" t="s">
        <v>12258</v>
      </c>
      <c r="E971" s="1" t="s">
        <v>12259</v>
      </c>
      <c r="F971" s="1" t="s">
        <v>12260</v>
      </c>
      <c r="H971" s="2" t="s">
        <v>8</v>
      </c>
      <c r="I971" s="2" t="s">
        <v>7</v>
      </c>
      <c r="J971" s="2" t="s">
        <v>8</v>
      </c>
      <c r="K971" s="2" t="s">
        <v>8</v>
      </c>
      <c r="L971" s="2" t="s">
        <v>7</v>
      </c>
      <c r="M971" s="1" t="s">
        <v>12261</v>
      </c>
      <c r="N971" s="1" t="s">
        <v>12262</v>
      </c>
      <c r="O971" s="2" t="s">
        <v>907</v>
      </c>
      <c r="Q971" s="2" t="s">
        <v>12</v>
      </c>
      <c r="R971" s="2" t="s">
        <v>643</v>
      </c>
      <c r="T971" s="2" t="s">
        <v>14</v>
      </c>
      <c r="U971" s="3">
        <v>7</v>
      </c>
      <c r="V971" s="3">
        <v>7</v>
      </c>
      <c r="W971" s="4" t="s">
        <v>12263</v>
      </c>
      <c r="X971" s="4" t="s">
        <v>12263</v>
      </c>
      <c r="Y971" s="4" t="s">
        <v>10320</v>
      </c>
      <c r="Z971" s="4" t="s">
        <v>10320</v>
      </c>
      <c r="AA971" s="3">
        <v>314</v>
      </c>
      <c r="AB971" s="3">
        <v>260</v>
      </c>
      <c r="AC971" s="3">
        <v>1192</v>
      </c>
      <c r="AD971" s="3">
        <v>1</v>
      </c>
      <c r="AE971" s="3">
        <v>14</v>
      </c>
      <c r="AF971" s="3">
        <v>15</v>
      </c>
      <c r="AG971" s="3">
        <v>52</v>
      </c>
      <c r="AH971" s="3">
        <v>3</v>
      </c>
      <c r="AI971" s="3">
        <v>14</v>
      </c>
      <c r="AJ971" s="3">
        <v>3</v>
      </c>
      <c r="AK971" s="3">
        <v>11</v>
      </c>
      <c r="AL971" s="3">
        <v>9</v>
      </c>
      <c r="AM971" s="3">
        <v>18</v>
      </c>
      <c r="AN971" s="3">
        <v>0</v>
      </c>
      <c r="AO971" s="3">
        <v>12</v>
      </c>
      <c r="AP971" s="3">
        <v>4</v>
      </c>
      <c r="AQ971" s="3">
        <v>6</v>
      </c>
      <c r="AR971" s="2" t="s">
        <v>8</v>
      </c>
      <c r="AS971" s="2" t="s">
        <v>6</v>
      </c>
      <c r="AT971" s="5" t="str">
        <f>HYPERLINK("http://catalog.hathitrust.org/Record/004118494","HathiTrust Record")</f>
        <v>HathiTrust Record</v>
      </c>
      <c r="AU971" s="5" t="str">
        <f>HYPERLINK("https://creighton-primo.hosted.exlibrisgroup.com/primo-explore/search?tab=default_tab&amp;search_scope=EVERYTHING&amp;vid=01CRU&amp;lang=en_US&amp;offset=0&amp;query=any,contains,991000329829702656","Catalog Record")</f>
        <v>Catalog Record</v>
      </c>
      <c r="AV971" s="5" t="str">
        <f>HYPERLINK("http://www.worldcat.org/oclc/42643246","WorldCat Record")</f>
        <v>WorldCat Record</v>
      </c>
      <c r="AW971" s="2" t="s">
        <v>12264</v>
      </c>
      <c r="AX971" s="2" t="s">
        <v>12265</v>
      </c>
      <c r="AY971" s="2" t="s">
        <v>12266</v>
      </c>
      <c r="AZ971" s="2" t="s">
        <v>12266</v>
      </c>
      <c r="BA971" s="2" t="s">
        <v>12267</v>
      </c>
      <c r="BB971" s="2" t="s">
        <v>21</v>
      </c>
      <c r="BD971" s="2" t="s">
        <v>12268</v>
      </c>
      <c r="BE971" s="2" t="s">
        <v>12269</v>
      </c>
      <c r="BF971" s="2" t="s">
        <v>12270</v>
      </c>
    </row>
    <row r="972" spans="1:58" ht="42.75" customHeight="1" x14ac:dyDescent="0.25">
      <c r="A972" s="8" t="s">
        <v>8</v>
      </c>
      <c r="B972" s="1" t="s">
        <v>0</v>
      </c>
      <c r="C972" s="1" t="s">
        <v>1</v>
      </c>
      <c r="D972" s="1" t="s">
        <v>12271</v>
      </c>
      <c r="E972" s="1" t="s">
        <v>12272</v>
      </c>
      <c r="F972" s="1" t="s">
        <v>12273</v>
      </c>
      <c r="H972" s="2" t="s">
        <v>8</v>
      </c>
      <c r="I972" s="2" t="s">
        <v>7</v>
      </c>
      <c r="J972" s="2" t="s">
        <v>8</v>
      </c>
      <c r="K972" s="2" t="s">
        <v>8</v>
      </c>
      <c r="L972" s="2" t="s">
        <v>9</v>
      </c>
      <c r="M972" s="1" t="s">
        <v>12274</v>
      </c>
      <c r="N972" s="1" t="s">
        <v>12275</v>
      </c>
      <c r="O972" s="2" t="s">
        <v>410</v>
      </c>
      <c r="P972" s="1" t="s">
        <v>1225</v>
      </c>
      <c r="Q972" s="2" t="s">
        <v>12</v>
      </c>
      <c r="R972" s="2" t="s">
        <v>13</v>
      </c>
      <c r="T972" s="2" t="s">
        <v>14</v>
      </c>
      <c r="U972" s="3">
        <v>11</v>
      </c>
      <c r="V972" s="3">
        <v>11</v>
      </c>
      <c r="W972" s="4" t="s">
        <v>12276</v>
      </c>
      <c r="X972" s="4" t="s">
        <v>12276</v>
      </c>
      <c r="Y972" s="4" t="s">
        <v>12277</v>
      </c>
      <c r="Z972" s="4" t="s">
        <v>12277</v>
      </c>
      <c r="AA972" s="3">
        <v>7</v>
      </c>
      <c r="AB972" s="3">
        <v>6</v>
      </c>
      <c r="AC972" s="3">
        <v>24</v>
      </c>
      <c r="AD972" s="3">
        <v>1</v>
      </c>
      <c r="AE972" s="3">
        <v>1</v>
      </c>
      <c r="AF972" s="3">
        <v>0</v>
      </c>
      <c r="AG972" s="3">
        <v>1</v>
      </c>
      <c r="AH972" s="3">
        <v>0</v>
      </c>
      <c r="AI972" s="3">
        <v>0</v>
      </c>
      <c r="AJ972" s="3">
        <v>0</v>
      </c>
      <c r="AK972" s="3">
        <v>1</v>
      </c>
      <c r="AL972" s="3">
        <v>0</v>
      </c>
      <c r="AM972" s="3">
        <v>0</v>
      </c>
      <c r="AN972" s="3">
        <v>0</v>
      </c>
      <c r="AO972" s="3">
        <v>0</v>
      </c>
      <c r="AP972" s="3">
        <v>0</v>
      </c>
      <c r="AQ972" s="3">
        <v>0</v>
      </c>
      <c r="AR972" s="2" t="s">
        <v>8</v>
      </c>
      <c r="AS972" s="2" t="s">
        <v>8</v>
      </c>
      <c r="AU972" s="5" t="str">
        <f>HYPERLINK("https://creighton-primo.hosted.exlibrisgroup.com/primo-explore/search?tab=default_tab&amp;search_scope=EVERYTHING&amp;vid=01CRU&amp;lang=en_US&amp;offset=0&amp;query=any,contains,991001515719702656","Catalog Record")</f>
        <v>Catalog Record</v>
      </c>
      <c r="AV972" s="5" t="str">
        <f>HYPERLINK("http://www.worldcat.org/oclc/29338519","WorldCat Record")</f>
        <v>WorldCat Record</v>
      </c>
      <c r="AW972" s="2" t="s">
        <v>12278</v>
      </c>
      <c r="AX972" s="2" t="s">
        <v>12279</v>
      </c>
      <c r="AY972" s="2" t="s">
        <v>12280</v>
      </c>
      <c r="AZ972" s="2" t="s">
        <v>12280</v>
      </c>
      <c r="BA972" s="2" t="s">
        <v>12281</v>
      </c>
      <c r="BB972" s="2" t="s">
        <v>21</v>
      </c>
      <c r="BD972" s="2" t="s">
        <v>12282</v>
      </c>
      <c r="BE972" s="2" t="s">
        <v>12283</v>
      </c>
      <c r="BF972" s="2" t="s">
        <v>12284</v>
      </c>
    </row>
    <row r="973" spans="1:58" ht="42.75" customHeight="1" x14ac:dyDescent="0.25">
      <c r="A973" s="8" t="s">
        <v>8</v>
      </c>
      <c r="B973" s="1" t="s">
        <v>0</v>
      </c>
      <c r="C973" s="1" t="s">
        <v>1</v>
      </c>
      <c r="D973" s="1" t="s">
        <v>12285</v>
      </c>
      <c r="E973" s="1" t="s">
        <v>12286</v>
      </c>
      <c r="F973" s="1" t="s">
        <v>12287</v>
      </c>
      <c r="H973" s="2" t="s">
        <v>8</v>
      </c>
      <c r="I973" s="2" t="s">
        <v>7</v>
      </c>
      <c r="J973" s="2" t="s">
        <v>8</v>
      </c>
      <c r="K973" s="2" t="s">
        <v>8</v>
      </c>
      <c r="L973" s="2" t="s">
        <v>9</v>
      </c>
      <c r="N973" s="1" t="s">
        <v>12288</v>
      </c>
      <c r="O973" s="2" t="s">
        <v>614</v>
      </c>
      <c r="Q973" s="2" t="s">
        <v>12</v>
      </c>
      <c r="R973" s="2" t="s">
        <v>34</v>
      </c>
      <c r="T973" s="2" t="s">
        <v>14</v>
      </c>
      <c r="U973" s="3">
        <v>25</v>
      </c>
      <c r="V973" s="3">
        <v>25</v>
      </c>
      <c r="W973" s="4" t="s">
        <v>6728</v>
      </c>
      <c r="X973" s="4" t="s">
        <v>6728</v>
      </c>
      <c r="Y973" s="4" t="s">
        <v>12289</v>
      </c>
      <c r="Z973" s="4" t="s">
        <v>12289</v>
      </c>
      <c r="AA973" s="3">
        <v>379</v>
      </c>
      <c r="AB973" s="3">
        <v>359</v>
      </c>
      <c r="AC973" s="3">
        <v>363</v>
      </c>
      <c r="AD973" s="3">
        <v>2</v>
      </c>
      <c r="AE973" s="3">
        <v>2</v>
      </c>
      <c r="AF973" s="3">
        <v>23</v>
      </c>
      <c r="AG973" s="3">
        <v>23</v>
      </c>
      <c r="AH973" s="3">
        <v>7</v>
      </c>
      <c r="AI973" s="3">
        <v>7</v>
      </c>
      <c r="AJ973" s="3">
        <v>5</v>
      </c>
      <c r="AK973" s="3">
        <v>5</v>
      </c>
      <c r="AL973" s="3">
        <v>7</v>
      </c>
      <c r="AM973" s="3">
        <v>7</v>
      </c>
      <c r="AN973" s="3">
        <v>1</v>
      </c>
      <c r="AO973" s="3">
        <v>1</v>
      </c>
      <c r="AP973" s="3">
        <v>8</v>
      </c>
      <c r="AQ973" s="3">
        <v>8</v>
      </c>
      <c r="AR973" s="2" t="s">
        <v>8</v>
      </c>
      <c r="AS973" s="2" t="s">
        <v>6</v>
      </c>
      <c r="AT973" s="5" t="str">
        <f>HYPERLINK("http://catalog.hathitrust.org/Record/002570432","HathiTrust Record")</f>
        <v>HathiTrust Record</v>
      </c>
      <c r="AU973" s="5" t="str">
        <f>HYPERLINK("https://creighton-primo.hosted.exlibrisgroup.com/primo-explore/search?tab=default_tab&amp;search_scope=EVERYTHING&amp;vid=01CRU&amp;lang=en_US&amp;offset=0&amp;query=any,contains,991001299409702656","Catalog Record")</f>
        <v>Catalog Record</v>
      </c>
      <c r="AV973" s="5" t="str">
        <f>HYPERLINK("http://www.worldcat.org/oclc/25282389","WorldCat Record")</f>
        <v>WorldCat Record</v>
      </c>
      <c r="AW973" s="2" t="s">
        <v>12290</v>
      </c>
      <c r="AX973" s="2" t="s">
        <v>12291</v>
      </c>
      <c r="AY973" s="2" t="s">
        <v>12292</v>
      </c>
      <c r="AZ973" s="2" t="s">
        <v>12292</v>
      </c>
      <c r="BA973" s="2" t="s">
        <v>12293</v>
      </c>
      <c r="BB973" s="2" t="s">
        <v>21</v>
      </c>
      <c r="BD973" s="2" t="s">
        <v>12294</v>
      </c>
      <c r="BE973" s="2" t="s">
        <v>12295</v>
      </c>
      <c r="BF973" s="2" t="s">
        <v>12296</v>
      </c>
    </row>
    <row r="974" spans="1:58" ht="42.75" customHeight="1" x14ac:dyDescent="0.25">
      <c r="A974" s="8" t="s">
        <v>8</v>
      </c>
      <c r="B974" s="1" t="s">
        <v>0</v>
      </c>
      <c r="C974" s="1" t="s">
        <v>1</v>
      </c>
      <c r="D974" s="1" t="s">
        <v>12297</v>
      </c>
      <c r="E974" s="1" t="s">
        <v>12298</v>
      </c>
      <c r="F974" s="1" t="s">
        <v>12299</v>
      </c>
      <c r="H974" s="2" t="s">
        <v>8</v>
      </c>
      <c r="I974" s="2" t="s">
        <v>7</v>
      </c>
      <c r="J974" s="2" t="s">
        <v>8</v>
      </c>
      <c r="K974" s="2" t="s">
        <v>8</v>
      </c>
      <c r="L974" s="2" t="s">
        <v>9</v>
      </c>
      <c r="M974" s="1" t="s">
        <v>12300</v>
      </c>
      <c r="N974" s="1" t="s">
        <v>12301</v>
      </c>
      <c r="O974" s="2" t="s">
        <v>128</v>
      </c>
      <c r="Q974" s="2" t="s">
        <v>12</v>
      </c>
      <c r="R974" s="2" t="s">
        <v>13</v>
      </c>
      <c r="T974" s="2" t="s">
        <v>14</v>
      </c>
      <c r="U974" s="3">
        <v>2</v>
      </c>
      <c r="V974" s="3">
        <v>2</v>
      </c>
      <c r="W974" s="4" t="s">
        <v>5110</v>
      </c>
      <c r="X974" s="4" t="s">
        <v>5110</v>
      </c>
      <c r="Y974" s="4" t="s">
        <v>16</v>
      </c>
      <c r="Z974" s="4" t="s">
        <v>16</v>
      </c>
      <c r="AA974" s="3">
        <v>125</v>
      </c>
      <c r="AB974" s="3">
        <v>106</v>
      </c>
      <c r="AC974" s="3">
        <v>108</v>
      </c>
      <c r="AD974" s="3">
        <v>1</v>
      </c>
      <c r="AE974" s="3">
        <v>1</v>
      </c>
      <c r="AF974" s="3">
        <v>1</v>
      </c>
      <c r="AG974" s="3">
        <v>1</v>
      </c>
      <c r="AH974" s="3">
        <v>0</v>
      </c>
      <c r="AI974" s="3">
        <v>0</v>
      </c>
      <c r="AJ974" s="3">
        <v>0</v>
      </c>
      <c r="AK974" s="3">
        <v>0</v>
      </c>
      <c r="AL974" s="3">
        <v>1</v>
      </c>
      <c r="AM974" s="3">
        <v>1</v>
      </c>
      <c r="AN974" s="3">
        <v>0</v>
      </c>
      <c r="AO974" s="3">
        <v>0</v>
      </c>
      <c r="AP974" s="3">
        <v>0</v>
      </c>
      <c r="AQ974" s="3">
        <v>0</v>
      </c>
      <c r="AR974" s="2" t="s">
        <v>8</v>
      </c>
      <c r="AS974" s="2" t="s">
        <v>6</v>
      </c>
      <c r="AT974" s="5" t="str">
        <f>HYPERLINK("http://catalog.hathitrust.org/Record/002486343","HathiTrust Record")</f>
        <v>HathiTrust Record</v>
      </c>
      <c r="AU974" s="5" t="str">
        <f>HYPERLINK("https://creighton-primo.hosted.exlibrisgroup.com/primo-explore/search?tab=default_tab&amp;search_scope=EVERYTHING&amp;vid=01CRU&amp;lang=en_US&amp;offset=0&amp;query=any,contains,991000662999702656","Catalog Record")</f>
        <v>Catalog Record</v>
      </c>
      <c r="AV974" s="5" t="str">
        <f>HYPERLINK("http://www.worldcat.org/oclc/5263804","WorldCat Record")</f>
        <v>WorldCat Record</v>
      </c>
      <c r="AW974" s="2" t="s">
        <v>12302</v>
      </c>
      <c r="AX974" s="2" t="s">
        <v>12303</v>
      </c>
      <c r="AY974" s="2" t="s">
        <v>12304</v>
      </c>
      <c r="AZ974" s="2" t="s">
        <v>12304</v>
      </c>
      <c r="BA974" s="2" t="s">
        <v>12305</v>
      </c>
      <c r="BB974" s="2" t="s">
        <v>21</v>
      </c>
      <c r="BE974" s="2" t="s">
        <v>12306</v>
      </c>
      <c r="BF974" s="2" t="s">
        <v>12307</v>
      </c>
    </row>
    <row r="975" spans="1:58" ht="42.75" customHeight="1" x14ac:dyDescent="0.25">
      <c r="A975" s="8" t="s">
        <v>8</v>
      </c>
      <c r="B975" s="1" t="s">
        <v>0</v>
      </c>
      <c r="C975" s="1" t="s">
        <v>1</v>
      </c>
      <c r="D975" s="1" t="s">
        <v>12308</v>
      </c>
      <c r="E975" s="1" t="s">
        <v>12309</v>
      </c>
      <c r="F975" s="1" t="s">
        <v>12310</v>
      </c>
      <c r="H975" s="2" t="s">
        <v>8</v>
      </c>
      <c r="I975" s="2" t="s">
        <v>7</v>
      </c>
      <c r="J975" s="2" t="s">
        <v>8</v>
      </c>
      <c r="K975" s="2" t="s">
        <v>8</v>
      </c>
      <c r="L975" s="2" t="s">
        <v>9</v>
      </c>
      <c r="N975" s="1" t="s">
        <v>12311</v>
      </c>
      <c r="O975" s="2" t="s">
        <v>410</v>
      </c>
      <c r="P975" s="1" t="s">
        <v>1225</v>
      </c>
      <c r="Q975" s="2" t="s">
        <v>12</v>
      </c>
      <c r="R975" s="2" t="s">
        <v>1170</v>
      </c>
      <c r="S975" s="1" t="s">
        <v>12312</v>
      </c>
      <c r="T975" s="2" t="s">
        <v>14</v>
      </c>
      <c r="U975" s="3">
        <v>16</v>
      </c>
      <c r="V975" s="3">
        <v>16</v>
      </c>
      <c r="W975" s="4" t="s">
        <v>12313</v>
      </c>
      <c r="X975" s="4" t="s">
        <v>12313</v>
      </c>
      <c r="Y975" s="4" t="s">
        <v>12314</v>
      </c>
      <c r="Z975" s="4" t="s">
        <v>12314</v>
      </c>
      <c r="AA975" s="3">
        <v>715</v>
      </c>
      <c r="AB975" s="3">
        <v>644</v>
      </c>
      <c r="AC975" s="3">
        <v>650</v>
      </c>
      <c r="AD975" s="3">
        <v>2</v>
      </c>
      <c r="AE975" s="3">
        <v>2</v>
      </c>
      <c r="AF975" s="3">
        <v>21</v>
      </c>
      <c r="AG975" s="3">
        <v>21</v>
      </c>
      <c r="AH975" s="3">
        <v>6</v>
      </c>
      <c r="AI975" s="3">
        <v>6</v>
      </c>
      <c r="AJ975" s="3">
        <v>7</v>
      </c>
      <c r="AK975" s="3">
        <v>7</v>
      </c>
      <c r="AL975" s="3">
        <v>11</v>
      </c>
      <c r="AM975" s="3">
        <v>11</v>
      </c>
      <c r="AN975" s="3">
        <v>1</v>
      </c>
      <c r="AO975" s="3">
        <v>1</v>
      </c>
      <c r="AP975" s="3">
        <v>2</v>
      </c>
      <c r="AQ975" s="3">
        <v>2</v>
      </c>
      <c r="AR975" s="2" t="s">
        <v>8</v>
      </c>
      <c r="AS975" s="2" t="s">
        <v>6</v>
      </c>
      <c r="AT975" s="5" t="str">
        <f>HYPERLINK("http://catalog.hathitrust.org/Record/002615791","HathiTrust Record")</f>
        <v>HathiTrust Record</v>
      </c>
      <c r="AU975" s="5" t="str">
        <f>HYPERLINK("https://creighton-primo.hosted.exlibrisgroup.com/primo-explore/search?tab=default_tab&amp;search_scope=EVERYTHING&amp;vid=01CRU&amp;lang=en_US&amp;offset=0&amp;query=any,contains,991001432489702656","Catalog Record")</f>
        <v>Catalog Record</v>
      </c>
      <c r="AV975" s="5" t="str">
        <f>HYPERLINK("http://www.worldcat.org/oclc/27012992","WorldCat Record")</f>
        <v>WorldCat Record</v>
      </c>
      <c r="AW975" s="2" t="s">
        <v>12315</v>
      </c>
      <c r="AX975" s="2" t="s">
        <v>12316</v>
      </c>
      <c r="AY975" s="2" t="s">
        <v>12317</v>
      </c>
      <c r="AZ975" s="2" t="s">
        <v>12317</v>
      </c>
      <c r="BA975" s="2" t="s">
        <v>12318</v>
      </c>
      <c r="BB975" s="2" t="s">
        <v>21</v>
      </c>
      <c r="BD975" s="2" t="s">
        <v>12319</v>
      </c>
      <c r="BE975" s="2" t="s">
        <v>12320</v>
      </c>
      <c r="BF975" s="2" t="s">
        <v>12321</v>
      </c>
    </row>
    <row r="976" spans="1:58" ht="42.75" customHeight="1" x14ac:dyDescent="0.25">
      <c r="A976" s="8" t="s">
        <v>8</v>
      </c>
      <c r="B976" s="1" t="s">
        <v>0</v>
      </c>
      <c r="C976" s="1" t="s">
        <v>1</v>
      </c>
      <c r="D976" s="1" t="s">
        <v>12322</v>
      </c>
      <c r="E976" s="1" t="s">
        <v>12323</v>
      </c>
      <c r="F976" s="1" t="s">
        <v>12324</v>
      </c>
      <c r="H976" s="2" t="s">
        <v>8</v>
      </c>
      <c r="I976" s="2" t="s">
        <v>7</v>
      </c>
      <c r="J976" s="2" t="s">
        <v>8</v>
      </c>
      <c r="K976" s="2" t="s">
        <v>8</v>
      </c>
      <c r="L976" s="2" t="s">
        <v>9</v>
      </c>
      <c r="M976" s="1" t="s">
        <v>12325</v>
      </c>
      <c r="N976" s="1" t="s">
        <v>12326</v>
      </c>
      <c r="O976" s="2" t="s">
        <v>298</v>
      </c>
      <c r="P976" s="1" t="s">
        <v>83</v>
      </c>
      <c r="Q976" s="2" t="s">
        <v>12</v>
      </c>
      <c r="R976" s="2" t="s">
        <v>5455</v>
      </c>
      <c r="S976" s="1" t="s">
        <v>12327</v>
      </c>
      <c r="T976" s="2" t="s">
        <v>14</v>
      </c>
      <c r="U976" s="3">
        <v>11</v>
      </c>
      <c r="V976" s="3">
        <v>11</v>
      </c>
      <c r="W976" s="4" t="s">
        <v>12328</v>
      </c>
      <c r="X976" s="4" t="s">
        <v>12328</v>
      </c>
      <c r="Y976" s="4" t="s">
        <v>12329</v>
      </c>
      <c r="Z976" s="4" t="s">
        <v>12329</v>
      </c>
      <c r="AA976" s="3">
        <v>159</v>
      </c>
      <c r="AB976" s="3">
        <v>93</v>
      </c>
      <c r="AC976" s="3">
        <v>1003</v>
      </c>
      <c r="AD976" s="3">
        <v>1</v>
      </c>
      <c r="AE976" s="3">
        <v>14</v>
      </c>
      <c r="AF976" s="3">
        <v>3</v>
      </c>
      <c r="AG976" s="3">
        <v>41</v>
      </c>
      <c r="AH976" s="3">
        <v>1</v>
      </c>
      <c r="AI976" s="3">
        <v>12</v>
      </c>
      <c r="AJ976" s="3">
        <v>2</v>
      </c>
      <c r="AK976" s="3">
        <v>9</v>
      </c>
      <c r="AL976" s="3">
        <v>1</v>
      </c>
      <c r="AM976" s="3">
        <v>13</v>
      </c>
      <c r="AN976" s="3">
        <v>0</v>
      </c>
      <c r="AO976" s="3">
        <v>12</v>
      </c>
      <c r="AP976" s="3">
        <v>0</v>
      </c>
      <c r="AQ976" s="3">
        <v>2</v>
      </c>
      <c r="AR976" s="2" t="s">
        <v>8</v>
      </c>
      <c r="AS976" s="2" t="s">
        <v>8</v>
      </c>
      <c r="AU976" s="5" t="str">
        <f>HYPERLINK("https://creighton-primo.hosted.exlibrisgroup.com/primo-explore/search?tab=default_tab&amp;search_scope=EVERYTHING&amp;vid=01CRU&amp;lang=en_US&amp;offset=0&amp;query=any,contains,991001254909702656","Catalog Record")</f>
        <v>Catalog Record</v>
      </c>
      <c r="AV976" s="5" t="str">
        <f>HYPERLINK("http://www.worldcat.org/oclc/21332459","WorldCat Record")</f>
        <v>WorldCat Record</v>
      </c>
      <c r="AW976" s="2" t="s">
        <v>12330</v>
      </c>
      <c r="AX976" s="2" t="s">
        <v>12331</v>
      </c>
      <c r="AY976" s="2" t="s">
        <v>12332</v>
      </c>
      <c r="AZ976" s="2" t="s">
        <v>12332</v>
      </c>
      <c r="BA976" s="2" t="s">
        <v>12333</v>
      </c>
      <c r="BB976" s="2" t="s">
        <v>21</v>
      </c>
      <c r="BD976" s="2" t="s">
        <v>12334</v>
      </c>
      <c r="BE976" s="2" t="s">
        <v>12335</v>
      </c>
      <c r="BF976" s="2" t="s">
        <v>12336</v>
      </c>
    </row>
    <row r="977" spans="1:58" ht="42.75" customHeight="1" x14ac:dyDescent="0.25">
      <c r="A977" s="8" t="s">
        <v>8</v>
      </c>
      <c r="B977" s="1" t="s">
        <v>0</v>
      </c>
      <c r="C977" s="1" t="s">
        <v>1</v>
      </c>
      <c r="D977" s="1" t="s">
        <v>12337</v>
      </c>
      <c r="E977" s="1" t="s">
        <v>12338</v>
      </c>
      <c r="F977" s="1" t="s">
        <v>12339</v>
      </c>
      <c r="H977" s="2" t="s">
        <v>8</v>
      </c>
      <c r="I977" s="2" t="s">
        <v>7</v>
      </c>
      <c r="J977" s="2" t="s">
        <v>8</v>
      </c>
      <c r="K977" s="2" t="s">
        <v>8</v>
      </c>
      <c r="L977" s="2" t="s">
        <v>9</v>
      </c>
      <c r="N977" s="1" t="s">
        <v>12340</v>
      </c>
      <c r="O977" s="2" t="s">
        <v>907</v>
      </c>
      <c r="Q977" s="2" t="s">
        <v>12</v>
      </c>
      <c r="R977" s="2" t="s">
        <v>12341</v>
      </c>
      <c r="T977" s="2" t="s">
        <v>14</v>
      </c>
      <c r="U977" s="3">
        <v>0</v>
      </c>
      <c r="V977" s="3">
        <v>0</v>
      </c>
      <c r="W977" s="4" t="s">
        <v>12342</v>
      </c>
      <c r="X977" s="4" t="s">
        <v>12342</v>
      </c>
      <c r="Y977" s="4" t="s">
        <v>1004</v>
      </c>
      <c r="Z977" s="4" t="s">
        <v>1004</v>
      </c>
      <c r="AA977" s="3">
        <v>6</v>
      </c>
      <c r="AB977" s="3">
        <v>5</v>
      </c>
      <c r="AC977" s="3">
        <v>8</v>
      </c>
      <c r="AD977" s="3">
        <v>1</v>
      </c>
      <c r="AE977" s="3">
        <v>1</v>
      </c>
      <c r="AF977" s="3">
        <v>0</v>
      </c>
      <c r="AG977" s="3">
        <v>0</v>
      </c>
      <c r="AH977" s="3">
        <v>0</v>
      </c>
      <c r="AI977" s="3">
        <v>0</v>
      </c>
      <c r="AJ977" s="3">
        <v>0</v>
      </c>
      <c r="AK977" s="3">
        <v>0</v>
      </c>
      <c r="AL977" s="3">
        <v>0</v>
      </c>
      <c r="AM977" s="3">
        <v>0</v>
      </c>
      <c r="AN977" s="3">
        <v>0</v>
      </c>
      <c r="AO977" s="3">
        <v>0</v>
      </c>
      <c r="AP977" s="3">
        <v>0</v>
      </c>
      <c r="AQ977" s="3">
        <v>0</v>
      </c>
      <c r="AR977" s="2" t="s">
        <v>8</v>
      </c>
      <c r="AS977" s="2" t="s">
        <v>6</v>
      </c>
      <c r="AT977" s="5" t="str">
        <f>HYPERLINK("http://catalog.hathitrust.org/Record/010379671","HathiTrust Record")</f>
        <v>HathiTrust Record</v>
      </c>
      <c r="AU977" s="5" t="str">
        <f>HYPERLINK("https://creighton-primo.hosted.exlibrisgroup.com/primo-explore/search?tab=default_tab&amp;search_scope=EVERYTHING&amp;vid=01CRU&amp;lang=en_US&amp;offset=0&amp;query=any,contains,991000399129702656","Catalog Record")</f>
        <v>Catalog Record</v>
      </c>
      <c r="AV977" s="5" t="str">
        <f>HYPERLINK("http://www.worldcat.org/oclc/47068072","WorldCat Record")</f>
        <v>WorldCat Record</v>
      </c>
      <c r="AW977" s="2" t="s">
        <v>12343</v>
      </c>
      <c r="AX977" s="2" t="s">
        <v>12344</v>
      </c>
      <c r="AY977" s="2" t="s">
        <v>12345</v>
      </c>
      <c r="AZ977" s="2" t="s">
        <v>12345</v>
      </c>
      <c r="BA977" s="2" t="s">
        <v>12346</v>
      </c>
      <c r="BB977" s="2" t="s">
        <v>21</v>
      </c>
      <c r="BE977" s="2" t="s">
        <v>12347</v>
      </c>
      <c r="BF977" s="2" t="s">
        <v>12348</v>
      </c>
    </row>
    <row r="978" spans="1:58" ht="42.75" customHeight="1" x14ac:dyDescent="0.25">
      <c r="A978" s="8" t="s">
        <v>8</v>
      </c>
      <c r="B978" s="1" t="s">
        <v>0</v>
      </c>
      <c r="C978" s="1" t="s">
        <v>1</v>
      </c>
      <c r="D978" s="1" t="s">
        <v>12349</v>
      </c>
      <c r="E978" s="1" t="s">
        <v>12350</v>
      </c>
      <c r="F978" s="1" t="s">
        <v>12351</v>
      </c>
      <c r="H978" s="2" t="s">
        <v>8</v>
      </c>
      <c r="I978" s="2" t="s">
        <v>7</v>
      </c>
      <c r="J978" s="2" t="s">
        <v>8</v>
      </c>
      <c r="K978" s="2" t="s">
        <v>8</v>
      </c>
      <c r="L978" s="2" t="s">
        <v>9</v>
      </c>
      <c r="N978" s="1" t="s">
        <v>12352</v>
      </c>
      <c r="O978" s="2" t="s">
        <v>874</v>
      </c>
      <c r="Q978" s="2" t="s">
        <v>12</v>
      </c>
      <c r="R978" s="2" t="s">
        <v>13</v>
      </c>
      <c r="S978" s="1" t="s">
        <v>12353</v>
      </c>
      <c r="T978" s="2" t="s">
        <v>14</v>
      </c>
      <c r="U978" s="3">
        <v>7</v>
      </c>
      <c r="V978" s="3">
        <v>7</v>
      </c>
      <c r="W978" s="4" t="s">
        <v>12354</v>
      </c>
      <c r="X978" s="4" t="s">
        <v>12354</v>
      </c>
      <c r="Y978" s="4" t="s">
        <v>8507</v>
      </c>
      <c r="Z978" s="4" t="s">
        <v>8507</v>
      </c>
      <c r="AA978" s="3">
        <v>408</v>
      </c>
      <c r="AB978" s="3">
        <v>358</v>
      </c>
      <c r="AC978" s="3">
        <v>358</v>
      </c>
      <c r="AD978" s="3">
        <v>2</v>
      </c>
      <c r="AE978" s="3">
        <v>2</v>
      </c>
      <c r="AF978" s="3">
        <v>17</v>
      </c>
      <c r="AG978" s="3">
        <v>17</v>
      </c>
      <c r="AH978" s="3">
        <v>5</v>
      </c>
      <c r="AI978" s="3">
        <v>5</v>
      </c>
      <c r="AJ978" s="3">
        <v>4</v>
      </c>
      <c r="AK978" s="3">
        <v>4</v>
      </c>
      <c r="AL978" s="3">
        <v>11</v>
      </c>
      <c r="AM978" s="3">
        <v>11</v>
      </c>
      <c r="AN978" s="3">
        <v>1</v>
      </c>
      <c r="AO978" s="3">
        <v>1</v>
      </c>
      <c r="AP978" s="3">
        <v>0</v>
      </c>
      <c r="AQ978" s="3">
        <v>0</v>
      </c>
      <c r="AR978" s="2" t="s">
        <v>8</v>
      </c>
      <c r="AS978" s="2" t="s">
        <v>8</v>
      </c>
      <c r="AU978" s="5" t="str">
        <f>HYPERLINK("https://creighton-primo.hosted.exlibrisgroup.com/primo-explore/search?tab=default_tab&amp;search_scope=EVERYTHING&amp;vid=01CRU&amp;lang=en_US&amp;offset=0&amp;query=any,contains,991000358519702656","Catalog Record")</f>
        <v>Catalog Record</v>
      </c>
      <c r="AV978" s="5" t="str">
        <f>HYPERLINK("http://www.worldcat.org/oclc/36501360","WorldCat Record")</f>
        <v>WorldCat Record</v>
      </c>
      <c r="AW978" s="2" t="s">
        <v>12355</v>
      </c>
      <c r="AX978" s="2" t="s">
        <v>12356</v>
      </c>
      <c r="AY978" s="2" t="s">
        <v>12357</v>
      </c>
      <c r="AZ978" s="2" t="s">
        <v>12357</v>
      </c>
      <c r="BA978" s="2" t="s">
        <v>12358</v>
      </c>
      <c r="BB978" s="2" t="s">
        <v>21</v>
      </c>
      <c r="BD978" s="2" t="s">
        <v>12359</v>
      </c>
      <c r="BE978" s="2" t="s">
        <v>12360</v>
      </c>
      <c r="BF978" s="2" t="s">
        <v>12361</v>
      </c>
    </row>
    <row r="979" spans="1:58" ht="42.75" customHeight="1" x14ac:dyDescent="0.25">
      <c r="A979" s="8" t="s">
        <v>8</v>
      </c>
      <c r="B979" s="1" t="s">
        <v>0</v>
      </c>
      <c r="C979" s="1" t="s">
        <v>1</v>
      </c>
      <c r="D979" s="1" t="s">
        <v>12362</v>
      </c>
      <c r="E979" s="1" t="s">
        <v>12363</v>
      </c>
      <c r="F979" s="1" t="s">
        <v>12364</v>
      </c>
      <c r="H979" s="2" t="s">
        <v>8</v>
      </c>
      <c r="I979" s="2" t="s">
        <v>7</v>
      </c>
      <c r="J979" s="2" t="s">
        <v>8</v>
      </c>
      <c r="K979" s="2" t="s">
        <v>8</v>
      </c>
      <c r="L979" s="2" t="s">
        <v>9</v>
      </c>
      <c r="M979" s="1" t="s">
        <v>12365</v>
      </c>
      <c r="N979" s="1" t="s">
        <v>12366</v>
      </c>
      <c r="O979" s="2" t="s">
        <v>2044</v>
      </c>
      <c r="Q979" s="2" t="s">
        <v>12</v>
      </c>
      <c r="R979" s="2" t="s">
        <v>13</v>
      </c>
      <c r="S979" s="1" t="s">
        <v>12367</v>
      </c>
      <c r="T979" s="2" t="s">
        <v>14</v>
      </c>
      <c r="U979" s="3">
        <v>5</v>
      </c>
      <c r="V979" s="3">
        <v>5</v>
      </c>
      <c r="W979" s="4" t="s">
        <v>12368</v>
      </c>
      <c r="X979" s="4" t="s">
        <v>12368</v>
      </c>
      <c r="Y979" s="4" t="s">
        <v>12369</v>
      </c>
      <c r="Z979" s="4" t="s">
        <v>12369</v>
      </c>
      <c r="AA979" s="3">
        <v>346</v>
      </c>
      <c r="AB979" s="3">
        <v>319</v>
      </c>
      <c r="AC979" s="3">
        <v>693</v>
      </c>
      <c r="AD979" s="3">
        <v>3</v>
      </c>
      <c r="AE979" s="3">
        <v>3</v>
      </c>
      <c r="AF979" s="3">
        <v>20</v>
      </c>
      <c r="AG979" s="3">
        <v>21</v>
      </c>
      <c r="AH979" s="3">
        <v>9</v>
      </c>
      <c r="AI979" s="3">
        <v>10</v>
      </c>
      <c r="AJ979" s="3">
        <v>6</v>
      </c>
      <c r="AK979" s="3">
        <v>6</v>
      </c>
      <c r="AL979" s="3">
        <v>8</v>
      </c>
      <c r="AM979" s="3">
        <v>8</v>
      </c>
      <c r="AN979" s="3">
        <v>2</v>
      </c>
      <c r="AO979" s="3">
        <v>2</v>
      </c>
      <c r="AP979" s="3">
        <v>1</v>
      </c>
      <c r="AQ979" s="3">
        <v>1</v>
      </c>
      <c r="AR979" s="2" t="s">
        <v>8</v>
      </c>
      <c r="AS979" s="2" t="s">
        <v>8</v>
      </c>
      <c r="AU979" s="5" t="str">
        <f>HYPERLINK("https://creighton-primo.hosted.exlibrisgroup.com/primo-explore/search?tab=default_tab&amp;search_scope=EVERYTHING&amp;vid=01CRU&amp;lang=en_US&amp;offset=0&amp;query=any,contains,991000339289702656","Catalog Record")</f>
        <v>Catalog Record</v>
      </c>
      <c r="AV979" s="5" t="str">
        <f>HYPERLINK("http://www.worldcat.org/oclc/48876524","WorldCat Record")</f>
        <v>WorldCat Record</v>
      </c>
      <c r="AW979" s="2" t="s">
        <v>12370</v>
      </c>
      <c r="AX979" s="2" t="s">
        <v>12371</v>
      </c>
      <c r="AY979" s="2" t="s">
        <v>12372</v>
      </c>
      <c r="AZ979" s="2" t="s">
        <v>12372</v>
      </c>
      <c r="BA979" s="2" t="s">
        <v>12373</v>
      </c>
      <c r="BB979" s="2" t="s">
        <v>21</v>
      </c>
      <c r="BD979" s="2" t="s">
        <v>12374</v>
      </c>
      <c r="BE979" s="2" t="s">
        <v>12375</v>
      </c>
      <c r="BF979" s="2" t="s">
        <v>12376</v>
      </c>
    </row>
    <row r="980" spans="1:58" ht="42.75" customHeight="1" x14ac:dyDescent="0.25">
      <c r="A980" s="8" t="s">
        <v>8</v>
      </c>
      <c r="B980" s="1" t="s">
        <v>0</v>
      </c>
      <c r="C980" s="1" t="s">
        <v>1</v>
      </c>
      <c r="D980" s="1" t="s">
        <v>12377</v>
      </c>
      <c r="E980" s="1" t="s">
        <v>12378</v>
      </c>
      <c r="F980" s="1" t="s">
        <v>12379</v>
      </c>
      <c r="H980" s="2" t="s">
        <v>8</v>
      </c>
      <c r="I980" s="2" t="s">
        <v>7</v>
      </c>
      <c r="J980" s="2" t="s">
        <v>8</v>
      </c>
      <c r="K980" s="2" t="s">
        <v>8</v>
      </c>
      <c r="L980" s="2" t="s">
        <v>9</v>
      </c>
      <c r="M980" s="1" t="s">
        <v>12380</v>
      </c>
      <c r="N980" s="1" t="s">
        <v>12381</v>
      </c>
      <c r="O980" s="2" t="s">
        <v>410</v>
      </c>
      <c r="Q980" s="2" t="s">
        <v>12</v>
      </c>
      <c r="R980" s="2" t="s">
        <v>1170</v>
      </c>
      <c r="T980" s="2" t="s">
        <v>14</v>
      </c>
      <c r="U980" s="3">
        <v>5</v>
      </c>
      <c r="V980" s="3">
        <v>5</v>
      </c>
      <c r="W980" s="4" t="s">
        <v>12382</v>
      </c>
      <c r="X980" s="4" t="s">
        <v>12382</v>
      </c>
      <c r="Y980" s="4" t="s">
        <v>12383</v>
      </c>
      <c r="Z980" s="4" t="s">
        <v>12383</v>
      </c>
      <c r="AA980" s="3">
        <v>64</v>
      </c>
      <c r="AB980" s="3">
        <v>64</v>
      </c>
      <c r="AC980" s="3">
        <v>66</v>
      </c>
      <c r="AD980" s="3">
        <v>1</v>
      </c>
      <c r="AE980" s="3">
        <v>1</v>
      </c>
      <c r="AF980" s="3">
        <v>1</v>
      </c>
      <c r="AG980" s="3">
        <v>1</v>
      </c>
      <c r="AH980" s="3">
        <v>0</v>
      </c>
      <c r="AI980" s="3">
        <v>0</v>
      </c>
      <c r="AJ980" s="3">
        <v>0</v>
      </c>
      <c r="AK980" s="3">
        <v>0</v>
      </c>
      <c r="AL980" s="3">
        <v>1</v>
      </c>
      <c r="AM980" s="3">
        <v>1</v>
      </c>
      <c r="AN980" s="3">
        <v>0</v>
      </c>
      <c r="AO980" s="3">
        <v>0</v>
      </c>
      <c r="AP980" s="3">
        <v>0</v>
      </c>
      <c r="AQ980" s="3">
        <v>0</v>
      </c>
      <c r="AR980" s="2" t="s">
        <v>8</v>
      </c>
      <c r="AS980" s="2" t="s">
        <v>6</v>
      </c>
      <c r="AT980" s="5" t="str">
        <f>HYPERLINK("http://catalog.hathitrust.org/Record/002808530","HathiTrust Record")</f>
        <v>HathiTrust Record</v>
      </c>
      <c r="AU980" s="5" t="str">
        <f>HYPERLINK("https://creighton-primo.hosted.exlibrisgroup.com/primo-explore/search?tab=default_tab&amp;search_scope=EVERYTHING&amp;vid=01CRU&amp;lang=en_US&amp;offset=0&amp;query=any,contains,991000549179702656","Catalog Record")</f>
        <v>Catalog Record</v>
      </c>
      <c r="AV980" s="5" t="str">
        <f>HYPERLINK("http://www.worldcat.org/oclc/29436366","WorldCat Record")</f>
        <v>WorldCat Record</v>
      </c>
      <c r="AW980" s="2" t="s">
        <v>12384</v>
      </c>
      <c r="AX980" s="2" t="s">
        <v>12385</v>
      </c>
      <c r="AY980" s="2" t="s">
        <v>12386</v>
      </c>
      <c r="AZ980" s="2" t="s">
        <v>12386</v>
      </c>
      <c r="BA980" s="2" t="s">
        <v>12387</v>
      </c>
      <c r="BB980" s="2" t="s">
        <v>21</v>
      </c>
      <c r="BE980" s="2" t="s">
        <v>12388</v>
      </c>
      <c r="BF980" s="2" t="s">
        <v>12389</v>
      </c>
    </row>
    <row r="981" spans="1:58" ht="42.75" customHeight="1" x14ac:dyDescent="0.25">
      <c r="A981" s="8" t="s">
        <v>8</v>
      </c>
      <c r="B981" s="1" t="s">
        <v>0</v>
      </c>
      <c r="C981" s="1" t="s">
        <v>1</v>
      </c>
      <c r="D981" s="1" t="s">
        <v>12390</v>
      </c>
      <c r="E981" s="1" t="s">
        <v>12391</v>
      </c>
      <c r="F981" s="1" t="s">
        <v>12392</v>
      </c>
      <c r="H981" s="2" t="s">
        <v>8</v>
      </c>
      <c r="I981" s="2" t="s">
        <v>7</v>
      </c>
      <c r="J981" s="2" t="s">
        <v>8</v>
      </c>
      <c r="K981" s="2" t="s">
        <v>8</v>
      </c>
      <c r="L981" s="2" t="s">
        <v>9</v>
      </c>
      <c r="N981" s="1" t="s">
        <v>8506</v>
      </c>
      <c r="O981" s="2" t="s">
        <v>657</v>
      </c>
      <c r="Q981" s="2" t="s">
        <v>12</v>
      </c>
      <c r="R981" s="2" t="s">
        <v>643</v>
      </c>
      <c r="S981" s="1" t="s">
        <v>2837</v>
      </c>
      <c r="T981" s="2" t="s">
        <v>14</v>
      </c>
      <c r="U981" s="3">
        <v>10</v>
      </c>
      <c r="V981" s="3">
        <v>10</v>
      </c>
      <c r="W981" s="4" t="s">
        <v>12393</v>
      </c>
      <c r="X981" s="4" t="s">
        <v>12393</v>
      </c>
      <c r="Y981" s="4" t="s">
        <v>5062</v>
      </c>
      <c r="Z981" s="4" t="s">
        <v>5062</v>
      </c>
      <c r="AA981" s="3">
        <v>408</v>
      </c>
      <c r="AB981" s="3">
        <v>255</v>
      </c>
      <c r="AC981" s="3">
        <v>302</v>
      </c>
      <c r="AD981" s="3">
        <v>1</v>
      </c>
      <c r="AE981" s="3">
        <v>1</v>
      </c>
      <c r="AF981" s="3">
        <v>14</v>
      </c>
      <c r="AG981" s="3">
        <v>16</v>
      </c>
      <c r="AH981" s="3">
        <v>4</v>
      </c>
      <c r="AI981" s="3">
        <v>4</v>
      </c>
      <c r="AJ981" s="3">
        <v>3</v>
      </c>
      <c r="AK981" s="3">
        <v>5</v>
      </c>
      <c r="AL981" s="3">
        <v>8</v>
      </c>
      <c r="AM981" s="3">
        <v>9</v>
      </c>
      <c r="AN981" s="3">
        <v>0</v>
      </c>
      <c r="AO981" s="3">
        <v>0</v>
      </c>
      <c r="AP981" s="3">
        <v>1</v>
      </c>
      <c r="AQ981" s="3">
        <v>1</v>
      </c>
      <c r="AR981" s="2" t="s">
        <v>8</v>
      </c>
      <c r="AS981" s="2" t="s">
        <v>8</v>
      </c>
      <c r="AU981" s="5" t="str">
        <f>HYPERLINK("https://creighton-primo.hosted.exlibrisgroup.com/primo-explore/search?tab=default_tab&amp;search_scope=EVERYTHING&amp;vid=01CRU&amp;lang=en_US&amp;offset=0&amp;query=any,contains,991000320249702656","Catalog Record")</f>
        <v>Catalog Record</v>
      </c>
      <c r="AV981" s="5" t="str">
        <f>HYPERLINK("http://www.worldcat.org/oclc/44627046","WorldCat Record")</f>
        <v>WorldCat Record</v>
      </c>
      <c r="AW981" s="2" t="s">
        <v>12394</v>
      </c>
      <c r="AX981" s="2" t="s">
        <v>12395</v>
      </c>
      <c r="AY981" s="2" t="s">
        <v>12396</v>
      </c>
      <c r="AZ981" s="2" t="s">
        <v>12396</v>
      </c>
      <c r="BA981" s="2" t="s">
        <v>12397</v>
      </c>
      <c r="BB981" s="2" t="s">
        <v>21</v>
      </c>
      <c r="BD981" s="2" t="s">
        <v>12398</v>
      </c>
      <c r="BE981" s="2" t="s">
        <v>12399</v>
      </c>
      <c r="BF981" s="2" t="s">
        <v>12400</v>
      </c>
    </row>
    <row r="982" spans="1:58" ht="42.75" customHeight="1" x14ac:dyDescent="0.25">
      <c r="A982" s="8" t="s">
        <v>8</v>
      </c>
      <c r="B982" s="1" t="s">
        <v>0</v>
      </c>
      <c r="C982" s="1" t="s">
        <v>1</v>
      </c>
      <c r="D982" s="1" t="s">
        <v>12401</v>
      </c>
      <c r="E982" s="1" t="s">
        <v>12402</v>
      </c>
      <c r="F982" s="1" t="s">
        <v>12403</v>
      </c>
      <c r="H982" s="2" t="s">
        <v>8</v>
      </c>
      <c r="I982" s="2" t="s">
        <v>7</v>
      </c>
      <c r="J982" s="2" t="s">
        <v>8</v>
      </c>
      <c r="K982" s="2" t="s">
        <v>8</v>
      </c>
      <c r="L982" s="2" t="s">
        <v>9</v>
      </c>
      <c r="M982" s="1" t="s">
        <v>12404</v>
      </c>
      <c r="N982" s="1" t="s">
        <v>12405</v>
      </c>
      <c r="O982" s="2" t="s">
        <v>959</v>
      </c>
      <c r="Q982" s="2" t="s">
        <v>12</v>
      </c>
      <c r="R982" s="2" t="s">
        <v>1170</v>
      </c>
      <c r="T982" s="2" t="s">
        <v>14</v>
      </c>
      <c r="U982" s="3">
        <v>3</v>
      </c>
      <c r="V982" s="3">
        <v>3</v>
      </c>
      <c r="W982" s="4" t="s">
        <v>7431</v>
      </c>
      <c r="X982" s="4" t="s">
        <v>7431</v>
      </c>
      <c r="Y982" s="4" t="s">
        <v>7431</v>
      </c>
      <c r="Z982" s="4" t="s">
        <v>7431</v>
      </c>
      <c r="AA982" s="3">
        <v>115</v>
      </c>
      <c r="AB982" s="3">
        <v>107</v>
      </c>
      <c r="AC982" s="3">
        <v>125</v>
      </c>
      <c r="AD982" s="3">
        <v>1</v>
      </c>
      <c r="AE982" s="3">
        <v>1</v>
      </c>
      <c r="AF982" s="3">
        <v>1</v>
      </c>
      <c r="AG982" s="3">
        <v>1</v>
      </c>
      <c r="AH982" s="3">
        <v>0</v>
      </c>
      <c r="AI982" s="3">
        <v>0</v>
      </c>
      <c r="AJ982" s="3">
        <v>0</v>
      </c>
      <c r="AK982" s="3">
        <v>0</v>
      </c>
      <c r="AL982" s="3">
        <v>1</v>
      </c>
      <c r="AM982" s="3">
        <v>1</v>
      </c>
      <c r="AN982" s="3">
        <v>0</v>
      </c>
      <c r="AO982" s="3">
        <v>0</v>
      </c>
      <c r="AP982" s="3">
        <v>0</v>
      </c>
      <c r="AQ982" s="3">
        <v>0</v>
      </c>
      <c r="AR982" s="2" t="s">
        <v>8</v>
      </c>
      <c r="AS982" s="2" t="s">
        <v>8</v>
      </c>
      <c r="AU982" s="5" t="str">
        <f>HYPERLINK("https://creighton-primo.hosted.exlibrisgroup.com/primo-explore/search?tab=default_tab&amp;search_scope=EVERYTHING&amp;vid=01CRU&amp;lang=en_US&amp;offset=0&amp;query=any,contains,991000594469702656","Catalog Record")</f>
        <v>Catalog Record</v>
      </c>
      <c r="AV982" s="5" t="str">
        <f>HYPERLINK("http://www.worldcat.org/oclc/54082268","WorldCat Record")</f>
        <v>WorldCat Record</v>
      </c>
      <c r="AW982" s="2" t="s">
        <v>12406</v>
      </c>
      <c r="AX982" s="2" t="s">
        <v>12407</v>
      </c>
      <c r="AY982" s="2" t="s">
        <v>12408</v>
      </c>
      <c r="AZ982" s="2" t="s">
        <v>12408</v>
      </c>
      <c r="BA982" s="2" t="s">
        <v>12409</v>
      </c>
      <c r="BB982" s="2" t="s">
        <v>21</v>
      </c>
      <c r="BD982" s="2" t="s">
        <v>12410</v>
      </c>
      <c r="BE982" s="2" t="s">
        <v>12411</v>
      </c>
      <c r="BF982" s="2" t="s">
        <v>12412</v>
      </c>
    </row>
    <row r="983" spans="1:58" ht="42.75" customHeight="1" x14ac:dyDescent="0.25">
      <c r="A983" s="8" t="s">
        <v>8</v>
      </c>
      <c r="B983" s="1" t="s">
        <v>0</v>
      </c>
      <c r="C983" s="1" t="s">
        <v>1</v>
      </c>
      <c r="D983" s="1" t="s">
        <v>12413</v>
      </c>
      <c r="E983" s="1" t="s">
        <v>12414</v>
      </c>
      <c r="F983" s="1" t="s">
        <v>12415</v>
      </c>
      <c r="H983" s="2" t="s">
        <v>8</v>
      </c>
      <c r="I983" s="2" t="s">
        <v>7</v>
      </c>
      <c r="J983" s="2" t="s">
        <v>8</v>
      </c>
      <c r="K983" s="2" t="s">
        <v>8</v>
      </c>
      <c r="L983" s="2" t="s">
        <v>9</v>
      </c>
      <c r="M983" s="1" t="s">
        <v>12416</v>
      </c>
      <c r="N983" s="1" t="s">
        <v>12417</v>
      </c>
      <c r="O983" s="2" t="s">
        <v>1327</v>
      </c>
      <c r="Q983" s="2" t="s">
        <v>12</v>
      </c>
      <c r="R983" s="2" t="s">
        <v>34</v>
      </c>
      <c r="T983" s="2" t="s">
        <v>14</v>
      </c>
      <c r="U983" s="3">
        <v>5</v>
      </c>
      <c r="V983" s="3">
        <v>5</v>
      </c>
      <c r="W983" s="4" t="s">
        <v>12418</v>
      </c>
      <c r="X983" s="4" t="s">
        <v>12418</v>
      </c>
      <c r="Y983" s="4" t="s">
        <v>7799</v>
      </c>
      <c r="Z983" s="4" t="s">
        <v>7799</v>
      </c>
      <c r="AA983" s="3">
        <v>101</v>
      </c>
      <c r="AB983" s="3">
        <v>99</v>
      </c>
      <c r="AC983" s="3">
        <v>99</v>
      </c>
      <c r="AD983" s="3">
        <v>1</v>
      </c>
      <c r="AE983" s="3">
        <v>1</v>
      </c>
      <c r="AF983" s="3">
        <v>4</v>
      </c>
      <c r="AG983" s="3">
        <v>4</v>
      </c>
      <c r="AH983" s="3">
        <v>0</v>
      </c>
      <c r="AI983" s="3">
        <v>0</v>
      </c>
      <c r="AJ983" s="3">
        <v>1</v>
      </c>
      <c r="AK983" s="3">
        <v>1</v>
      </c>
      <c r="AL983" s="3">
        <v>1</v>
      </c>
      <c r="AM983" s="3">
        <v>1</v>
      </c>
      <c r="AN983" s="3">
        <v>0</v>
      </c>
      <c r="AO983" s="3">
        <v>0</v>
      </c>
      <c r="AP983" s="3">
        <v>2</v>
      </c>
      <c r="AQ983" s="3">
        <v>2</v>
      </c>
      <c r="AR983" s="2" t="s">
        <v>8</v>
      </c>
      <c r="AS983" s="2" t="s">
        <v>8</v>
      </c>
      <c r="AU983" s="5" t="str">
        <f>HYPERLINK("https://creighton-primo.hosted.exlibrisgroup.com/primo-explore/search?tab=default_tab&amp;search_scope=EVERYTHING&amp;vid=01CRU&amp;lang=en_US&amp;offset=0&amp;query=any,contains,991001114989702656","Catalog Record")</f>
        <v>Catalog Record</v>
      </c>
      <c r="AV983" s="5" t="str">
        <f>HYPERLINK("http://www.worldcat.org/oclc/13644095","WorldCat Record")</f>
        <v>WorldCat Record</v>
      </c>
      <c r="AW983" s="2" t="s">
        <v>12419</v>
      </c>
      <c r="AX983" s="2" t="s">
        <v>12420</v>
      </c>
      <c r="AY983" s="2" t="s">
        <v>12421</v>
      </c>
      <c r="AZ983" s="2" t="s">
        <v>12421</v>
      </c>
      <c r="BA983" s="2" t="s">
        <v>12422</v>
      </c>
      <c r="BB983" s="2" t="s">
        <v>21</v>
      </c>
      <c r="BD983" s="2" t="s">
        <v>12423</v>
      </c>
      <c r="BE983" s="2" t="s">
        <v>12424</v>
      </c>
      <c r="BF983" s="2" t="s">
        <v>12425</v>
      </c>
    </row>
    <row r="984" spans="1:58" ht="42.75" customHeight="1" x14ac:dyDescent="0.25">
      <c r="A984" s="8" t="s">
        <v>8</v>
      </c>
      <c r="B984" s="1" t="s">
        <v>0</v>
      </c>
      <c r="C984" s="1" t="s">
        <v>1</v>
      </c>
      <c r="D984" s="1" t="s">
        <v>12426</v>
      </c>
      <c r="E984" s="1" t="s">
        <v>12427</v>
      </c>
      <c r="F984" s="1" t="s">
        <v>12428</v>
      </c>
      <c r="H984" s="2" t="s">
        <v>8</v>
      </c>
      <c r="I984" s="2" t="s">
        <v>7</v>
      </c>
      <c r="J984" s="2" t="s">
        <v>8</v>
      </c>
      <c r="K984" s="2" t="s">
        <v>8</v>
      </c>
      <c r="L984" s="2" t="s">
        <v>9</v>
      </c>
      <c r="M984" s="1" t="s">
        <v>12429</v>
      </c>
      <c r="N984" s="1" t="s">
        <v>12430</v>
      </c>
      <c r="O984" s="2" t="s">
        <v>51</v>
      </c>
      <c r="Q984" s="2" t="s">
        <v>12</v>
      </c>
      <c r="R984" s="2" t="s">
        <v>1211</v>
      </c>
      <c r="S984" s="1" t="s">
        <v>12431</v>
      </c>
      <c r="T984" s="2" t="s">
        <v>14</v>
      </c>
      <c r="U984" s="3">
        <v>20</v>
      </c>
      <c r="V984" s="3">
        <v>20</v>
      </c>
      <c r="W984" s="4" t="s">
        <v>8568</v>
      </c>
      <c r="X984" s="4" t="s">
        <v>8568</v>
      </c>
      <c r="Y984" s="4" t="s">
        <v>5037</v>
      </c>
      <c r="Z984" s="4" t="s">
        <v>5037</v>
      </c>
      <c r="AA984" s="3">
        <v>213</v>
      </c>
      <c r="AB984" s="3">
        <v>195</v>
      </c>
      <c r="AC984" s="3">
        <v>202</v>
      </c>
      <c r="AD984" s="3">
        <v>2</v>
      </c>
      <c r="AE984" s="3">
        <v>2</v>
      </c>
      <c r="AF984" s="3">
        <v>12</v>
      </c>
      <c r="AG984" s="3">
        <v>12</v>
      </c>
      <c r="AH984" s="3">
        <v>2</v>
      </c>
      <c r="AI984" s="3">
        <v>2</v>
      </c>
      <c r="AJ984" s="3">
        <v>4</v>
      </c>
      <c r="AK984" s="3">
        <v>4</v>
      </c>
      <c r="AL984" s="3">
        <v>7</v>
      </c>
      <c r="AM984" s="3">
        <v>7</v>
      </c>
      <c r="AN984" s="3">
        <v>1</v>
      </c>
      <c r="AO984" s="3">
        <v>1</v>
      </c>
      <c r="AP984" s="3">
        <v>1</v>
      </c>
      <c r="AQ984" s="3">
        <v>1</v>
      </c>
      <c r="AR984" s="2" t="s">
        <v>8</v>
      </c>
      <c r="AS984" s="2" t="s">
        <v>6</v>
      </c>
      <c r="AT984" s="5" t="str">
        <f>HYPERLINK("http://catalog.hathitrust.org/Record/004486163","HathiTrust Record")</f>
        <v>HathiTrust Record</v>
      </c>
      <c r="AU984" s="5" t="str">
        <f>HYPERLINK("https://creighton-primo.hosted.exlibrisgroup.com/primo-explore/search?tab=default_tab&amp;search_scope=EVERYTHING&amp;vid=01CRU&amp;lang=en_US&amp;offset=0&amp;query=any,contains,991001321039702656","Catalog Record")</f>
        <v>Catalog Record</v>
      </c>
      <c r="AV984" s="5" t="str">
        <f>HYPERLINK("http://www.worldcat.org/oclc/18497519","WorldCat Record")</f>
        <v>WorldCat Record</v>
      </c>
      <c r="AW984" s="2" t="s">
        <v>12432</v>
      </c>
      <c r="AX984" s="2" t="s">
        <v>12433</v>
      </c>
      <c r="AY984" s="2" t="s">
        <v>12434</v>
      </c>
      <c r="AZ984" s="2" t="s">
        <v>12434</v>
      </c>
      <c r="BA984" s="2" t="s">
        <v>12435</v>
      </c>
      <c r="BB984" s="2" t="s">
        <v>21</v>
      </c>
      <c r="BD984" s="2" t="s">
        <v>12436</v>
      </c>
      <c r="BE984" s="2" t="s">
        <v>12437</v>
      </c>
      <c r="BF984" s="2" t="s">
        <v>12438</v>
      </c>
    </row>
    <row r="985" spans="1:58" ht="42.75" customHeight="1" x14ac:dyDescent="0.25">
      <c r="A985" s="8" t="s">
        <v>8</v>
      </c>
      <c r="B985" s="1" t="s">
        <v>0</v>
      </c>
      <c r="C985" s="1" t="s">
        <v>1</v>
      </c>
      <c r="D985" s="1" t="s">
        <v>12439</v>
      </c>
      <c r="E985" s="1" t="s">
        <v>12440</v>
      </c>
      <c r="F985" s="1" t="s">
        <v>12441</v>
      </c>
      <c r="H985" s="2" t="s">
        <v>8</v>
      </c>
      <c r="I985" s="2" t="s">
        <v>7</v>
      </c>
      <c r="J985" s="2" t="s">
        <v>8</v>
      </c>
      <c r="K985" s="2" t="s">
        <v>8</v>
      </c>
      <c r="L985" s="2" t="s">
        <v>9</v>
      </c>
      <c r="M985" s="1" t="s">
        <v>12442</v>
      </c>
      <c r="N985" s="1" t="s">
        <v>12443</v>
      </c>
      <c r="O985" s="2" t="s">
        <v>1327</v>
      </c>
      <c r="Q985" s="2" t="s">
        <v>12</v>
      </c>
      <c r="R985" s="2" t="s">
        <v>34</v>
      </c>
      <c r="T985" s="2" t="s">
        <v>14</v>
      </c>
      <c r="U985" s="3">
        <v>12</v>
      </c>
      <c r="V985" s="3">
        <v>12</v>
      </c>
      <c r="W985" s="4" t="s">
        <v>12444</v>
      </c>
      <c r="X985" s="4" t="s">
        <v>12444</v>
      </c>
      <c r="Y985" s="4" t="s">
        <v>5261</v>
      </c>
      <c r="Z985" s="4" t="s">
        <v>5261</v>
      </c>
      <c r="AA985" s="3">
        <v>865</v>
      </c>
      <c r="AB985" s="3">
        <v>774</v>
      </c>
      <c r="AC985" s="3">
        <v>818</v>
      </c>
      <c r="AD985" s="3">
        <v>6</v>
      </c>
      <c r="AE985" s="3">
        <v>6</v>
      </c>
      <c r="AF985" s="3">
        <v>40</v>
      </c>
      <c r="AG985" s="3">
        <v>42</v>
      </c>
      <c r="AH985" s="3">
        <v>14</v>
      </c>
      <c r="AI985" s="3">
        <v>15</v>
      </c>
      <c r="AJ985" s="3">
        <v>9</v>
      </c>
      <c r="AK985" s="3">
        <v>9</v>
      </c>
      <c r="AL985" s="3">
        <v>17</v>
      </c>
      <c r="AM985" s="3">
        <v>17</v>
      </c>
      <c r="AN985" s="3">
        <v>5</v>
      </c>
      <c r="AO985" s="3">
        <v>5</v>
      </c>
      <c r="AP985" s="3">
        <v>5</v>
      </c>
      <c r="AQ985" s="3">
        <v>6</v>
      </c>
      <c r="AR985" s="2" t="s">
        <v>8</v>
      </c>
      <c r="AS985" s="2" t="s">
        <v>6</v>
      </c>
      <c r="AT985" s="5" t="str">
        <f>HYPERLINK("http://catalog.hathitrust.org/Record/000481783","HathiTrust Record")</f>
        <v>HathiTrust Record</v>
      </c>
      <c r="AU985" s="5" t="str">
        <f>HYPERLINK("https://creighton-primo.hosted.exlibrisgroup.com/primo-explore/search?tab=default_tab&amp;search_scope=EVERYTHING&amp;vid=01CRU&amp;lang=en_US&amp;offset=0&amp;query=any,contains,991001242729702656","Catalog Record")</f>
        <v>Catalog Record</v>
      </c>
      <c r="AV985" s="5" t="str">
        <f>HYPERLINK("http://www.worldcat.org/oclc/13424679","WorldCat Record")</f>
        <v>WorldCat Record</v>
      </c>
      <c r="AW985" s="2" t="s">
        <v>12445</v>
      </c>
      <c r="AX985" s="2" t="s">
        <v>12446</v>
      </c>
      <c r="AY985" s="2" t="s">
        <v>12447</v>
      </c>
      <c r="AZ985" s="2" t="s">
        <v>12447</v>
      </c>
      <c r="BA985" s="2" t="s">
        <v>12448</v>
      </c>
      <c r="BB985" s="2" t="s">
        <v>21</v>
      </c>
      <c r="BD985" s="2" t="s">
        <v>12449</v>
      </c>
      <c r="BE985" s="2" t="s">
        <v>12450</v>
      </c>
      <c r="BF985" s="2" t="s">
        <v>12451</v>
      </c>
    </row>
    <row r="986" spans="1:58" ht="42.75" customHeight="1" x14ac:dyDescent="0.25">
      <c r="A986" s="8" t="s">
        <v>8</v>
      </c>
      <c r="B986" s="1" t="s">
        <v>0</v>
      </c>
      <c r="C986" s="1" t="s">
        <v>1</v>
      </c>
      <c r="D986" s="1" t="s">
        <v>12452</v>
      </c>
      <c r="E986" s="1" t="s">
        <v>12453</v>
      </c>
      <c r="F986" s="1" t="s">
        <v>12454</v>
      </c>
      <c r="H986" s="2" t="s">
        <v>8</v>
      </c>
      <c r="I986" s="2" t="s">
        <v>7</v>
      </c>
      <c r="J986" s="2" t="s">
        <v>8</v>
      </c>
      <c r="K986" s="2" t="s">
        <v>8</v>
      </c>
      <c r="L986" s="2" t="s">
        <v>9</v>
      </c>
      <c r="N986" s="1" t="s">
        <v>12455</v>
      </c>
      <c r="O986" s="2" t="s">
        <v>1327</v>
      </c>
      <c r="Q986" s="2" t="s">
        <v>12</v>
      </c>
      <c r="R986" s="2" t="s">
        <v>3403</v>
      </c>
      <c r="T986" s="2" t="s">
        <v>14</v>
      </c>
      <c r="U986" s="3">
        <v>3</v>
      </c>
      <c r="V986" s="3">
        <v>3</v>
      </c>
      <c r="W986" s="4" t="s">
        <v>12456</v>
      </c>
      <c r="X986" s="4" t="s">
        <v>12456</v>
      </c>
      <c r="Y986" s="4" t="s">
        <v>12457</v>
      </c>
      <c r="Z986" s="4" t="s">
        <v>12457</v>
      </c>
      <c r="AA986" s="3">
        <v>1</v>
      </c>
      <c r="AB986" s="3">
        <v>1</v>
      </c>
      <c r="AC986" s="3">
        <v>1</v>
      </c>
      <c r="AD986" s="3">
        <v>1</v>
      </c>
      <c r="AE986" s="3">
        <v>1</v>
      </c>
      <c r="AF986" s="3">
        <v>0</v>
      </c>
      <c r="AG986" s="3">
        <v>0</v>
      </c>
      <c r="AH986" s="3">
        <v>0</v>
      </c>
      <c r="AI986" s="3">
        <v>0</v>
      </c>
      <c r="AJ986" s="3">
        <v>0</v>
      </c>
      <c r="AK986" s="3">
        <v>0</v>
      </c>
      <c r="AL986" s="3">
        <v>0</v>
      </c>
      <c r="AM986" s="3">
        <v>0</v>
      </c>
      <c r="AN986" s="3">
        <v>0</v>
      </c>
      <c r="AO986" s="3">
        <v>0</v>
      </c>
      <c r="AP986" s="3">
        <v>0</v>
      </c>
      <c r="AQ986" s="3">
        <v>0</v>
      </c>
      <c r="AR986" s="2" t="s">
        <v>8</v>
      </c>
      <c r="AS986" s="2" t="s">
        <v>8</v>
      </c>
      <c r="AU986" s="5" t="str">
        <f>HYPERLINK("https://creighton-primo.hosted.exlibrisgroup.com/primo-explore/search?tab=default_tab&amp;search_scope=EVERYTHING&amp;vid=01CRU&amp;lang=en_US&amp;offset=0&amp;query=any,contains,991001171309702656","Catalog Record")</f>
        <v>Catalog Record</v>
      </c>
      <c r="AV986" s="5" t="str">
        <f>HYPERLINK("http://www.worldcat.org/oclc/21155028","WorldCat Record")</f>
        <v>WorldCat Record</v>
      </c>
      <c r="AW986" s="2" t="s">
        <v>12458</v>
      </c>
      <c r="AX986" s="2" t="s">
        <v>12459</v>
      </c>
      <c r="AY986" s="2" t="s">
        <v>12460</v>
      </c>
      <c r="AZ986" s="2" t="s">
        <v>12460</v>
      </c>
      <c r="BA986" s="2" t="s">
        <v>12461</v>
      </c>
      <c r="BB986" s="2" t="s">
        <v>21</v>
      </c>
      <c r="BE986" s="2" t="s">
        <v>12462</v>
      </c>
      <c r="BF986" s="2" t="s">
        <v>12463</v>
      </c>
    </row>
    <row r="987" spans="1:58" ht="42.75" customHeight="1" x14ac:dyDescent="0.25">
      <c r="A987" s="8" t="s">
        <v>8</v>
      </c>
      <c r="B987" s="1" t="s">
        <v>0</v>
      </c>
      <c r="C987" s="1" t="s">
        <v>1</v>
      </c>
      <c r="D987" s="1" t="s">
        <v>12464</v>
      </c>
      <c r="E987" s="1" t="s">
        <v>12465</v>
      </c>
      <c r="F987" s="1" t="s">
        <v>12466</v>
      </c>
      <c r="H987" s="2" t="s">
        <v>8</v>
      </c>
      <c r="I987" s="2" t="s">
        <v>7</v>
      </c>
      <c r="J987" s="2" t="s">
        <v>8</v>
      </c>
      <c r="K987" s="2" t="s">
        <v>8</v>
      </c>
      <c r="L987" s="2" t="s">
        <v>9</v>
      </c>
      <c r="M987" s="1" t="s">
        <v>12467</v>
      </c>
      <c r="N987" s="1" t="s">
        <v>12468</v>
      </c>
      <c r="O987" s="2" t="s">
        <v>1446</v>
      </c>
      <c r="Q987" s="2" t="s">
        <v>12</v>
      </c>
      <c r="R987" s="2" t="s">
        <v>1340</v>
      </c>
      <c r="T987" s="2" t="s">
        <v>14</v>
      </c>
      <c r="U987" s="3">
        <v>4</v>
      </c>
      <c r="V987" s="3">
        <v>4</v>
      </c>
      <c r="W987" s="4" t="s">
        <v>2131</v>
      </c>
      <c r="X987" s="4" t="s">
        <v>2131</v>
      </c>
      <c r="Y987" s="4" t="s">
        <v>12469</v>
      </c>
      <c r="Z987" s="4" t="s">
        <v>12469</v>
      </c>
      <c r="AA987" s="3">
        <v>589</v>
      </c>
      <c r="AB987" s="3">
        <v>541</v>
      </c>
      <c r="AC987" s="3">
        <v>551</v>
      </c>
      <c r="AD987" s="3">
        <v>5</v>
      </c>
      <c r="AE987" s="3">
        <v>5</v>
      </c>
      <c r="AF987" s="3">
        <v>27</v>
      </c>
      <c r="AG987" s="3">
        <v>27</v>
      </c>
      <c r="AH987" s="3">
        <v>8</v>
      </c>
      <c r="AI987" s="3">
        <v>8</v>
      </c>
      <c r="AJ987" s="3">
        <v>3</v>
      </c>
      <c r="AK987" s="3">
        <v>3</v>
      </c>
      <c r="AL987" s="3">
        <v>14</v>
      </c>
      <c r="AM987" s="3">
        <v>14</v>
      </c>
      <c r="AN987" s="3">
        <v>4</v>
      </c>
      <c r="AO987" s="3">
        <v>4</v>
      </c>
      <c r="AP987" s="3">
        <v>3</v>
      </c>
      <c r="AQ987" s="3">
        <v>3</v>
      </c>
      <c r="AR987" s="2" t="s">
        <v>8</v>
      </c>
      <c r="AS987" s="2" t="s">
        <v>6</v>
      </c>
      <c r="AT987" s="5" t="str">
        <f>HYPERLINK("http://catalog.hathitrust.org/Record/000012501","HathiTrust Record")</f>
        <v>HathiTrust Record</v>
      </c>
      <c r="AU987" s="5" t="str">
        <f>HYPERLINK("https://creighton-primo.hosted.exlibrisgroup.com/primo-explore/search?tab=default_tab&amp;search_scope=EVERYTHING&amp;vid=01CRU&amp;lang=en_US&amp;offset=0&amp;query=any,contains,991000663779702656","Catalog Record")</f>
        <v>Catalog Record</v>
      </c>
      <c r="AV987" s="5" t="str">
        <f>HYPERLINK("http://www.worldcat.org/oclc/821355","WorldCat Record")</f>
        <v>WorldCat Record</v>
      </c>
      <c r="AW987" s="2" t="s">
        <v>12470</v>
      </c>
      <c r="AX987" s="2" t="s">
        <v>12471</v>
      </c>
      <c r="AY987" s="2" t="s">
        <v>12472</v>
      </c>
      <c r="AZ987" s="2" t="s">
        <v>12472</v>
      </c>
      <c r="BA987" s="2" t="s">
        <v>12473</v>
      </c>
      <c r="BB987" s="2" t="s">
        <v>21</v>
      </c>
      <c r="BD987" s="2" t="s">
        <v>12474</v>
      </c>
      <c r="BE987" s="2" t="s">
        <v>12475</v>
      </c>
      <c r="BF987" s="2" t="s">
        <v>12476</v>
      </c>
    </row>
    <row r="988" spans="1:58" ht="42.75" customHeight="1" x14ac:dyDescent="0.25">
      <c r="A988" s="8" t="s">
        <v>8</v>
      </c>
      <c r="B988" s="1" t="s">
        <v>0</v>
      </c>
      <c r="C988" s="1" t="s">
        <v>1</v>
      </c>
      <c r="D988" s="1" t="s">
        <v>12477</v>
      </c>
      <c r="E988" s="1" t="s">
        <v>12478</v>
      </c>
      <c r="F988" s="1" t="s">
        <v>12479</v>
      </c>
      <c r="H988" s="2" t="s">
        <v>8</v>
      </c>
      <c r="I988" s="2" t="s">
        <v>7</v>
      </c>
      <c r="J988" s="2" t="s">
        <v>8</v>
      </c>
      <c r="K988" s="2" t="s">
        <v>8</v>
      </c>
      <c r="L988" s="2" t="s">
        <v>9</v>
      </c>
      <c r="M988" s="1" t="s">
        <v>12480</v>
      </c>
      <c r="N988" s="1" t="s">
        <v>12481</v>
      </c>
      <c r="O988" s="2" t="s">
        <v>298</v>
      </c>
      <c r="P988" s="1" t="s">
        <v>12482</v>
      </c>
      <c r="Q988" s="2" t="s">
        <v>12</v>
      </c>
      <c r="R988" s="2" t="s">
        <v>34</v>
      </c>
      <c r="T988" s="2" t="s">
        <v>14</v>
      </c>
      <c r="U988" s="3">
        <v>13</v>
      </c>
      <c r="V988" s="3">
        <v>13</v>
      </c>
      <c r="W988" s="4" t="s">
        <v>7290</v>
      </c>
      <c r="X988" s="4" t="s">
        <v>7290</v>
      </c>
      <c r="Y988" s="4" t="s">
        <v>12483</v>
      </c>
      <c r="Z988" s="4" t="s">
        <v>12483</v>
      </c>
      <c r="AA988" s="3">
        <v>115</v>
      </c>
      <c r="AB988" s="3">
        <v>99</v>
      </c>
      <c r="AC988" s="3">
        <v>331</v>
      </c>
      <c r="AD988" s="3">
        <v>1</v>
      </c>
      <c r="AE988" s="3">
        <v>1</v>
      </c>
      <c r="AF988" s="3">
        <v>7</v>
      </c>
      <c r="AG988" s="3">
        <v>12</v>
      </c>
      <c r="AH988" s="3">
        <v>2</v>
      </c>
      <c r="AI988" s="3">
        <v>2</v>
      </c>
      <c r="AJ988" s="3">
        <v>2</v>
      </c>
      <c r="AK988" s="3">
        <v>4</v>
      </c>
      <c r="AL988" s="3">
        <v>5</v>
      </c>
      <c r="AM988" s="3">
        <v>9</v>
      </c>
      <c r="AN988" s="3">
        <v>0</v>
      </c>
      <c r="AO988" s="3">
        <v>0</v>
      </c>
      <c r="AP988" s="3">
        <v>0</v>
      </c>
      <c r="AQ988" s="3">
        <v>0</v>
      </c>
      <c r="AR988" s="2" t="s">
        <v>8</v>
      </c>
      <c r="AS988" s="2" t="s">
        <v>8</v>
      </c>
      <c r="AU988" s="5" t="str">
        <f>HYPERLINK("https://creighton-primo.hosted.exlibrisgroup.com/primo-explore/search?tab=default_tab&amp;search_scope=EVERYTHING&amp;vid=01CRU&amp;lang=en_US&amp;offset=0&amp;query=any,contains,991001422799702656","Catalog Record")</f>
        <v>Catalog Record</v>
      </c>
      <c r="AV988" s="5" t="str">
        <f>HYPERLINK("http://www.worldcat.org/oclc/15108005","WorldCat Record")</f>
        <v>WorldCat Record</v>
      </c>
      <c r="AW988" s="2" t="s">
        <v>12484</v>
      </c>
      <c r="AX988" s="2" t="s">
        <v>12485</v>
      </c>
      <c r="AY988" s="2" t="s">
        <v>12486</v>
      </c>
      <c r="AZ988" s="2" t="s">
        <v>12486</v>
      </c>
      <c r="BA988" s="2" t="s">
        <v>12487</v>
      </c>
      <c r="BB988" s="2" t="s">
        <v>21</v>
      </c>
      <c r="BD988" s="2" t="s">
        <v>12488</v>
      </c>
      <c r="BE988" s="2" t="s">
        <v>12489</v>
      </c>
      <c r="BF988" s="2" t="s">
        <v>12490</v>
      </c>
    </row>
    <row r="989" spans="1:58" ht="42.75" customHeight="1" x14ac:dyDescent="0.25">
      <c r="A989" s="8" t="s">
        <v>8</v>
      </c>
      <c r="B989" s="1" t="s">
        <v>0</v>
      </c>
      <c r="C989" s="1" t="s">
        <v>1</v>
      </c>
      <c r="D989" s="1" t="s">
        <v>12491</v>
      </c>
      <c r="E989" s="1" t="s">
        <v>12492</v>
      </c>
      <c r="F989" s="1" t="s">
        <v>12493</v>
      </c>
      <c r="H989" s="2" t="s">
        <v>8</v>
      </c>
      <c r="I989" s="2" t="s">
        <v>7</v>
      </c>
      <c r="J989" s="2" t="s">
        <v>8</v>
      </c>
      <c r="K989" s="2" t="s">
        <v>8</v>
      </c>
      <c r="L989" s="2" t="s">
        <v>9</v>
      </c>
      <c r="N989" s="1" t="s">
        <v>12494</v>
      </c>
      <c r="O989" s="2" t="s">
        <v>208</v>
      </c>
      <c r="Q989" s="2" t="s">
        <v>12</v>
      </c>
      <c r="R989" s="2" t="s">
        <v>13</v>
      </c>
      <c r="S989" s="1" t="s">
        <v>12495</v>
      </c>
      <c r="T989" s="2" t="s">
        <v>14</v>
      </c>
      <c r="U989" s="3">
        <v>1</v>
      </c>
      <c r="V989" s="3">
        <v>1</v>
      </c>
      <c r="W989" s="4" t="s">
        <v>12496</v>
      </c>
      <c r="X989" s="4" t="s">
        <v>12496</v>
      </c>
      <c r="Y989" s="4" t="s">
        <v>16</v>
      </c>
      <c r="Z989" s="4" t="s">
        <v>16</v>
      </c>
      <c r="AA989" s="3">
        <v>490</v>
      </c>
      <c r="AB989" s="3">
        <v>463</v>
      </c>
      <c r="AC989" s="3">
        <v>465</v>
      </c>
      <c r="AD989" s="3">
        <v>4</v>
      </c>
      <c r="AE989" s="3">
        <v>4</v>
      </c>
      <c r="AF989" s="3">
        <v>26</v>
      </c>
      <c r="AG989" s="3">
        <v>26</v>
      </c>
      <c r="AH989" s="3">
        <v>4</v>
      </c>
      <c r="AI989" s="3">
        <v>4</v>
      </c>
      <c r="AJ989" s="3">
        <v>6</v>
      </c>
      <c r="AK989" s="3">
        <v>6</v>
      </c>
      <c r="AL989" s="3">
        <v>11</v>
      </c>
      <c r="AM989" s="3">
        <v>11</v>
      </c>
      <c r="AN989" s="3">
        <v>3</v>
      </c>
      <c r="AO989" s="3">
        <v>3</v>
      </c>
      <c r="AP989" s="3">
        <v>8</v>
      </c>
      <c r="AQ989" s="3">
        <v>8</v>
      </c>
      <c r="AR989" s="2" t="s">
        <v>8</v>
      </c>
      <c r="AS989" s="2" t="s">
        <v>6</v>
      </c>
      <c r="AT989" s="5" t="str">
        <f>HYPERLINK("http://catalog.hathitrust.org/Record/000254274","HathiTrust Record")</f>
        <v>HathiTrust Record</v>
      </c>
      <c r="AU989" s="5" t="str">
        <f>HYPERLINK("https://creighton-primo.hosted.exlibrisgroup.com/primo-explore/search?tab=default_tab&amp;search_scope=EVERYTHING&amp;vid=01CRU&amp;lang=en_US&amp;offset=0&amp;query=any,contains,991000663829702656","Catalog Record")</f>
        <v>Catalog Record</v>
      </c>
      <c r="AV989" s="5" t="str">
        <f>HYPERLINK("http://www.worldcat.org/oclc/3089988","WorldCat Record")</f>
        <v>WorldCat Record</v>
      </c>
      <c r="AW989" s="2" t="s">
        <v>12497</v>
      </c>
      <c r="AX989" s="2" t="s">
        <v>12498</v>
      </c>
      <c r="AY989" s="2" t="s">
        <v>12499</v>
      </c>
      <c r="AZ989" s="2" t="s">
        <v>12499</v>
      </c>
      <c r="BA989" s="2" t="s">
        <v>12500</v>
      </c>
      <c r="BB989" s="2" t="s">
        <v>21</v>
      </c>
      <c r="BD989" s="2" t="s">
        <v>12501</v>
      </c>
      <c r="BE989" s="2" t="s">
        <v>12502</v>
      </c>
      <c r="BF989" s="2" t="s">
        <v>12503</v>
      </c>
    </row>
    <row r="990" spans="1:58" ht="42.75" customHeight="1" x14ac:dyDescent="0.25">
      <c r="A990" s="8" t="s">
        <v>8</v>
      </c>
      <c r="B990" s="1" t="s">
        <v>0</v>
      </c>
      <c r="C990" s="1" t="s">
        <v>1</v>
      </c>
      <c r="D990" s="1" t="s">
        <v>12504</v>
      </c>
      <c r="E990" s="1" t="s">
        <v>12505</v>
      </c>
      <c r="F990" s="1" t="s">
        <v>12506</v>
      </c>
      <c r="H990" s="2" t="s">
        <v>8</v>
      </c>
      <c r="I990" s="2" t="s">
        <v>7</v>
      </c>
      <c r="J990" s="2" t="s">
        <v>8</v>
      </c>
      <c r="K990" s="2" t="s">
        <v>8</v>
      </c>
      <c r="L990" s="2" t="s">
        <v>9</v>
      </c>
      <c r="N990" s="1" t="s">
        <v>12507</v>
      </c>
      <c r="O990" s="2" t="s">
        <v>11</v>
      </c>
      <c r="P990" s="1" t="s">
        <v>83</v>
      </c>
      <c r="Q990" s="2" t="s">
        <v>12</v>
      </c>
      <c r="R990" s="2" t="s">
        <v>1170</v>
      </c>
      <c r="T990" s="2" t="s">
        <v>14</v>
      </c>
      <c r="U990" s="3">
        <v>1</v>
      </c>
      <c r="V990" s="3">
        <v>1</v>
      </c>
      <c r="W990" s="4" t="s">
        <v>2131</v>
      </c>
      <c r="X990" s="4" t="s">
        <v>2131</v>
      </c>
      <c r="Y990" s="4" t="s">
        <v>7689</v>
      </c>
      <c r="Z990" s="4" t="s">
        <v>7689</v>
      </c>
      <c r="AA990" s="3">
        <v>107</v>
      </c>
      <c r="AB990" s="3">
        <v>101</v>
      </c>
      <c r="AC990" s="3">
        <v>248</v>
      </c>
      <c r="AD990" s="3">
        <v>3</v>
      </c>
      <c r="AE990" s="3">
        <v>3</v>
      </c>
      <c r="AF990" s="3">
        <v>7</v>
      </c>
      <c r="AG990" s="3">
        <v>12</v>
      </c>
      <c r="AH990" s="3">
        <v>1</v>
      </c>
      <c r="AI990" s="3">
        <v>3</v>
      </c>
      <c r="AJ990" s="3">
        <v>1</v>
      </c>
      <c r="AK990" s="3">
        <v>2</v>
      </c>
      <c r="AL990" s="3">
        <v>3</v>
      </c>
      <c r="AM990" s="3">
        <v>6</v>
      </c>
      <c r="AN990" s="3">
        <v>2</v>
      </c>
      <c r="AO990" s="3">
        <v>2</v>
      </c>
      <c r="AP990" s="3">
        <v>1</v>
      </c>
      <c r="AQ990" s="3">
        <v>2</v>
      </c>
      <c r="AR990" s="2" t="s">
        <v>8</v>
      </c>
      <c r="AS990" s="2" t="s">
        <v>6</v>
      </c>
      <c r="AT990" s="5" t="str">
        <f>HYPERLINK("http://catalog.hathitrust.org/Record/001550345","HathiTrust Record")</f>
        <v>HathiTrust Record</v>
      </c>
      <c r="AU990" s="5" t="str">
        <f>HYPERLINK("https://creighton-primo.hosted.exlibrisgroup.com/primo-explore/search?tab=default_tab&amp;search_scope=EVERYTHING&amp;vid=01CRU&amp;lang=en_US&amp;offset=0&amp;query=any,contains,991000663929702656","Catalog Record")</f>
        <v>Catalog Record</v>
      </c>
      <c r="AV990" s="5" t="str">
        <f>HYPERLINK("http://www.worldcat.org/oclc/2813930","WorldCat Record")</f>
        <v>WorldCat Record</v>
      </c>
      <c r="AW990" s="2" t="s">
        <v>12508</v>
      </c>
      <c r="AX990" s="2" t="s">
        <v>12509</v>
      </c>
      <c r="AY990" s="2" t="s">
        <v>12510</v>
      </c>
      <c r="AZ990" s="2" t="s">
        <v>12510</v>
      </c>
      <c r="BA990" s="2" t="s">
        <v>12511</v>
      </c>
      <c r="BB990" s="2" t="s">
        <v>21</v>
      </c>
      <c r="BD990" s="2" t="s">
        <v>12512</v>
      </c>
      <c r="BE990" s="2" t="s">
        <v>12513</v>
      </c>
      <c r="BF990" s="2" t="s">
        <v>12514</v>
      </c>
    </row>
    <row r="991" spans="1:58" ht="42.75" customHeight="1" x14ac:dyDescent="0.25">
      <c r="A991" s="8" t="s">
        <v>8</v>
      </c>
      <c r="B991" s="1" t="s">
        <v>0</v>
      </c>
      <c r="C991" s="1" t="s">
        <v>1</v>
      </c>
      <c r="D991" s="1" t="s">
        <v>12515</v>
      </c>
      <c r="E991" s="1" t="s">
        <v>12516</v>
      </c>
      <c r="F991" s="1" t="s">
        <v>12517</v>
      </c>
      <c r="H991" s="2" t="s">
        <v>8</v>
      </c>
      <c r="I991" s="2" t="s">
        <v>7</v>
      </c>
      <c r="J991" s="2" t="s">
        <v>8</v>
      </c>
      <c r="K991" s="2" t="s">
        <v>8</v>
      </c>
      <c r="L991" s="2" t="s">
        <v>9</v>
      </c>
      <c r="M991" s="1" t="s">
        <v>12518</v>
      </c>
      <c r="N991" s="1" t="s">
        <v>12519</v>
      </c>
      <c r="O991" s="2" t="s">
        <v>642</v>
      </c>
      <c r="P991" s="1" t="s">
        <v>2090</v>
      </c>
      <c r="Q991" s="2" t="s">
        <v>12</v>
      </c>
      <c r="R991" s="2" t="s">
        <v>1002</v>
      </c>
      <c r="T991" s="2" t="s">
        <v>14</v>
      </c>
      <c r="U991" s="3">
        <v>4</v>
      </c>
      <c r="V991" s="3">
        <v>4</v>
      </c>
      <c r="W991" s="4" t="s">
        <v>12520</v>
      </c>
      <c r="X991" s="4" t="s">
        <v>12520</v>
      </c>
      <c r="Y991" s="4" t="s">
        <v>12521</v>
      </c>
      <c r="Z991" s="4" t="s">
        <v>12521</v>
      </c>
      <c r="AA991" s="3">
        <v>30</v>
      </c>
      <c r="AB991" s="3">
        <v>23</v>
      </c>
      <c r="AC991" s="3">
        <v>994</v>
      </c>
      <c r="AD991" s="3">
        <v>1</v>
      </c>
      <c r="AE991" s="3">
        <v>2</v>
      </c>
      <c r="AF991" s="3">
        <v>0</v>
      </c>
      <c r="AG991" s="3">
        <v>14</v>
      </c>
      <c r="AH991" s="3">
        <v>0</v>
      </c>
      <c r="AI991" s="3">
        <v>10</v>
      </c>
      <c r="AJ991" s="3">
        <v>0</v>
      </c>
      <c r="AK991" s="3">
        <v>3</v>
      </c>
      <c r="AL991" s="3">
        <v>0</v>
      </c>
      <c r="AM991" s="3">
        <v>5</v>
      </c>
      <c r="AN991" s="3">
        <v>0</v>
      </c>
      <c r="AO991" s="3">
        <v>1</v>
      </c>
      <c r="AP991" s="3">
        <v>0</v>
      </c>
      <c r="AQ991" s="3">
        <v>0</v>
      </c>
      <c r="AR991" s="2" t="s">
        <v>8</v>
      </c>
      <c r="AS991" s="2" t="s">
        <v>8</v>
      </c>
      <c r="AU991" s="5" t="str">
        <f>HYPERLINK("https://creighton-primo.hosted.exlibrisgroup.com/primo-explore/search?tab=default_tab&amp;search_scope=EVERYTHING&amp;vid=01CRU&amp;lang=en_US&amp;offset=0&amp;query=any,contains,991000369229702656","Catalog Record")</f>
        <v>Catalog Record</v>
      </c>
      <c r="AV991" s="5" t="str">
        <f>HYPERLINK("http://www.worldcat.org/oclc/53286213","WorldCat Record")</f>
        <v>WorldCat Record</v>
      </c>
      <c r="AW991" s="2" t="s">
        <v>12522</v>
      </c>
      <c r="AX991" s="2" t="s">
        <v>12523</v>
      </c>
      <c r="AY991" s="2" t="s">
        <v>12524</v>
      </c>
      <c r="AZ991" s="2" t="s">
        <v>12524</v>
      </c>
      <c r="BA991" s="2" t="s">
        <v>12525</v>
      </c>
      <c r="BB991" s="2" t="s">
        <v>21</v>
      </c>
      <c r="BD991" s="2" t="s">
        <v>12526</v>
      </c>
      <c r="BE991" s="2" t="s">
        <v>12527</v>
      </c>
      <c r="BF991" s="2" t="s">
        <v>12528</v>
      </c>
    </row>
    <row r="992" spans="1:58" ht="42.75" customHeight="1" x14ac:dyDescent="0.25">
      <c r="A992" s="8" t="s">
        <v>8</v>
      </c>
      <c r="B992" s="1" t="s">
        <v>0</v>
      </c>
      <c r="C992" s="1" t="s">
        <v>1</v>
      </c>
      <c r="D992" s="1" t="s">
        <v>12529</v>
      </c>
      <c r="E992" s="1" t="s">
        <v>12530</v>
      </c>
      <c r="F992" s="1" t="s">
        <v>12531</v>
      </c>
      <c r="H992" s="2" t="s">
        <v>8</v>
      </c>
      <c r="I992" s="2" t="s">
        <v>7</v>
      </c>
      <c r="J992" s="2" t="s">
        <v>6</v>
      </c>
      <c r="K992" s="2" t="s">
        <v>8</v>
      </c>
      <c r="L992" s="2" t="s">
        <v>9</v>
      </c>
      <c r="N992" s="1" t="s">
        <v>12532</v>
      </c>
      <c r="O992" s="2" t="s">
        <v>2919</v>
      </c>
      <c r="Q992" s="2" t="s">
        <v>12</v>
      </c>
      <c r="R992" s="2" t="s">
        <v>815</v>
      </c>
      <c r="T992" s="2" t="s">
        <v>14</v>
      </c>
      <c r="U992" s="3">
        <v>9</v>
      </c>
      <c r="V992" s="3">
        <v>9</v>
      </c>
      <c r="W992" s="4" t="s">
        <v>12368</v>
      </c>
      <c r="X992" s="4" t="s">
        <v>12368</v>
      </c>
      <c r="Y992" s="4" t="s">
        <v>16</v>
      </c>
      <c r="Z992" s="4" t="s">
        <v>16</v>
      </c>
      <c r="AA992" s="3">
        <v>369</v>
      </c>
      <c r="AB992" s="3">
        <v>353</v>
      </c>
      <c r="AC992" s="3">
        <v>360</v>
      </c>
      <c r="AD992" s="3">
        <v>3</v>
      </c>
      <c r="AE992" s="3">
        <v>3</v>
      </c>
      <c r="AF992" s="3">
        <v>15</v>
      </c>
      <c r="AG992" s="3">
        <v>15</v>
      </c>
      <c r="AH992" s="3">
        <v>4</v>
      </c>
      <c r="AI992" s="3">
        <v>4</v>
      </c>
      <c r="AJ992" s="3">
        <v>3</v>
      </c>
      <c r="AK992" s="3">
        <v>3</v>
      </c>
      <c r="AL992" s="3">
        <v>3</v>
      </c>
      <c r="AM992" s="3">
        <v>3</v>
      </c>
      <c r="AN992" s="3">
        <v>1</v>
      </c>
      <c r="AO992" s="3">
        <v>1</v>
      </c>
      <c r="AP992" s="3">
        <v>6</v>
      </c>
      <c r="AQ992" s="3">
        <v>6</v>
      </c>
      <c r="AR992" s="2" t="s">
        <v>8</v>
      </c>
      <c r="AS992" s="2" t="s">
        <v>6</v>
      </c>
      <c r="AT992" s="5" t="str">
        <f>HYPERLINK("http://catalog.hathitrust.org/Record/000021597","HathiTrust Record")</f>
        <v>HathiTrust Record</v>
      </c>
      <c r="AU992" s="5" t="str">
        <f>HYPERLINK("https://creighton-primo.hosted.exlibrisgroup.com/primo-explore/search?tab=default_tab&amp;search_scope=EVERYTHING&amp;vid=01CRU&amp;lang=en_US&amp;offset=0&amp;query=any,contains,991000664009702656","Catalog Record")</f>
        <v>Catalog Record</v>
      </c>
      <c r="AV992" s="5" t="str">
        <f>HYPERLINK("http://www.worldcat.org/oclc/1225796","WorldCat Record")</f>
        <v>WorldCat Record</v>
      </c>
      <c r="AW992" s="2" t="s">
        <v>12533</v>
      </c>
      <c r="AX992" s="2" t="s">
        <v>12534</v>
      </c>
      <c r="AY992" s="2" t="s">
        <v>12535</v>
      </c>
      <c r="AZ992" s="2" t="s">
        <v>12535</v>
      </c>
      <c r="BA992" s="2" t="s">
        <v>12536</v>
      </c>
      <c r="BB992" s="2" t="s">
        <v>21</v>
      </c>
      <c r="BD992" s="2" t="s">
        <v>12537</v>
      </c>
      <c r="BE992" s="2" t="s">
        <v>12538</v>
      </c>
      <c r="BF992" s="2" t="s">
        <v>12539</v>
      </c>
    </row>
    <row r="993" spans="1:58" ht="42.75" customHeight="1" x14ac:dyDescent="0.25">
      <c r="A993" s="8" t="s">
        <v>8</v>
      </c>
      <c r="B993" s="1" t="s">
        <v>0</v>
      </c>
      <c r="C993" s="1" t="s">
        <v>1</v>
      </c>
      <c r="D993" s="1" t="s">
        <v>12540</v>
      </c>
      <c r="E993" s="1" t="s">
        <v>12541</v>
      </c>
      <c r="F993" s="1" t="s">
        <v>12542</v>
      </c>
      <c r="H993" s="2" t="s">
        <v>8</v>
      </c>
      <c r="I993" s="2" t="s">
        <v>7</v>
      </c>
      <c r="J993" s="2" t="s">
        <v>8</v>
      </c>
      <c r="K993" s="2" t="s">
        <v>8</v>
      </c>
      <c r="L993" s="2" t="s">
        <v>9</v>
      </c>
      <c r="M993" s="1" t="s">
        <v>12543</v>
      </c>
      <c r="N993" s="1" t="s">
        <v>12544</v>
      </c>
      <c r="O993" s="2" t="s">
        <v>614</v>
      </c>
      <c r="Q993" s="2" t="s">
        <v>12</v>
      </c>
      <c r="R993" s="2" t="s">
        <v>590</v>
      </c>
      <c r="T993" s="2" t="s">
        <v>14</v>
      </c>
      <c r="U993" s="3">
        <v>13</v>
      </c>
      <c r="V993" s="3">
        <v>13</v>
      </c>
      <c r="W993" s="4" t="s">
        <v>12545</v>
      </c>
      <c r="X993" s="4" t="s">
        <v>12545</v>
      </c>
      <c r="Y993" s="4" t="s">
        <v>12546</v>
      </c>
      <c r="Z993" s="4" t="s">
        <v>12546</v>
      </c>
      <c r="AA993" s="3">
        <v>306</v>
      </c>
      <c r="AB993" s="3">
        <v>302</v>
      </c>
      <c r="AC993" s="3">
        <v>307</v>
      </c>
      <c r="AD993" s="3">
        <v>3</v>
      </c>
      <c r="AE993" s="3">
        <v>3</v>
      </c>
      <c r="AF993" s="3">
        <v>6</v>
      </c>
      <c r="AG993" s="3">
        <v>6</v>
      </c>
      <c r="AH993" s="3">
        <v>1</v>
      </c>
      <c r="AI993" s="3">
        <v>1</v>
      </c>
      <c r="AJ993" s="3">
        <v>1</v>
      </c>
      <c r="AK993" s="3">
        <v>1</v>
      </c>
      <c r="AL993" s="3">
        <v>1</v>
      </c>
      <c r="AM993" s="3">
        <v>1</v>
      </c>
      <c r="AN993" s="3">
        <v>2</v>
      </c>
      <c r="AO993" s="3">
        <v>2</v>
      </c>
      <c r="AP993" s="3">
        <v>2</v>
      </c>
      <c r="AQ993" s="3">
        <v>2</v>
      </c>
      <c r="AR993" s="2" t="s">
        <v>8</v>
      </c>
      <c r="AS993" s="2" t="s">
        <v>8</v>
      </c>
      <c r="AU993" s="5" t="str">
        <f>HYPERLINK("https://creighton-primo.hosted.exlibrisgroup.com/primo-explore/search?tab=default_tab&amp;search_scope=EVERYTHING&amp;vid=01CRU&amp;lang=en_US&amp;offset=0&amp;query=any,contains,991001434849702656","Catalog Record")</f>
        <v>Catalog Record</v>
      </c>
      <c r="AV993" s="5" t="str">
        <f>HYPERLINK("http://www.worldcat.org/oclc/27137596","WorldCat Record")</f>
        <v>WorldCat Record</v>
      </c>
      <c r="AW993" s="2" t="s">
        <v>12547</v>
      </c>
      <c r="AX993" s="2" t="s">
        <v>12548</v>
      </c>
      <c r="AY993" s="2" t="s">
        <v>12549</v>
      </c>
      <c r="AZ993" s="2" t="s">
        <v>12549</v>
      </c>
      <c r="BA993" s="2" t="s">
        <v>12550</v>
      </c>
      <c r="BB993" s="2" t="s">
        <v>21</v>
      </c>
      <c r="BD993" s="2" t="s">
        <v>12551</v>
      </c>
      <c r="BE993" s="2" t="s">
        <v>12552</v>
      </c>
      <c r="BF993" s="2" t="s">
        <v>12553</v>
      </c>
    </row>
    <row r="994" spans="1:58" ht="42.75" customHeight="1" x14ac:dyDescent="0.25">
      <c r="A994" s="8" t="s">
        <v>8</v>
      </c>
      <c r="B994" s="1" t="s">
        <v>0</v>
      </c>
      <c r="C994" s="1" t="s">
        <v>1</v>
      </c>
      <c r="D994" s="1" t="s">
        <v>12554</v>
      </c>
      <c r="E994" s="1" t="s">
        <v>12555</v>
      </c>
      <c r="F994" s="1" t="s">
        <v>12556</v>
      </c>
      <c r="H994" s="2" t="s">
        <v>8</v>
      </c>
      <c r="I994" s="2" t="s">
        <v>7</v>
      </c>
      <c r="J994" s="2" t="s">
        <v>8</v>
      </c>
      <c r="K994" s="2" t="s">
        <v>8</v>
      </c>
      <c r="L994" s="2" t="s">
        <v>9</v>
      </c>
      <c r="M994" s="1" t="s">
        <v>12557</v>
      </c>
      <c r="N994" s="1" t="s">
        <v>12558</v>
      </c>
      <c r="O994" s="2" t="s">
        <v>2919</v>
      </c>
      <c r="Q994" s="2" t="s">
        <v>12</v>
      </c>
      <c r="R994" s="2" t="s">
        <v>4793</v>
      </c>
      <c r="S994" s="1" t="s">
        <v>12559</v>
      </c>
      <c r="T994" s="2" t="s">
        <v>14</v>
      </c>
      <c r="U994" s="3">
        <v>3</v>
      </c>
      <c r="V994" s="3">
        <v>3</v>
      </c>
      <c r="W994" s="4" t="s">
        <v>12560</v>
      </c>
      <c r="X994" s="4" t="s">
        <v>12560</v>
      </c>
      <c r="Y994" s="4" t="s">
        <v>1793</v>
      </c>
      <c r="Z994" s="4" t="s">
        <v>1793</v>
      </c>
      <c r="AA994" s="3">
        <v>90</v>
      </c>
      <c r="AB994" s="3">
        <v>79</v>
      </c>
      <c r="AC994" s="3">
        <v>102</v>
      </c>
      <c r="AD994" s="3">
        <v>1</v>
      </c>
      <c r="AE994" s="3">
        <v>1</v>
      </c>
      <c r="AF994" s="3">
        <v>1</v>
      </c>
      <c r="AG994" s="3">
        <v>2</v>
      </c>
      <c r="AH994" s="3">
        <v>0</v>
      </c>
      <c r="AI994" s="3">
        <v>0</v>
      </c>
      <c r="AJ994" s="3">
        <v>0</v>
      </c>
      <c r="AK994" s="3">
        <v>0</v>
      </c>
      <c r="AL994" s="3">
        <v>1</v>
      </c>
      <c r="AM994" s="3">
        <v>2</v>
      </c>
      <c r="AN994" s="3">
        <v>0</v>
      </c>
      <c r="AO994" s="3">
        <v>0</v>
      </c>
      <c r="AP994" s="3">
        <v>0</v>
      </c>
      <c r="AQ994" s="3">
        <v>0</v>
      </c>
      <c r="AR994" s="2" t="s">
        <v>8</v>
      </c>
      <c r="AS994" s="2" t="s">
        <v>8</v>
      </c>
      <c r="AU994" s="5" t="str">
        <f>HYPERLINK("https://creighton-primo.hosted.exlibrisgroup.com/primo-explore/search?tab=default_tab&amp;search_scope=EVERYTHING&amp;vid=01CRU&amp;lang=en_US&amp;offset=0&amp;query=any,contains,991000663969702656","Catalog Record")</f>
        <v>Catalog Record</v>
      </c>
      <c r="AV994" s="5" t="str">
        <f>HYPERLINK("http://www.worldcat.org/oclc/3149778","WorldCat Record")</f>
        <v>WorldCat Record</v>
      </c>
      <c r="AW994" s="2" t="s">
        <v>12561</v>
      </c>
      <c r="AX994" s="2" t="s">
        <v>12562</v>
      </c>
      <c r="AY994" s="2" t="s">
        <v>12563</v>
      </c>
      <c r="AZ994" s="2" t="s">
        <v>12563</v>
      </c>
      <c r="BA994" s="2" t="s">
        <v>12564</v>
      </c>
      <c r="BB994" s="2" t="s">
        <v>21</v>
      </c>
      <c r="BE994" s="2" t="s">
        <v>12565</v>
      </c>
      <c r="BF994" s="2" t="s">
        <v>12566</v>
      </c>
    </row>
    <row r="995" spans="1:58" ht="42.75" customHeight="1" x14ac:dyDescent="0.25">
      <c r="A995" s="8" t="s">
        <v>8</v>
      </c>
      <c r="B995" s="1" t="s">
        <v>0</v>
      </c>
      <c r="C995" s="1" t="s">
        <v>1</v>
      </c>
      <c r="D995" s="1" t="s">
        <v>12567</v>
      </c>
      <c r="E995" s="1" t="s">
        <v>12568</v>
      </c>
      <c r="F995" s="1" t="s">
        <v>12569</v>
      </c>
      <c r="H995" s="2" t="s">
        <v>8</v>
      </c>
      <c r="I995" s="2" t="s">
        <v>7</v>
      </c>
      <c r="J995" s="2" t="s">
        <v>8</v>
      </c>
      <c r="K995" s="2" t="s">
        <v>8</v>
      </c>
      <c r="L995" s="2" t="s">
        <v>9</v>
      </c>
      <c r="M995" s="1" t="s">
        <v>12570</v>
      </c>
      <c r="N995" s="1" t="s">
        <v>12571</v>
      </c>
      <c r="O995" s="2" t="s">
        <v>627</v>
      </c>
      <c r="Q995" s="2" t="s">
        <v>12</v>
      </c>
      <c r="R995" s="2" t="s">
        <v>34</v>
      </c>
      <c r="T995" s="2" t="s">
        <v>14</v>
      </c>
      <c r="U995" s="3">
        <v>9</v>
      </c>
      <c r="V995" s="3">
        <v>9</v>
      </c>
      <c r="W995" s="4" t="s">
        <v>12572</v>
      </c>
      <c r="X995" s="4" t="s">
        <v>12572</v>
      </c>
      <c r="Y995" s="4" t="s">
        <v>12573</v>
      </c>
      <c r="Z995" s="4" t="s">
        <v>12573</v>
      </c>
      <c r="AA995" s="3">
        <v>150</v>
      </c>
      <c r="AB995" s="3">
        <v>144</v>
      </c>
      <c r="AC995" s="3">
        <v>151</v>
      </c>
      <c r="AD995" s="3">
        <v>1</v>
      </c>
      <c r="AE995" s="3">
        <v>1</v>
      </c>
      <c r="AF995" s="3">
        <v>7</v>
      </c>
      <c r="AG995" s="3">
        <v>7</v>
      </c>
      <c r="AH995" s="3">
        <v>2</v>
      </c>
      <c r="AI995" s="3">
        <v>2</v>
      </c>
      <c r="AJ995" s="3">
        <v>1</v>
      </c>
      <c r="AK995" s="3">
        <v>1</v>
      </c>
      <c r="AL995" s="3">
        <v>1</v>
      </c>
      <c r="AM995" s="3">
        <v>1</v>
      </c>
      <c r="AN995" s="3">
        <v>0</v>
      </c>
      <c r="AO995" s="3">
        <v>0</v>
      </c>
      <c r="AP995" s="3">
        <v>3</v>
      </c>
      <c r="AQ995" s="3">
        <v>3</v>
      </c>
      <c r="AR995" s="2" t="s">
        <v>8</v>
      </c>
      <c r="AS995" s="2" t="s">
        <v>8</v>
      </c>
      <c r="AU995" s="5" t="str">
        <f>HYPERLINK("https://creighton-primo.hosted.exlibrisgroup.com/primo-explore/search?tab=default_tab&amp;search_scope=EVERYTHING&amp;vid=01CRU&amp;lang=en_US&amp;offset=0&amp;query=any,contains,991001381409702656","Catalog Record")</f>
        <v>Catalog Record</v>
      </c>
      <c r="AV995" s="5" t="str">
        <f>HYPERLINK("http://www.worldcat.org/oclc/20168817","WorldCat Record")</f>
        <v>WorldCat Record</v>
      </c>
      <c r="AW995" s="2" t="s">
        <v>12574</v>
      </c>
      <c r="AX995" s="2" t="s">
        <v>12575</v>
      </c>
      <c r="AY995" s="2" t="s">
        <v>12576</v>
      </c>
      <c r="AZ995" s="2" t="s">
        <v>12576</v>
      </c>
      <c r="BA995" s="2" t="s">
        <v>12577</v>
      </c>
      <c r="BB995" s="2" t="s">
        <v>21</v>
      </c>
      <c r="BD995" s="2" t="s">
        <v>12578</v>
      </c>
      <c r="BE995" s="2" t="s">
        <v>12579</v>
      </c>
      <c r="BF995" s="2" t="s">
        <v>12580</v>
      </c>
    </row>
    <row r="996" spans="1:58" ht="42.75" customHeight="1" x14ac:dyDescent="0.25">
      <c r="A996" s="8" t="s">
        <v>8</v>
      </c>
      <c r="B996" s="1" t="s">
        <v>0</v>
      </c>
      <c r="C996" s="1" t="s">
        <v>1</v>
      </c>
      <c r="D996" s="1" t="s">
        <v>12581</v>
      </c>
      <c r="E996" s="1" t="s">
        <v>12582</v>
      </c>
      <c r="F996" s="1" t="s">
        <v>12583</v>
      </c>
      <c r="H996" s="2" t="s">
        <v>8</v>
      </c>
      <c r="I996" s="2" t="s">
        <v>7</v>
      </c>
      <c r="J996" s="2" t="s">
        <v>8</v>
      </c>
      <c r="K996" s="2" t="s">
        <v>8</v>
      </c>
      <c r="L996" s="2" t="s">
        <v>9</v>
      </c>
      <c r="N996" s="1" t="s">
        <v>12584</v>
      </c>
      <c r="O996" s="2" t="s">
        <v>2919</v>
      </c>
      <c r="Q996" s="2" t="s">
        <v>12</v>
      </c>
      <c r="R996" s="2" t="s">
        <v>13</v>
      </c>
      <c r="S996" s="1" t="s">
        <v>12585</v>
      </c>
      <c r="T996" s="2" t="s">
        <v>14</v>
      </c>
      <c r="U996" s="3">
        <v>4</v>
      </c>
      <c r="V996" s="3">
        <v>4</v>
      </c>
      <c r="W996" s="4" t="s">
        <v>12313</v>
      </c>
      <c r="X996" s="4" t="s">
        <v>12313</v>
      </c>
      <c r="Y996" s="4" t="s">
        <v>86</v>
      </c>
      <c r="Z996" s="4" t="s">
        <v>86</v>
      </c>
      <c r="AA996" s="3">
        <v>440</v>
      </c>
      <c r="AB996" s="3">
        <v>350</v>
      </c>
      <c r="AC996" s="3">
        <v>377</v>
      </c>
      <c r="AD996" s="3">
        <v>3</v>
      </c>
      <c r="AE996" s="3">
        <v>4</v>
      </c>
      <c r="AF996" s="3">
        <v>14</v>
      </c>
      <c r="AG996" s="3">
        <v>15</v>
      </c>
      <c r="AH996" s="3">
        <v>4</v>
      </c>
      <c r="AI996" s="3">
        <v>4</v>
      </c>
      <c r="AJ996" s="3">
        <v>2</v>
      </c>
      <c r="AK996" s="3">
        <v>2</v>
      </c>
      <c r="AL996" s="3">
        <v>7</v>
      </c>
      <c r="AM996" s="3">
        <v>7</v>
      </c>
      <c r="AN996" s="3">
        <v>1</v>
      </c>
      <c r="AO996" s="3">
        <v>2</v>
      </c>
      <c r="AP996" s="3">
        <v>2</v>
      </c>
      <c r="AQ996" s="3">
        <v>2</v>
      </c>
      <c r="AR996" s="2" t="s">
        <v>8</v>
      </c>
      <c r="AS996" s="2" t="s">
        <v>8</v>
      </c>
      <c r="AU996" s="5" t="str">
        <f>HYPERLINK("https://creighton-primo.hosted.exlibrisgroup.com/primo-explore/search?tab=default_tab&amp;search_scope=EVERYTHING&amp;vid=01CRU&amp;lang=en_US&amp;offset=0&amp;query=any,contains,991000664219702656","Catalog Record")</f>
        <v>Catalog Record</v>
      </c>
      <c r="AV996" s="5" t="str">
        <f>HYPERLINK("http://www.worldcat.org/oclc/1207298","WorldCat Record")</f>
        <v>WorldCat Record</v>
      </c>
      <c r="AW996" s="2" t="s">
        <v>12586</v>
      </c>
      <c r="AX996" s="2" t="s">
        <v>12587</v>
      </c>
      <c r="AY996" s="2" t="s">
        <v>12588</v>
      </c>
      <c r="AZ996" s="2" t="s">
        <v>12588</v>
      </c>
      <c r="BA996" s="2" t="s">
        <v>12589</v>
      </c>
      <c r="BB996" s="2" t="s">
        <v>21</v>
      </c>
      <c r="BD996" s="2" t="s">
        <v>12590</v>
      </c>
      <c r="BE996" s="2" t="s">
        <v>12591</v>
      </c>
      <c r="BF996" s="2" t="s">
        <v>12592</v>
      </c>
    </row>
    <row r="997" spans="1:58" ht="42.75" customHeight="1" x14ac:dyDescent="0.25">
      <c r="A997" s="8" t="s">
        <v>8</v>
      </c>
      <c r="B997" s="1" t="s">
        <v>0</v>
      </c>
      <c r="C997" s="1" t="s">
        <v>1</v>
      </c>
      <c r="D997" s="1" t="s">
        <v>12593</v>
      </c>
      <c r="E997" s="1" t="s">
        <v>12594</v>
      </c>
      <c r="F997" s="1" t="s">
        <v>12595</v>
      </c>
      <c r="H997" s="2" t="s">
        <v>8</v>
      </c>
      <c r="I997" s="2" t="s">
        <v>7</v>
      </c>
      <c r="J997" s="2" t="s">
        <v>8</v>
      </c>
      <c r="K997" s="2" t="s">
        <v>8</v>
      </c>
      <c r="L997" s="2" t="s">
        <v>9</v>
      </c>
      <c r="N997" s="1" t="s">
        <v>12596</v>
      </c>
      <c r="O997" s="2" t="s">
        <v>614</v>
      </c>
      <c r="Q997" s="2" t="s">
        <v>12</v>
      </c>
      <c r="R997" s="2" t="s">
        <v>1211</v>
      </c>
      <c r="T997" s="2" t="s">
        <v>14</v>
      </c>
      <c r="U997" s="3">
        <v>18</v>
      </c>
      <c r="V997" s="3">
        <v>18</v>
      </c>
      <c r="W997" s="4" t="s">
        <v>12597</v>
      </c>
      <c r="X997" s="4" t="s">
        <v>12597</v>
      </c>
      <c r="Y997" s="4" t="s">
        <v>3607</v>
      </c>
      <c r="Z997" s="4" t="s">
        <v>3607</v>
      </c>
      <c r="AA997" s="3">
        <v>110</v>
      </c>
      <c r="AB997" s="3">
        <v>108</v>
      </c>
      <c r="AC997" s="3">
        <v>110</v>
      </c>
      <c r="AD997" s="3">
        <v>1</v>
      </c>
      <c r="AE997" s="3">
        <v>1</v>
      </c>
      <c r="AF997" s="3">
        <v>2</v>
      </c>
      <c r="AG997" s="3">
        <v>2</v>
      </c>
      <c r="AH997" s="3">
        <v>0</v>
      </c>
      <c r="AI997" s="3">
        <v>0</v>
      </c>
      <c r="AJ997" s="3">
        <v>0</v>
      </c>
      <c r="AK997" s="3">
        <v>0</v>
      </c>
      <c r="AL997" s="3">
        <v>2</v>
      </c>
      <c r="AM997" s="3">
        <v>2</v>
      </c>
      <c r="AN997" s="3">
        <v>0</v>
      </c>
      <c r="AO997" s="3">
        <v>0</v>
      </c>
      <c r="AP997" s="3">
        <v>0</v>
      </c>
      <c r="AQ997" s="3">
        <v>0</v>
      </c>
      <c r="AR997" s="2" t="s">
        <v>8</v>
      </c>
      <c r="AS997" s="2" t="s">
        <v>6</v>
      </c>
      <c r="AT997" s="5" t="str">
        <f>HYPERLINK("http://catalog.hathitrust.org/Record/002630633","HathiTrust Record")</f>
        <v>HathiTrust Record</v>
      </c>
      <c r="AU997" s="5" t="str">
        <f>HYPERLINK("https://creighton-primo.hosted.exlibrisgroup.com/primo-explore/search?tab=default_tab&amp;search_scope=EVERYTHING&amp;vid=01CRU&amp;lang=en_US&amp;offset=0&amp;query=any,contains,991001346379702656","Catalog Record")</f>
        <v>Catalog Record</v>
      </c>
      <c r="AV997" s="5" t="str">
        <f>HYPERLINK("http://www.worldcat.org/oclc/26702460","WorldCat Record")</f>
        <v>WorldCat Record</v>
      </c>
      <c r="AW997" s="2" t="s">
        <v>12598</v>
      </c>
      <c r="AX997" s="2" t="s">
        <v>12599</v>
      </c>
      <c r="AY997" s="2" t="s">
        <v>12600</v>
      </c>
      <c r="AZ997" s="2" t="s">
        <v>12600</v>
      </c>
      <c r="BA997" s="2" t="s">
        <v>12601</v>
      </c>
      <c r="BB997" s="2" t="s">
        <v>21</v>
      </c>
      <c r="BE997" s="2" t="s">
        <v>12602</v>
      </c>
      <c r="BF997" s="2" t="s">
        <v>12603</v>
      </c>
    </row>
    <row r="998" spans="1:58" ht="42.75" customHeight="1" x14ac:dyDescent="0.25">
      <c r="A998" s="8" t="s">
        <v>8</v>
      </c>
      <c r="B998" s="1" t="s">
        <v>0</v>
      </c>
      <c r="C998" s="1" t="s">
        <v>1</v>
      </c>
      <c r="D998" s="1" t="s">
        <v>12604</v>
      </c>
      <c r="E998" s="1" t="s">
        <v>12605</v>
      </c>
      <c r="F998" s="1" t="s">
        <v>12606</v>
      </c>
      <c r="H998" s="2" t="s">
        <v>8</v>
      </c>
      <c r="I998" s="2" t="s">
        <v>7</v>
      </c>
      <c r="J998" s="2" t="s">
        <v>8</v>
      </c>
      <c r="K998" s="2" t="s">
        <v>8</v>
      </c>
      <c r="L998" s="2" t="s">
        <v>9</v>
      </c>
      <c r="M998" s="1" t="s">
        <v>7469</v>
      </c>
      <c r="N998" s="1" t="s">
        <v>12607</v>
      </c>
      <c r="O998" s="2" t="s">
        <v>1459</v>
      </c>
      <c r="Q998" s="2" t="s">
        <v>12</v>
      </c>
      <c r="R998" s="2" t="s">
        <v>1211</v>
      </c>
      <c r="T998" s="2" t="s">
        <v>14</v>
      </c>
      <c r="U998" s="3">
        <v>3</v>
      </c>
      <c r="V998" s="3">
        <v>3</v>
      </c>
      <c r="W998" s="4" t="s">
        <v>4702</v>
      </c>
      <c r="X998" s="4" t="s">
        <v>4702</v>
      </c>
      <c r="Y998" s="4" t="s">
        <v>86</v>
      </c>
      <c r="Z998" s="4" t="s">
        <v>86</v>
      </c>
      <c r="AA998" s="3">
        <v>174</v>
      </c>
      <c r="AB998" s="3">
        <v>160</v>
      </c>
      <c r="AC998" s="3">
        <v>163</v>
      </c>
      <c r="AD998" s="3">
        <v>2</v>
      </c>
      <c r="AE998" s="3">
        <v>2</v>
      </c>
      <c r="AF998" s="3">
        <v>4</v>
      </c>
      <c r="AG998" s="3">
        <v>4</v>
      </c>
      <c r="AH998" s="3">
        <v>1</v>
      </c>
      <c r="AI998" s="3">
        <v>1</v>
      </c>
      <c r="AJ998" s="3">
        <v>0</v>
      </c>
      <c r="AK998" s="3">
        <v>0</v>
      </c>
      <c r="AL998" s="3">
        <v>2</v>
      </c>
      <c r="AM998" s="3">
        <v>2</v>
      </c>
      <c r="AN998" s="3">
        <v>1</v>
      </c>
      <c r="AO998" s="3">
        <v>1</v>
      </c>
      <c r="AP998" s="3">
        <v>0</v>
      </c>
      <c r="AQ998" s="3">
        <v>0</v>
      </c>
      <c r="AR998" s="2" t="s">
        <v>8</v>
      </c>
      <c r="AS998" s="2" t="s">
        <v>6</v>
      </c>
      <c r="AT998" s="5" t="str">
        <f>HYPERLINK("http://catalog.hathitrust.org/Record/001129321","HathiTrust Record")</f>
        <v>HathiTrust Record</v>
      </c>
      <c r="AU998" s="5" t="str">
        <f>HYPERLINK("https://creighton-primo.hosted.exlibrisgroup.com/primo-explore/search?tab=default_tab&amp;search_scope=EVERYTHING&amp;vid=01CRU&amp;lang=en_US&amp;offset=0&amp;query=any,contains,991000664319702656","Catalog Record")</f>
        <v>Catalog Record</v>
      </c>
      <c r="AV998" s="5" t="str">
        <f>HYPERLINK("http://www.worldcat.org/oclc/415595","WorldCat Record")</f>
        <v>WorldCat Record</v>
      </c>
      <c r="AW998" s="2" t="s">
        <v>12608</v>
      </c>
      <c r="AX998" s="2" t="s">
        <v>12609</v>
      </c>
      <c r="AY998" s="2" t="s">
        <v>12610</v>
      </c>
      <c r="AZ998" s="2" t="s">
        <v>12610</v>
      </c>
      <c r="BA998" s="2" t="s">
        <v>12611</v>
      </c>
      <c r="BB998" s="2" t="s">
        <v>21</v>
      </c>
      <c r="BE998" s="2" t="s">
        <v>12612</v>
      </c>
      <c r="BF998" s="2" t="s">
        <v>12613</v>
      </c>
    </row>
    <row r="999" spans="1:58" ht="42.75" customHeight="1" x14ac:dyDescent="0.25">
      <c r="A999" s="8" t="s">
        <v>8</v>
      </c>
      <c r="B999" s="1" t="s">
        <v>0</v>
      </c>
      <c r="C999" s="1" t="s">
        <v>1</v>
      </c>
      <c r="D999" s="1" t="s">
        <v>12614</v>
      </c>
      <c r="E999" s="1" t="s">
        <v>12615</v>
      </c>
      <c r="F999" s="1" t="s">
        <v>12616</v>
      </c>
      <c r="H999" s="2" t="s">
        <v>8</v>
      </c>
      <c r="I999" s="2" t="s">
        <v>7</v>
      </c>
      <c r="J999" s="2" t="s">
        <v>8</v>
      </c>
      <c r="K999" s="2" t="s">
        <v>8</v>
      </c>
      <c r="L999" s="2" t="s">
        <v>9</v>
      </c>
      <c r="M999" s="1" t="s">
        <v>12617</v>
      </c>
      <c r="N999" s="1" t="s">
        <v>12618</v>
      </c>
      <c r="O999" s="2" t="s">
        <v>2089</v>
      </c>
      <c r="Q999" s="2" t="s">
        <v>12</v>
      </c>
      <c r="R999" s="2" t="s">
        <v>13</v>
      </c>
      <c r="T999" s="2" t="s">
        <v>14</v>
      </c>
      <c r="U999" s="3">
        <v>0</v>
      </c>
      <c r="V999" s="3">
        <v>0</v>
      </c>
      <c r="W999" s="4" t="s">
        <v>1212</v>
      </c>
      <c r="X999" s="4" t="s">
        <v>1212</v>
      </c>
      <c r="Y999" s="4" t="s">
        <v>3769</v>
      </c>
      <c r="Z999" s="4" t="s">
        <v>3769</v>
      </c>
      <c r="AA999" s="3">
        <v>305</v>
      </c>
      <c r="AB999" s="3">
        <v>208</v>
      </c>
      <c r="AC999" s="3">
        <v>252</v>
      </c>
      <c r="AD999" s="3">
        <v>3</v>
      </c>
      <c r="AE999" s="3">
        <v>3</v>
      </c>
      <c r="AF999" s="3">
        <v>9</v>
      </c>
      <c r="AG999" s="3">
        <v>11</v>
      </c>
      <c r="AH999" s="3">
        <v>1</v>
      </c>
      <c r="AI999" s="3">
        <v>1</v>
      </c>
      <c r="AJ999" s="3">
        <v>3</v>
      </c>
      <c r="AK999" s="3">
        <v>3</v>
      </c>
      <c r="AL999" s="3">
        <v>5</v>
      </c>
      <c r="AM999" s="3">
        <v>7</v>
      </c>
      <c r="AN999" s="3">
        <v>2</v>
      </c>
      <c r="AO999" s="3">
        <v>2</v>
      </c>
      <c r="AP999" s="3">
        <v>0</v>
      </c>
      <c r="AQ999" s="3">
        <v>0</v>
      </c>
      <c r="AR999" s="2" t="s">
        <v>8</v>
      </c>
      <c r="AS999" s="2" t="s">
        <v>8</v>
      </c>
      <c r="AU999" s="5" t="str">
        <f>HYPERLINK("https://creighton-primo.hosted.exlibrisgroup.com/primo-explore/search?tab=default_tab&amp;search_scope=EVERYTHING&amp;vid=01CRU&amp;lang=en_US&amp;offset=0&amp;query=any,contains,991000582199702656","Catalog Record")</f>
        <v>Catalog Record</v>
      </c>
      <c r="AV999" s="5" t="str">
        <f>HYPERLINK("http://www.worldcat.org/oclc/60705560","WorldCat Record")</f>
        <v>WorldCat Record</v>
      </c>
      <c r="AW999" s="2" t="s">
        <v>12619</v>
      </c>
      <c r="AX999" s="2" t="s">
        <v>12620</v>
      </c>
      <c r="AY999" s="2" t="s">
        <v>12621</v>
      </c>
      <c r="AZ999" s="2" t="s">
        <v>12621</v>
      </c>
      <c r="BA999" s="2" t="s">
        <v>12622</v>
      </c>
      <c r="BB999" s="2" t="s">
        <v>21</v>
      </c>
      <c r="BD999" s="2" t="s">
        <v>12623</v>
      </c>
      <c r="BE999" s="2" t="s">
        <v>12624</v>
      </c>
      <c r="BF999" s="2" t="s">
        <v>12625</v>
      </c>
    </row>
    <row r="1000" spans="1:58" ht="42.75" customHeight="1" x14ac:dyDescent="0.25">
      <c r="A1000" s="8" t="s">
        <v>8</v>
      </c>
      <c r="B1000" s="1" t="s">
        <v>0</v>
      </c>
      <c r="C1000" s="1" t="s">
        <v>1</v>
      </c>
      <c r="D1000" s="1" t="s">
        <v>12626</v>
      </c>
      <c r="E1000" s="1" t="s">
        <v>12627</v>
      </c>
      <c r="F1000" s="1" t="s">
        <v>12628</v>
      </c>
      <c r="H1000" s="2" t="s">
        <v>8</v>
      </c>
      <c r="I1000" s="2" t="s">
        <v>7</v>
      </c>
      <c r="J1000" s="2" t="s">
        <v>8</v>
      </c>
      <c r="K1000" s="2" t="s">
        <v>8</v>
      </c>
      <c r="L1000" s="2" t="s">
        <v>9</v>
      </c>
      <c r="M1000" s="1" t="s">
        <v>12629</v>
      </c>
      <c r="N1000" s="1" t="s">
        <v>12630</v>
      </c>
      <c r="O1000" s="2" t="s">
        <v>128</v>
      </c>
      <c r="Q1000" s="2" t="s">
        <v>12</v>
      </c>
      <c r="R1000" s="2" t="s">
        <v>13</v>
      </c>
      <c r="T1000" s="2" t="s">
        <v>14</v>
      </c>
      <c r="U1000" s="3">
        <v>1</v>
      </c>
      <c r="V1000" s="3">
        <v>1</v>
      </c>
      <c r="W1000" s="4" t="s">
        <v>8740</v>
      </c>
      <c r="X1000" s="4" t="s">
        <v>8740</v>
      </c>
      <c r="Y1000" s="4" t="s">
        <v>86</v>
      </c>
      <c r="Z1000" s="4" t="s">
        <v>86</v>
      </c>
      <c r="AA1000" s="3">
        <v>393</v>
      </c>
      <c r="AB1000" s="3">
        <v>332</v>
      </c>
      <c r="AC1000" s="3">
        <v>526</v>
      </c>
      <c r="AD1000" s="3">
        <v>1</v>
      </c>
      <c r="AE1000" s="3">
        <v>3</v>
      </c>
      <c r="AF1000" s="3">
        <v>9</v>
      </c>
      <c r="AG1000" s="3">
        <v>18</v>
      </c>
      <c r="AH1000" s="3">
        <v>4</v>
      </c>
      <c r="AI1000" s="3">
        <v>9</v>
      </c>
      <c r="AJ1000" s="3">
        <v>2</v>
      </c>
      <c r="AK1000" s="3">
        <v>3</v>
      </c>
      <c r="AL1000" s="3">
        <v>4</v>
      </c>
      <c r="AM1000" s="3">
        <v>6</v>
      </c>
      <c r="AN1000" s="3">
        <v>0</v>
      </c>
      <c r="AO1000" s="3">
        <v>2</v>
      </c>
      <c r="AP1000" s="3">
        <v>0</v>
      </c>
      <c r="AQ1000" s="3">
        <v>0</v>
      </c>
      <c r="AR1000" s="2" t="s">
        <v>8</v>
      </c>
      <c r="AS1000" s="2" t="s">
        <v>6</v>
      </c>
      <c r="AT1000" s="5" t="str">
        <f>HYPERLINK("http://catalog.hathitrust.org/Record/000042695","HathiTrust Record")</f>
        <v>HathiTrust Record</v>
      </c>
      <c r="AU1000" s="5" t="str">
        <f>HYPERLINK("https://creighton-primo.hosted.exlibrisgroup.com/primo-explore/search?tab=default_tab&amp;search_scope=EVERYTHING&amp;vid=01CRU&amp;lang=en_US&amp;offset=0&amp;query=any,contains,991000664389702656","Catalog Record")</f>
        <v>Catalog Record</v>
      </c>
      <c r="AV1000" s="5" t="str">
        <f>HYPERLINK("http://www.worldcat.org/oclc/3869819","WorldCat Record")</f>
        <v>WorldCat Record</v>
      </c>
      <c r="AW1000" s="2" t="s">
        <v>12631</v>
      </c>
      <c r="AX1000" s="2" t="s">
        <v>12632</v>
      </c>
      <c r="AY1000" s="2" t="s">
        <v>12633</v>
      </c>
      <c r="AZ1000" s="2" t="s">
        <v>12633</v>
      </c>
      <c r="BA1000" s="2" t="s">
        <v>12634</v>
      </c>
      <c r="BB1000" s="2" t="s">
        <v>21</v>
      </c>
      <c r="BD1000" s="2" t="s">
        <v>12635</v>
      </c>
      <c r="BE1000" s="2" t="s">
        <v>12636</v>
      </c>
      <c r="BF1000" s="2" t="s">
        <v>12637</v>
      </c>
    </row>
    <row r="1001" spans="1:58" ht="42.75" customHeight="1" x14ac:dyDescent="0.25">
      <c r="A1001" s="8" t="s">
        <v>8</v>
      </c>
      <c r="B1001" s="1" t="s">
        <v>0</v>
      </c>
      <c r="C1001" s="1" t="s">
        <v>1</v>
      </c>
      <c r="D1001" s="1" t="s">
        <v>12638</v>
      </c>
      <c r="E1001" s="1" t="s">
        <v>12639</v>
      </c>
      <c r="F1001" s="1" t="s">
        <v>12640</v>
      </c>
      <c r="H1001" s="2" t="s">
        <v>8</v>
      </c>
      <c r="I1001" s="2" t="s">
        <v>7</v>
      </c>
      <c r="J1001" s="2" t="s">
        <v>8</v>
      </c>
      <c r="K1001" s="2" t="s">
        <v>8</v>
      </c>
      <c r="L1001" s="2" t="s">
        <v>9</v>
      </c>
      <c r="M1001" s="1" t="s">
        <v>12641</v>
      </c>
      <c r="N1001" s="1" t="s">
        <v>12642</v>
      </c>
      <c r="O1001" s="2" t="s">
        <v>874</v>
      </c>
      <c r="Q1001" s="2" t="s">
        <v>12</v>
      </c>
      <c r="R1001" s="2" t="s">
        <v>1170</v>
      </c>
      <c r="S1001" s="1" t="s">
        <v>12643</v>
      </c>
      <c r="T1001" s="2" t="s">
        <v>14</v>
      </c>
      <c r="U1001" s="3">
        <v>1</v>
      </c>
      <c r="V1001" s="3">
        <v>1</v>
      </c>
      <c r="W1001" s="4" t="s">
        <v>8740</v>
      </c>
      <c r="X1001" s="4" t="s">
        <v>8740</v>
      </c>
      <c r="Y1001" s="4" t="s">
        <v>8507</v>
      </c>
      <c r="Z1001" s="4" t="s">
        <v>8507</v>
      </c>
      <c r="AA1001" s="3">
        <v>339</v>
      </c>
      <c r="AB1001" s="3">
        <v>272</v>
      </c>
      <c r="AC1001" s="3">
        <v>278</v>
      </c>
      <c r="AD1001" s="3">
        <v>3</v>
      </c>
      <c r="AE1001" s="3">
        <v>3</v>
      </c>
      <c r="AF1001" s="3">
        <v>16</v>
      </c>
      <c r="AG1001" s="3">
        <v>16</v>
      </c>
      <c r="AH1001" s="3">
        <v>4</v>
      </c>
      <c r="AI1001" s="3">
        <v>4</v>
      </c>
      <c r="AJ1001" s="3">
        <v>4</v>
      </c>
      <c r="AK1001" s="3">
        <v>4</v>
      </c>
      <c r="AL1001" s="3">
        <v>9</v>
      </c>
      <c r="AM1001" s="3">
        <v>9</v>
      </c>
      <c r="AN1001" s="3">
        <v>2</v>
      </c>
      <c r="AO1001" s="3">
        <v>2</v>
      </c>
      <c r="AP1001" s="3">
        <v>0</v>
      </c>
      <c r="AQ1001" s="3">
        <v>0</v>
      </c>
      <c r="AR1001" s="2" t="s">
        <v>8</v>
      </c>
      <c r="AS1001" s="2" t="s">
        <v>6</v>
      </c>
      <c r="AT1001" s="5" t="str">
        <f>HYPERLINK("http://catalog.hathitrust.org/Record/003135818","HathiTrust Record")</f>
        <v>HathiTrust Record</v>
      </c>
      <c r="AU1001" s="5" t="str">
        <f>HYPERLINK("https://creighton-primo.hosted.exlibrisgroup.com/primo-explore/search?tab=default_tab&amp;search_scope=EVERYTHING&amp;vid=01CRU&amp;lang=en_US&amp;offset=0&amp;query=any,contains,991000359119702656","Catalog Record")</f>
        <v>Catalog Record</v>
      </c>
      <c r="AV1001" s="5" t="str">
        <f>HYPERLINK("http://www.worldcat.org/oclc/35657988","WorldCat Record")</f>
        <v>WorldCat Record</v>
      </c>
      <c r="AW1001" s="2" t="s">
        <v>12644</v>
      </c>
      <c r="AX1001" s="2" t="s">
        <v>12645</v>
      </c>
      <c r="AY1001" s="2" t="s">
        <v>12646</v>
      </c>
      <c r="AZ1001" s="2" t="s">
        <v>12646</v>
      </c>
      <c r="BA1001" s="2" t="s">
        <v>12647</v>
      </c>
      <c r="BB1001" s="2" t="s">
        <v>21</v>
      </c>
      <c r="BD1001" s="2" t="s">
        <v>12648</v>
      </c>
      <c r="BE1001" s="2" t="s">
        <v>12649</v>
      </c>
      <c r="BF1001" s="2" t="s">
        <v>12650</v>
      </c>
    </row>
    <row r="1002" spans="1:58" ht="42.75" customHeight="1" x14ac:dyDescent="0.25">
      <c r="A1002" s="8" t="s">
        <v>8</v>
      </c>
      <c r="B1002" s="1" t="s">
        <v>0</v>
      </c>
      <c r="C1002" s="1" t="s">
        <v>1</v>
      </c>
      <c r="D1002" s="1" t="s">
        <v>12651</v>
      </c>
      <c r="E1002" s="1" t="s">
        <v>12652</v>
      </c>
      <c r="F1002" s="1" t="s">
        <v>12653</v>
      </c>
      <c r="H1002" s="2" t="s">
        <v>8</v>
      </c>
      <c r="I1002" s="2" t="s">
        <v>7</v>
      </c>
      <c r="J1002" s="2" t="s">
        <v>8</v>
      </c>
      <c r="K1002" s="2" t="s">
        <v>8</v>
      </c>
      <c r="L1002" s="2" t="s">
        <v>9</v>
      </c>
      <c r="M1002" s="1" t="s">
        <v>12654</v>
      </c>
      <c r="N1002" s="1" t="s">
        <v>12655</v>
      </c>
      <c r="O1002" s="2" t="s">
        <v>688</v>
      </c>
      <c r="Q1002" s="2" t="s">
        <v>12</v>
      </c>
      <c r="R1002" s="2" t="s">
        <v>643</v>
      </c>
      <c r="T1002" s="2" t="s">
        <v>14</v>
      </c>
      <c r="U1002" s="3">
        <v>14</v>
      </c>
      <c r="V1002" s="3">
        <v>14</v>
      </c>
      <c r="W1002" s="4" t="s">
        <v>9713</v>
      </c>
      <c r="X1002" s="4" t="s">
        <v>9713</v>
      </c>
      <c r="Y1002" s="4" t="s">
        <v>12656</v>
      </c>
      <c r="Z1002" s="4" t="s">
        <v>12656</v>
      </c>
      <c r="AA1002" s="3">
        <v>397</v>
      </c>
      <c r="AB1002" s="3">
        <v>223</v>
      </c>
      <c r="AC1002" s="3">
        <v>966</v>
      </c>
      <c r="AD1002" s="3">
        <v>1</v>
      </c>
      <c r="AE1002" s="3">
        <v>7</v>
      </c>
      <c r="AF1002" s="3">
        <v>12</v>
      </c>
      <c r="AG1002" s="3">
        <v>30</v>
      </c>
      <c r="AH1002" s="3">
        <v>3</v>
      </c>
      <c r="AI1002" s="3">
        <v>9</v>
      </c>
      <c r="AJ1002" s="3">
        <v>5</v>
      </c>
      <c r="AK1002" s="3">
        <v>8</v>
      </c>
      <c r="AL1002" s="3">
        <v>8</v>
      </c>
      <c r="AM1002" s="3">
        <v>14</v>
      </c>
      <c r="AN1002" s="3">
        <v>0</v>
      </c>
      <c r="AO1002" s="3">
        <v>6</v>
      </c>
      <c r="AP1002" s="3">
        <v>0</v>
      </c>
      <c r="AQ1002" s="3">
        <v>0</v>
      </c>
      <c r="AR1002" s="2" t="s">
        <v>8</v>
      </c>
      <c r="AS1002" s="2" t="s">
        <v>6</v>
      </c>
      <c r="AT1002" s="5" t="str">
        <f>HYPERLINK("http://catalog.hathitrust.org/Record/002873462","HathiTrust Record")</f>
        <v>HathiTrust Record</v>
      </c>
      <c r="AU1002" s="5" t="str">
        <f>HYPERLINK("https://creighton-primo.hosted.exlibrisgroup.com/primo-explore/search?tab=default_tab&amp;search_scope=EVERYTHING&amp;vid=01CRU&amp;lang=en_US&amp;offset=0&amp;query=any,contains,991000678299702656","Catalog Record")</f>
        <v>Catalog Record</v>
      </c>
      <c r="AV1002" s="5" t="str">
        <f>HYPERLINK("http://www.worldcat.org/oclc/30475941","WorldCat Record")</f>
        <v>WorldCat Record</v>
      </c>
      <c r="AW1002" s="2" t="s">
        <v>12657</v>
      </c>
      <c r="AX1002" s="2" t="s">
        <v>12658</v>
      </c>
      <c r="AY1002" s="2" t="s">
        <v>12659</v>
      </c>
      <c r="AZ1002" s="2" t="s">
        <v>12659</v>
      </c>
      <c r="BA1002" s="2" t="s">
        <v>12660</v>
      </c>
      <c r="BB1002" s="2" t="s">
        <v>21</v>
      </c>
      <c r="BD1002" s="2" t="s">
        <v>12661</v>
      </c>
      <c r="BE1002" s="2" t="s">
        <v>12662</v>
      </c>
      <c r="BF1002" s="2" t="s">
        <v>12663</v>
      </c>
    </row>
    <row r="1003" spans="1:58" ht="42.75" customHeight="1" x14ac:dyDescent="0.25">
      <c r="A1003" s="8" t="s">
        <v>8</v>
      </c>
      <c r="B1003" s="1" t="s">
        <v>0</v>
      </c>
      <c r="C1003" s="1" t="s">
        <v>1</v>
      </c>
      <c r="D1003" s="1" t="s">
        <v>12664</v>
      </c>
      <c r="E1003" s="1" t="s">
        <v>12665</v>
      </c>
      <c r="F1003" s="1" t="s">
        <v>12666</v>
      </c>
      <c r="H1003" s="2" t="s">
        <v>8</v>
      </c>
      <c r="I1003" s="2" t="s">
        <v>7</v>
      </c>
      <c r="J1003" s="2" t="s">
        <v>8</v>
      </c>
      <c r="K1003" s="2" t="s">
        <v>8</v>
      </c>
      <c r="L1003" s="2" t="s">
        <v>9</v>
      </c>
      <c r="N1003" s="1" t="s">
        <v>12667</v>
      </c>
      <c r="O1003" s="2" t="s">
        <v>1629</v>
      </c>
      <c r="Q1003" s="2" t="s">
        <v>12</v>
      </c>
      <c r="R1003" s="2" t="s">
        <v>13</v>
      </c>
      <c r="T1003" s="2" t="s">
        <v>14</v>
      </c>
      <c r="U1003" s="3">
        <v>1</v>
      </c>
      <c r="V1003" s="3">
        <v>1</v>
      </c>
      <c r="W1003" s="4" t="s">
        <v>8740</v>
      </c>
      <c r="X1003" s="4" t="s">
        <v>8740</v>
      </c>
      <c r="Y1003" s="4" t="s">
        <v>86</v>
      </c>
      <c r="Z1003" s="4" t="s">
        <v>86</v>
      </c>
      <c r="AA1003" s="3">
        <v>276</v>
      </c>
      <c r="AB1003" s="3">
        <v>227</v>
      </c>
      <c r="AC1003" s="3">
        <v>440</v>
      </c>
      <c r="AD1003" s="3">
        <v>2</v>
      </c>
      <c r="AE1003" s="3">
        <v>4</v>
      </c>
      <c r="AF1003" s="3">
        <v>10</v>
      </c>
      <c r="AG1003" s="3">
        <v>21</v>
      </c>
      <c r="AH1003" s="3">
        <v>3</v>
      </c>
      <c r="AI1003" s="3">
        <v>10</v>
      </c>
      <c r="AJ1003" s="3">
        <v>3</v>
      </c>
      <c r="AK1003" s="3">
        <v>5</v>
      </c>
      <c r="AL1003" s="3">
        <v>5</v>
      </c>
      <c r="AM1003" s="3">
        <v>7</v>
      </c>
      <c r="AN1003" s="3">
        <v>1</v>
      </c>
      <c r="AO1003" s="3">
        <v>3</v>
      </c>
      <c r="AP1003" s="3">
        <v>0</v>
      </c>
      <c r="AQ1003" s="3">
        <v>0</v>
      </c>
      <c r="AR1003" s="2" t="s">
        <v>8</v>
      </c>
      <c r="AS1003" s="2" t="s">
        <v>6</v>
      </c>
      <c r="AT1003" s="5" t="str">
        <f>HYPERLINK("http://catalog.hathitrust.org/Record/000784658","HathiTrust Record")</f>
        <v>HathiTrust Record</v>
      </c>
      <c r="AU1003" s="5" t="str">
        <f>HYPERLINK("https://creighton-primo.hosted.exlibrisgroup.com/primo-explore/search?tab=default_tab&amp;search_scope=EVERYTHING&amp;vid=01CRU&amp;lang=en_US&amp;offset=0&amp;query=any,contains,991000664699702656","Catalog Record")</f>
        <v>Catalog Record</v>
      </c>
      <c r="AV1003" s="5" t="str">
        <f>HYPERLINK("http://www.worldcat.org/oclc/10559567","WorldCat Record")</f>
        <v>WorldCat Record</v>
      </c>
      <c r="AW1003" s="2" t="s">
        <v>12668</v>
      </c>
      <c r="AX1003" s="2" t="s">
        <v>12669</v>
      </c>
      <c r="AY1003" s="2" t="s">
        <v>12670</v>
      </c>
      <c r="AZ1003" s="2" t="s">
        <v>12670</v>
      </c>
      <c r="BA1003" s="2" t="s">
        <v>12671</v>
      </c>
      <c r="BB1003" s="2" t="s">
        <v>21</v>
      </c>
      <c r="BD1003" s="2" t="s">
        <v>12672</v>
      </c>
      <c r="BE1003" s="2" t="s">
        <v>12673</v>
      </c>
      <c r="BF1003" s="2" t="s">
        <v>12674</v>
      </c>
    </row>
    <row r="1004" spans="1:58" ht="42.75" customHeight="1" x14ac:dyDescent="0.25">
      <c r="A1004" s="8" t="s">
        <v>8</v>
      </c>
      <c r="B1004" s="1" t="s">
        <v>0</v>
      </c>
      <c r="C1004" s="1" t="s">
        <v>1</v>
      </c>
      <c r="D1004" s="1" t="s">
        <v>12675</v>
      </c>
      <c r="E1004" s="1" t="s">
        <v>12676</v>
      </c>
      <c r="F1004" s="1" t="s">
        <v>12677</v>
      </c>
      <c r="H1004" s="2" t="s">
        <v>8</v>
      </c>
      <c r="I1004" s="2" t="s">
        <v>7</v>
      </c>
      <c r="J1004" s="2" t="s">
        <v>8</v>
      </c>
      <c r="K1004" s="2" t="s">
        <v>8</v>
      </c>
      <c r="L1004" s="2" t="s">
        <v>9</v>
      </c>
      <c r="M1004" s="1" t="s">
        <v>12678</v>
      </c>
      <c r="N1004" s="1" t="s">
        <v>1678</v>
      </c>
      <c r="O1004" s="2" t="s">
        <v>67</v>
      </c>
      <c r="Q1004" s="2" t="s">
        <v>12</v>
      </c>
      <c r="R1004" s="2" t="s">
        <v>34</v>
      </c>
      <c r="S1004" s="1" t="s">
        <v>12679</v>
      </c>
      <c r="T1004" s="2" t="s">
        <v>14</v>
      </c>
      <c r="U1004" s="3">
        <v>1</v>
      </c>
      <c r="V1004" s="3">
        <v>1</v>
      </c>
      <c r="W1004" s="4" t="s">
        <v>8740</v>
      </c>
      <c r="X1004" s="4" t="s">
        <v>8740</v>
      </c>
      <c r="Y1004" s="4" t="s">
        <v>86</v>
      </c>
      <c r="Z1004" s="4" t="s">
        <v>86</v>
      </c>
      <c r="AA1004" s="3">
        <v>284</v>
      </c>
      <c r="AB1004" s="3">
        <v>242</v>
      </c>
      <c r="AC1004" s="3">
        <v>244</v>
      </c>
      <c r="AD1004" s="3">
        <v>1</v>
      </c>
      <c r="AE1004" s="3">
        <v>1</v>
      </c>
      <c r="AF1004" s="3">
        <v>8</v>
      </c>
      <c r="AG1004" s="3">
        <v>8</v>
      </c>
      <c r="AH1004" s="3">
        <v>3</v>
      </c>
      <c r="AI1004" s="3">
        <v>3</v>
      </c>
      <c r="AJ1004" s="3">
        <v>2</v>
      </c>
      <c r="AK1004" s="3">
        <v>2</v>
      </c>
      <c r="AL1004" s="3">
        <v>4</v>
      </c>
      <c r="AM1004" s="3">
        <v>4</v>
      </c>
      <c r="AN1004" s="3">
        <v>0</v>
      </c>
      <c r="AO1004" s="3">
        <v>0</v>
      </c>
      <c r="AP1004" s="3">
        <v>0</v>
      </c>
      <c r="AQ1004" s="3">
        <v>0</v>
      </c>
      <c r="AR1004" s="2" t="s">
        <v>8</v>
      </c>
      <c r="AS1004" s="2" t="s">
        <v>6</v>
      </c>
      <c r="AT1004" s="5" t="str">
        <f>HYPERLINK("http://catalog.hathitrust.org/Record/000411937","HathiTrust Record")</f>
        <v>HathiTrust Record</v>
      </c>
      <c r="AU1004" s="5" t="str">
        <f>HYPERLINK("https://creighton-primo.hosted.exlibrisgroup.com/primo-explore/search?tab=default_tab&amp;search_scope=EVERYTHING&amp;vid=01CRU&amp;lang=en_US&amp;offset=0&amp;query=any,contains,991000664529702656","Catalog Record")</f>
        <v>Catalog Record</v>
      </c>
      <c r="AV1004" s="5" t="str">
        <f>HYPERLINK("http://www.worldcat.org/oclc/11210721","WorldCat Record")</f>
        <v>WorldCat Record</v>
      </c>
      <c r="AW1004" s="2" t="s">
        <v>12680</v>
      </c>
      <c r="AX1004" s="2" t="s">
        <v>12681</v>
      </c>
      <c r="AY1004" s="2" t="s">
        <v>12682</v>
      </c>
      <c r="AZ1004" s="2" t="s">
        <v>12682</v>
      </c>
      <c r="BA1004" s="2" t="s">
        <v>12683</v>
      </c>
      <c r="BB1004" s="2" t="s">
        <v>21</v>
      </c>
      <c r="BD1004" s="2" t="s">
        <v>12684</v>
      </c>
      <c r="BE1004" s="2" t="s">
        <v>12685</v>
      </c>
      <c r="BF1004" s="2" t="s">
        <v>12686</v>
      </c>
    </row>
    <row r="1005" spans="1:58" ht="42.75" customHeight="1" x14ac:dyDescent="0.25">
      <c r="A1005" s="8" t="s">
        <v>8</v>
      </c>
      <c r="B1005" s="1" t="s">
        <v>0</v>
      </c>
      <c r="C1005" s="1" t="s">
        <v>1</v>
      </c>
      <c r="D1005" s="1" t="s">
        <v>12687</v>
      </c>
      <c r="E1005" s="1" t="s">
        <v>12688</v>
      </c>
      <c r="F1005" s="1" t="s">
        <v>12689</v>
      </c>
      <c r="H1005" s="2" t="s">
        <v>8</v>
      </c>
      <c r="I1005" s="2" t="s">
        <v>7</v>
      </c>
      <c r="J1005" s="2" t="s">
        <v>8</v>
      </c>
      <c r="K1005" s="2" t="s">
        <v>8</v>
      </c>
      <c r="L1005" s="2" t="s">
        <v>9</v>
      </c>
      <c r="N1005" s="1" t="s">
        <v>12690</v>
      </c>
      <c r="O1005" s="2" t="s">
        <v>627</v>
      </c>
      <c r="Q1005" s="2" t="s">
        <v>12</v>
      </c>
      <c r="R1005" s="2" t="s">
        <v>577</v>
      </c>
      <c r="T1005" s="2" t="s">
        <v>14</v>
      </c>
      <c r="U1005" s="3">
        <v>3</v>
      </c>
      <c r="V1005" s="3">
        <v>3</v>
      </c>
      <c r="W1005" s="4" t="s">
        <v>12691</v>
      </c>
      <c r="X1005" s="4" t="s">
        <v>12691</v>
      </c>
      <c r="Y1005" s="4" t="s">
        <v>12691</v>
      </c>
      <c r="Z1005" s="4" t="s">
        <v>12691</v>
      </c>
      <c r="AA1005" s="3">
        <v>162</v>
      </c>
      <c r="AB1005" s="3">
        <v>134</v>
      </c>
      <c r="AC1005" s="3">
        <v>134</v>
      </c>
      <c r="AD1005" s="3">
        <v>1</v>
      </c>
      <c r="AE1005" s="3">
        <v>1</v>
      </c>
      <c r="AF1005" s="3">
        <v>4</v>
      </c>
      <c r="AG1005" s="3">
        <v>4</v>
      </c>
      <c r="AH1005" s="3">
        <v>0</v>
      </c>
      <c r="AI1005" s="3">
        <v>0</v>
      </c>
      <c r="AJ1005" s="3">
        <v>0</v>
      </c>
      <c r="AK1005" s="3">
        <v>0</v>
      </c>
      <c r="AL1005" s="3">
        <v>0</v>
      </c>
      <c r="AM1005" s="3">
        <v>0</v>
      </c>
      <c r="AN1005" s="3">
        <v>0</v>
      </c>
      <c r="AO1005" s="3">
        <v>0</v>
      </c>
      <c r="AP1005" s="3">
        <v>4</v>
      </c>
      <c r="AQ1005" s="3">
        <v>4</v>
      </c>
      <c r="AR1005" s="2" t="s">
        <v>8</v>
      </c>
      <c r="AS1005" s="2" t="s">
        <v>8</v>
      </c>
      <c r="AU1005" s="5" t="str">
        <f>HYPERLINK("https://creighton-primo.hosted.exlibrisgroup.com/primo-explore/search?tab=default_tab&amp;search_scope=EVERYTHING&amp;vid=01CRU&amp;lang=en_US&amp;offset=0&amp;query=any,contains,991001304969702656","Catalog Record")</f>
        <v>Catalog Record</v>
      </c>
      <c r="AV1005" s="5" t="str">
        <f>HYPERLINK("http://www.worldcat.org/oclc/18779070","WorldCat Record")</f>
        <v>WorldCat Record</v>
      </c>
      <c r="AW1005" s="2" t="s">
        <v>12692</v>
      </c>
      <c r="AX1005" s="2" t="s">
        <v>12693</v>
      </c>
      <c r="AY1005" s="2" t="s">
        <v>12694</v>
      </c>
      <c r="AZ1005" s="2" t="s">
        <v>12694</v>
      </c>
      <c r="BA1005" s="2" t="s">
        <v>12695</v>
      </c>
      <c r="BB1005" s="2" t="s">
        <v>21</v>
      </c>
      <c r="BD1005" s="2" t="s">
        <v>12696</v>
      </c>
      <c r="BE1005" s="2" t="s">
        <v>12697</v>
      </c>
      <c r="BF1005" s="2" t="s">
        <v>12698</v>
      </c>
    </row>
    <row r="1006" spans="1:58" ht="42.75" customHeight="1" x14ac:dyDescent="0.25">
      <c r="A1006" s="8" t="s">
        <v>8</v>
      </c>
      <c r="B1006" s="1" t="s">
        <v>0</v>
      </c>
      <c r="C1006" s="1" t="s">
        <v>1</v>
      </c>
      <c r="D1006" s="1" t="s">
        <v>12699</v>
      </c>
      <c r="E1006" s="1" t="s">
        <v>12700</v>
      </c>
      <c r="F1006" s="1" t="s">
        <v>12701</v>
      </c>
      <c r="H1006" s="2" t="s">
        <v>8</v>
      </c>
      <c r="I1006" s="2" t="s">
        <v>7</v>
      </c>
      <c r="J1006" s="2" t="s">
        <v>8</v>
      </c>
      <c r="K1006" s="2" t="s">
        <v>8</v>
      </c>
      <c r="L1006" s="2" t="s">
        <v>7</v>
      </c>
      <c r="N1006" s="1" t="s">
        <v>12702</v>
      </c>
      <c r="O1006" s="2" t="s">
        <v>830</v>
      </c>
      <c r="Q1006" s="2" t="s">
        <v>12</v>
      </c>
      <c r="R1006" s="2" t="s">
        <v>774</v>
      </c>
      <c r="T1006" s="2" t="s">
        <v>14</v>
      </c>
      <c r="U1006" s="3">
        <v>0</v>
      </c>
      <c r="V1006" s="3">
        <v>0</v>
      </c>
      <c r="W1006" s="4" t="s">
        <v>5036</v>
      </c>
      <c r="X1006" s="4" t="s">
        <v>5036</v>
      </c>
      <c r="Y1006" s="4" t="s">
        <v>12703</v>
      </c>
      <c r="Z1006" s="4" t="s">
        <v>12703</v>
      </c>
      <c r="AA1006" s="3">
        <v>88</v>
      </c>
      <c r="AB1006" s="3">
        <v>71</v>
      </c>
      <c r="AC1006" s="3">
        <v>799</v>
      </c>
      <c r="AD1006" s="3">
        <v>1</v>
      </c>
      <c r="AE1006" s="3">
        <v>18</v>
      </c>
      <c r="AF1006" s="3">
        <v>3</v>
      </c>
      <c r="AG1006" s="3">
        <v>40</v>
      </c>
      <c r="AH1006" s="3">
        <v>0</v>
      </c>
      <c r="AI1006" s="3">
        <v>10</v>
      </c>
      <c r="AJ1006" s="3">
        <v>1</v>
      </c>
      <c r="AK1006" s="3">
        <v>9</v>
      </c>
      <c r="AL1006" s="3">
        <v>2</v>
      </c>
      <c r="AM1006" s="3">
        <v>9</v>
      </c>
      <c r="AN1006" s="3">
        <v>0</v>
      </c>
      <c r="AO1006" s="3">
        <v>15</v>
      </c>
      <c r="AP1006" s="3">
        <v>1</v>
      </c>
      <c r="AQ1006" s="3">
        <v>3</v>
      </c>
      <c r="AR1006" s="2" t="s">
        <v>8</v>
      </c>
      <c r="AS1006" s="2" t="s">
        <v>8</v>
      </c>
      <c r="AU1006" s="5" t="str">
        <f>HYPERLINK("https://creighton-primo.hosted.exlibrisgroup.com/primo-explore/search?tab=default_tab&amp;search_scope=EVERYTHING&amp;vid=01CRU&amp;lang=en_US&amp;offset=0&amp;query=any,contains,991000435609702656","Catalog Record")</f>
        <v>Catalog Record</v>
      </c>
      <c r="AV1006" s="5" t="str">
        <f>HYPERLINK("http://www.worldcat.org/oclc/52128256","WorldCat Record")</f>
        <v>WorldCat Record</v>
      </c>
      <c r="AW1006" s="2" t="s">
        <v>12704</v>
      </c>
      <c r="AX1006" s="2" t="s">
        <v>12705</v>
      </c>
      <c r="AY1006" s="2" t="s">
        <v>12706</v>
      </c>
      <c r="AZ1006" s="2" t="s">
        <v>12706</v>
      </c>
      <c r="BA1006" s="2" t="s">
        <v>12707</v>
      </c>
      <c r="BB1006" s="2" t="s">
        <v>21</v>
      </c>
      <c r="BD1006" s="2" t="s">
        <v>12708</v>
      </c>
      <c r="BE1006" s="2" t="s">
        <v>12709</v>
      </c>
      <c r="BF1006" s="2" t="s">
        <v>12710</v>
      </c>
    </row>
    <row r="1007" spans="1:58" ht="42.75" customHeight="1" x14ac:dyDescent="0.25">
      <c r="A1007" s="8" t="s">
        <v>8</v>
      </c>
      <c r="B1007" s="1" t="s">
        <v>0</v>
      </c>
      <c r="C1007" s="1" t="s">
        <v>1</v>
      </c>
      <c r="D1007" s="1" t="s">
        <v>12711</v>
      </c>
      <c r="E1007" s="1" t="s">
        <v>12712</v>
      </c>
      <c r="F1007" s="1" t="s">
        <v>12713</v>
      </c>
      <c r="G1007" s="2" t="s">
        <v>12714</v>
      </c>
      <c r="H1007" s="2" t="s">
        <v>6</v>
      </c>
      <c r="I1007" s="2" t="s">
        <v>7</v>
      </c>
      <c r="J1007" s="2" t="s">
        <v>8</v>
      </c>
      <c r="K1007" s="2" t="s">
        <v>8</v>
      </c>
      <c r="L1007" s="2" t="s">
        <v>9</v>
      </c>
      <c r="N1007" s="1" t="s">
        <v>12715</v>
      </c>
      <c r="O1007" s="2" t="s">
        <v>549</v>
      </c>
      <c r="Q1007" s="2" t="s">
        <v>12</v>
      </c>
      <c r="R1007" s="2" t="s">
        <v>1211</v>
      </c>
      <c r="T1007" s="2" t="s">
        <v>14</v>
      </c>
      <c r="U1007" s="3">
        <v>0</v>
      </c>
      <c r="V1007" s="3">
        <v>2</v>
      </c>
      <c r="X1007" s="4" t="s">
        <v>1953</v>
      </c>
      <c r="Y1007" s="4" t="s">
        <v>976</v>
      </c>
      <c r="Z1007" s="4" t="s">
        <v>976</v>
      </c>
      <c r="AA1007" s="3">
        <v>20</v>
      </c>
      <c r="AB1007" s="3">
        <v>15</v>
      </c>
      <c r="AC1007" s="3">
        <v>17</v>
      </c>
      <c r="AD1007" s="3">
        <v>1</v>
      </c>
      <c r="AE1007" s="3">
        <v>1</v>
      </c>
      <c r="AF1007" s="3">
        <v>0</v>
      </c>
      <c r="AG1007" s="3">
        <v>0</v>
      </c>
      <c r="AH1007" s="3">
        <v>0</v>
      </c>
      <c r="AI1007" s="3">
        <v>0</v>
      </c>
      <c r="AJ1007" s="3">
        <v>0</v>
      </c>
      <c r="AK1007" s="3">
        <v>0</v>
      </c>
      <c r="AL1007" s="3">
        <v>0</v>
      </c>
      <c r="AM1007" s="3">
        <v>0</v>
      </c>
      <c r="AN1007" s="3">
        <v>0</v>
      </c>
      <c r="AO1007" s="3">
        <v>0</v>
      </c>
      <c r="AP1007" s="3">
        <v>0</v>
      </c>
      <c r="AQ1007" s="3">
        <v>0</v>
      </c>
      <c r="AR1007" s="2" t="s">
        <v>8</v>
      </c>
      <c r="AS1007" s="2" t="s">
        <v>6</v>
      </c>
      <c r="AT1007" s="5" t="str">
        <f t="shared" ref="AT1007:AT1016" si="0">HYPERLINK("http://catalog.hathitrust.org/Record/002065708","HathiTrust Record")</f>
        <v>HathiTrust Record</v>
      </c>
      <c r="AU1007" s="5" t="str">
        <f t="shared" ref="AU1007:AU1016" si="1">HYPERLINK("https://creighton-primo.hosted.exlibrisgroup.com/primo-explore/search?tab=default_tab&amp;search_scope=EVERYTHING&amp;vid=01CRU&amp;lang=en_US&amp;offset=0&amp;query=any,contains,991000664739702656","Catalog Record")</f>
        <v>Catalog Record</v>
      </c>
      <c r="AV1007" s="5" t="str">
        <f t="shared" ref="AV1007:AV1016" si="2">HYPERLINK("http://www.worldcat.org/oclc/11420760","WorldCat Record")</f>
        <v>WorldCat Record</v>
      </c>
      <c r="AW1007" s="2" t="s">
        <v>12716</v>
      </c>
      <c r="AX1007" s="2" t="s">
        <v>12717</v>
      </c>
      <c r="AY1007" s="2" t="s">
        <v>12718</v>
      </c>
      <c r="AZ1007" s="2" t="s">
        <v>12718</v>
      </c>
      <c r="BA1007" s="2" t="s">
        <v>12719</v>
      </c>
      <c r="BB1007" s="2" t="s">
        <v>21</v>
      </c>
      <c r="BE1007" s="2" t="s">
        <v>12720</v>
      </c>
      <c r="BF1007" s="2" t="s">
        <v>12721</v>
      </c>
    </row>
    <row r="1008" spans="1:58" ht="42.75" customHeight="1" x14ac:dyDescent="0.25">
      <c r="A1008" s="8" t="s">
        <v>8</v>
      </c>
      <c r="B1008" s="1" t="s">
        <v>0</v>
      </c>
      <c r="C1008" s="1" t="s">
        <v>1</v>
      </c>
      <c r="D1008" s="1" t="s">
        <v>12711</v>
      </c>
      <c r="E1008" s="1" t="s">
        <v>12712</v>
      </c>
      <c r="F1008" s="1" t="s">
        <v>12713</v>
      </c>
      <c r="G1008" s="2" t="s">
        <v>126</v>
      </c>
      <c r="H1008" s="2" t="s">
        <v>6</v>
      </c>
      <c r="I1008" s="2" t="s">
        <v>7</v>
      </c>
      <c r="J1008" s="2" t="s">
        <v>8</v>
      </c>
      <c r="K1008" s="2" t="s">
        <v>8</v>
      </c>
      <c r="L1008" s="2" t="s">
        <v>9</v>
      </c>
      <c r="N1008" s="1" t="s">
        <v>12715</v>
      </c>
      <c r="O1008" s="2" t="s">
        <v>549</v>
      </c>
      <c r="Q1008" s="2" t="s">
        <v>12</v>
      </c>
      <c r="R1008" s="2" t="s">
        <v>1211</v>
      </c>
      <c r="T1008" s="2" t="s">
        <v>14</v>
      </c>
      <c r="U1008" s="3">
        <v>0</v>
      </c>
      <c r="V1008" s="3">
        <v>2</v>
      </c>
      <c r="X1008" s="4" t="s">
        <v>1953</v>
      </c>
      <c r="Y1008" s="4" t="s">
        <v>976</v>
      </c>
      <c r="Z1008" s="4" t="s">
        <v>976</v>
      </c>
      <c r="AA1008" s="3">
        <v>20</v>
      </c>
      <c r="AB1008" s="3">
        <v>15</v>
      </c>
      <c r="AC1008" s="3">
        <v>17</v>
      </c>
      <c r="AD1008" s="3">
        <v>1</v>
      </c>
      <c r="AE1008" s="3">
        <v>1</v>
      </c>
      <c r="AF1008" s="3">
        <v>0</v>
      </c>
      <c r="AG1008" s="3">
        <v>0</v>
      </c>
      <c r="AH1008" s="3">
        <v>0</v>
      </c>
      <c r="AI1008" s="3">
        <v>0</v>
      </c>
      <c r="AJ1008" s="3">
        <v>0</v>
      </c>
      <c r="AK1008" s="3">
        <v>0</v>
      </c>
      <c r="AL1008" s="3">
        <v>0</v>
      </c>
      <c r="AM1008" s="3">
        <v>0</v>
      </c>
      <c r="AN1008" s="3">
        <v>0</v>
      </c>
      <c r="AO1008" s="3">
        <v>0</v>
      </c>
      <c r="AP1008" s="3">
        <v>0</v>
      </c>
      <c r="AQ1008" s="3">
        <v>0</v>
      </c>
      <c r="AR1008" s="2" t="s">
        <v>8</v>
      </c>
      <c r="AS1008" s="2" t="s">
        <v>6</v>
      </c>
      <c r="AT1008" s="5" t="str">
        <f t="shared" si="0"/>
        <v>HathiTrust Record</v>
      </c>
      <c r="AU1008" s="5" t="str">
        <f t="shared" si="1"/>
        <v>Catalog Record</v>
      </c>
      <c r="AV1008" s="5" t="str">
        <f t="shared" si="2"/>
        <v>WorldCat Record</v>
      </c>
      <c r="AW1008" s="2" t="s">
        <v>12716</v>
      </c>
      <c r="AX1008" s="2" t="s">
        <v>12717</v>
      </c>
      <c r="AY1008" s="2" t="s">
        <v>12718</v>
      </c>
      <c r="AZ1008" s="2" t="s">
        <v>12718</v>
      </c>
      <c r="BA1008" s="2" t="s">
        <v>12719</v>
      </c>
      <c r="BB1008" s="2" t="s">
        <v>21</v>
      </c>
      <c r="BE1008" s="2" t="s">
        <v>12722</v>
      </c>
      <c r="BF1008" s="2" t="s">
        <v>12723</v>
      </c>
    </row>
    <row r="1009" spans="1:58" ht="42.75" customHeight="1" x14ac:dyDescent="0.25">
      <c r="A1009" s="8" t="s">
        <v>8</v>
      </c>
      <c r="B1009" s="1" t="s">
        <v>0</v>
      </c>
      <c r="C1009" s="1" t="s">
        <v>1</v>
      </c>
      <c r="D1009" s="1" t="s">
        <v>12711</v>
      </c>
      <c r="E1009" s="1" t="s">
        <v>12712</v>
      </c>
      <c r="F1009" s="1" t="s">
        <v>12713</v>
      </c>
      <c r="G1009" s="2" t="s">
        <v>12724</v>
      </c>
      <c r="H1009" s="2" t="s">
        <v>6</v>
      </c>
      <c r="I1009" s="2" t="s">
        <v>7</v>
      </c>
      <c r="J1009" s="2" t="s">
        <v>8</v>
      </c>
      <c r="K1009" s="2" t="s">
        <v>8</v>
      </c>
      <c r="L1009" s="2" t="s">
        <v>9</v>
      </c>
      <c r="N1009" s="1" t="s">
        <v>12715</v>
      </c>
      <c r="O1009" s="2" t="s">
        <v>549</v>
      </c>
      <c r="Q1009" s="2" t="s">
        <v>12</v>
      </c>
      <c r="R1009" s="2" t="s">
        <v>1211</v>
      </c>
      <c r="T1009" s="2" t="s">
        <v>14</v>
      </c>
      <c r="U1009" s="3">
        <v>0</v>
      </c>
      <c r="V1009" s="3">
        <v>2</v>
      </c>
      <c r="X1009" s="4" t="s">
        <v>1953</v>
      </c>
      <c r="Y1009" s="4" t="s">
        <v>976</v>
      </c>
      <c r="Z1009" s="4" t="s">
        <v>976</v>
      </c>
      <c r="AA1009" s="3">
        <v>20</v>
      </c>
      <c r="AB1009" s="3">
        <v>15</v>
      </c>
      <c r="AC1009" s="3">
        <v>17</v>
      </c>
      <c r="AD1009" s="3">
        <v>1</v>
      </c>
      <c r="AE1009" s="3">
        <v>1</v>
      </c>
      <c r="AF1009" s="3">
        <v>0</v>
      </c>
      <c r="AG1009" s="3">
        <v>0</v>
      </c>
      <c r="AH1009" s="3">
        <v>0</v>
      </c>
      <c r="AI1009" s="3">
        <v>0</v>
      </c>
      <c r="AJ1009" s="3">
        <v>0</v>
      </c>
      <c r="AK1009" s="3">
        <v>0</v>
      </c>
      <c r="AL1009" s="3">
        <v>0</v>
      </c>
      <c r="AM1009" s="3">
        <v>0</v>
      </c>
      <c r="AN1009" s="3">
        <v>0</v>
      </c>
      <c r="AO1009" s="3">
        <v>0</v>
      </c>
      <c r="AP1009" s="3">
        <v>0</v>
      </c>
      <c r="AQ1009" s="3">
        <v>0</v>
      </c>
      <c r="AR1009" s="2" t="s">
        <v>8</v>
      </c>
      <c r="AS1009" s="2" t="s">
        <v>6</v>
      </c>
      <c r="AT1009" s="5" t="str">
        <f t="shared" si="0"/>
        <v>HathiTrust Record</v>
      </c>
      <c r="AU1009" s="5" t="str">
        <f t="shared" si="1"/>
        <v>Catalog Record</v>
      </c>
      <c r="AV1009" s="5" t="str">
        <f t="shared" si="2"/>
        <v>WorldCat Record</v>
      </c>
      <c r="AW1009" s="2" t="s">
        <v>12716</v>
      </c>
      <c r="AX1009" s="2" t="s">
        <v>12717</v>
      </c>
      <c r="AY1009" s="2" t="s">
        <v>12718</v>
      </c>
      <c r="AZ1009" s="2" t="s">
        <v>12718</v>
      </c>
      <c r="BA1009" s="2" t="s">
        <v>12719</v>
      </c>
      <c r="BB1009" s="2" t="s">
        <v>21</v>
      </c>
      <c r="BE1009" s="2" t="s">
        <v>12725</v>
      </c>
      <c r="BF1009" s="2" t="s">
        <v>12726</v>
      </c>
    </row>
    <row r="1010" spans="1:58" ht="42.75" customHeight="1" x14ac:dyDescent="0.25">
      <c r="A1010" s="8" t="s">
        <v>8</v>
      </c>
      <c r="B1010" s="1" t="s">
        <v>0</v>
      </c>
      <c r="C1010" s="1" t="s">
        <v>1</v>
      </c>
      <c r="D1010" s="1" t="s">
        <v>12711</v>
      </c>
      <c r="E1010" s="1" t="s">
        <v>12712</v>
      </c>
      <c r="F1010" s="1" t="s">
        <v>12713</v>
      </c>
      <c r="G1010" s="2" t="s">
        <v>12727</v>
      </c>
      <c r="H1010" s="2" t="s">
        <v>6</v>
      </c>
      <c r="I1010" s="2" t="s">
        <v>7</v>
      </c>
      <c r="J1010" s="2" t="s">
        <v>8</v>
      </c>
      <c r="K1010" s="2" t="s">
        <v>8</v>
      </c>
      <c r="L1010" s="2" t="s">
        <v>9</v>
      </c>
      <c r="N1010" s="1" t="s">
        <v>12715</v>
      </c>
      <c r="O1010" s="2" t="s">
        <v>549</v>
      </c>
      <c r="Q1010" s="2" t="s">
        <v>12</v>
      </c>
      <c r="R1010" s="2" t="s">
        <v>1211</v>
      </c>
      <c r="T1010" s="2" t="s">
        <v>14</v>
      </c>
      <c r="U1010" s="3">
        <v>0</v>
      </c>
      <c r="V1010" s="3">
        <v>2</v>
      </c>
      <c r="X1010" s="4" t="s">
        <v>1953</v>
      </c>
      <c r="Y1010" s="4" t="s">
        <v>976</v>
      </c>
      <c r="Z1010" s="4" t="s">
        <v>976</v>
      </c>
      <c r="AA1010" s="3">
        <v>20</v>
      </c>
      <c r="AB1010" s="3">
        <v>15</v>
      </c>
      <c r="AC1010" s="3">
        <v>17</v>
      </c>
      <c r="AD1010" s="3">
        <v>1</v>
      </c>
      <c r="AE1010" s="3">
        <v>1</v>
      </c>
      <c r="AF1010" s="3">
        <v>0</v>
      </c>
      <c r="AG1010" s="3">
        <v>0</v>
      </c>
      <c r="AH1010" s="3">
        <v>0</v>
      </c>
      <c r="AI1010" s="3">
        <v>0</v>
      </c>
      <c r="AJ1010" s="3">
        <v>0</v>
      </c>
      <c r="AK1010" s="3">
        <v>0</v>
      </c>
      <c r="AL1010" s="3">
        <v>0</v>
      </c>
      <c r="AM1010" s="3">
        <v>0</v>
      </c>
      <c r="AN1010" s="3">
        <v>0</v>
      </c>
      <c r="AO1010" s="3">
        <v>0</v>
      </c>
      <c r="AP1010" s="3">
        <v>0</v>
      </c>
      <c r="AQ1010" s="3">
        <v>0</v>
      </c>
      <c r="AR1010" s="2" t="s">
        <v>8</v>
      </c>
      <c r="AS1010" s="2" t="s">
        <v>6</v>
      </c>
      <c r="AT1010" s="5" t="str">
        <f t="shared" si="0"/>
        <v>HathiTrust Record</v>
      </c>
      <c r="AU1010" s="5" t="str">
        <f t="shared" si="1"/>
        <v>Catalog Record</v>
      </c>
      <c r="AV1010" s="5" t="str">
        <f t="shared" si="2"/>
        <v>WorldCat Record</v>
      </c>
      <c r="AW1010" s="2" t="s">
        <v>12716</v>
      </c>
      <c r="AX1010" s="2" t="s">
        <v>12717</v>
      </c>
      <c r="AY1010" s="2" t="s">
        <v>12718</v>
      </c>
      <c r="AZ1010" s="2" t="s">
        <v>12718</v>
      </c>
      <c r="BA1010" s="2" t="s">
        <v>12719</v>
      </c>
      <c r="BB1010" s="2" t="s">
        <v>21</v>
      </c>
      <c r="BE1010" s="2" t="s">
        <v>12728</v>
      </c>
      <c r="BF1010" s="2" t="s">
        <v>12729</v>
      </c>
    </row>
    <row r="1011" spans="1:58" ht="42.75" customHeight="1" x14ac:dyDescent="0.25">
      <c r="A1011" s="8" t="s">
        <v>8</v>
      </c>
      <c r="B1011" s="1" t="s">
        <v>0</v>
      </c>
      <c r="C1011" s="1" t="s">
        <v>1</v>
      </c>
      <c r="D1011" s="1" t="s">
        <v>12711</v>
      </c>
      <c r="E1011" s="1" t="s">
        <v>12712</v>
      </c>
      <c r="F1011" s="1" t="s">
        <v>12713</v>
      </c>
      <c r="G1011" s="2" t="s">
        <v>12730</v>
      </c>
      <c r="H1011" s="2" t="s">
        <v>6</v>
      </c>
      <c r="I1011" s="2" t="s">
        <v>7</v>
      </c>
      <c r="J1011" s="2" t="s">
        <v>8</v>
      </c>
      <c r="K1011" s="2" t="s">
        <v>8</v>
      </c>
      <c r="L1011" s="2" t="s">
        <v>9</v>
      </c>
      <c r="N1011" s="1" t="s">
        <v>12715</v>
      </c>
      <c r="O1011" s="2" t="s">
        <v>549</v>
      </c>
      <c r="Q1011" s="2" t="s">
        <v>12</v>
      </c>
      <c r="R1011" s="2" t="s">
        <v>1211</v>
      </c>
      <c r="T1011" s="2" t="s">
        <v>14</v>
      </c>
      <c r="U1011" s="3">
        <v>1</v>
      </c>
      <c r="V1011" s="3">
        <v>2</v>
      </c>
      <c r="W1011" s="4" t="s">
        <v>1953</v>
      </c>
      <c r="X1011" s="4" t="s">
        <v>1953</v>
      </c>
      <c r="Y1011" s="4" t="s">
        <v>976</v>
      </c>
      <c r="Z1011" s="4" t="s">
        <v>976</v>
      </c>
      <c r="AA1011" s="3">
        <v>20</v>
      </c>
      <c r="AB1011" s="3">
        <v>15</v>
      </c>
      <c r="AC1011" s="3">
        <v>17</v>
      </c>
      <c r="AD1011" s="3">
        <v>1</v>
      </c>
      <c r="AE1011" s="3">
        <v>1</v>
      </c>
      <c r="AF1011" s="3">
        <v>0</v>
      </c>
      <c r="AG1011" s="3">
        <v>0</v>
      </c>
      <c r="AH1011" s="3">
        <v>0</v>
      </c>
      <c r="AI1011" s="3">
        <v>0</v>
      </c>
      <c r="AJ1011" s="3">
        <v>0</v>
      </c>
      <c r="AK1011" s="3">
        <v>0</v>
      </c>
      <c r="AL1011" s="3">
        <v>0</v>
      </c>
      <c r="AM1011" s="3">
        <v>0</v>
      </c>
      <c r="AN1011" s="3">
        <v>0</v>
      </c>
      <c r="AO1011" s="3">
        <v>0</v>
      </c>
      <c r="AP1011" s="3">
        <v>0</v>
      </c>
      <c r="AQ1011" s="3">
        <v>0</v>
      </c>
      <c r="AR1011" s="2" t="s">
        <v>8</v>
      </c>
      <c r="AS1011" s="2" t="s">
        <v>6</v>
      </c>
      <c r="AT1011" s="5" t="str">
        <f t="shared" si="0"/>
        <v>HathiTrust Record</v>
      </c>
      <c r="AU1011" s="5" t="str">
        <f t="shared" si="1"/>
        <v>Catalog Record</v>
      </c>
      <c r="AV1011" s="5" t="str">
        <f t="shared" si="2"/>
        <v>WorldCat Record</v>
      </c>
      <c r="AW1011" s="2" t="s">
        <v>12716</v>
      </c>
      <c r="AX1011" s="2" t="s">
        <v>12717</v>
      </c>
      <c r="AY1011" s="2" t="s">
        <v>12718</v>
      </c>
      <c r="AZ1011" s="2" t="s">
        <v>12718</v>
      </c>
      <c r="BA1011" s="2" t="s">
        <v>12719</v>
      </c>
      <c r="BB1011" s="2" t="s">
        <v>21</v>
      </c>
      <c r="BE1011" s="2" t="s">
        <v>12731</v>
      </c>
      <c r="BF1011" s="2" t="s">
        <v>12732</v>
      </c>
    </row>
    <row r="1012" spans="1:58" ht="42.75" customHeight="1" x14ac:dyDescent="0.25">
      <c r="A1012" s="8" t="s">
        <v>8</v>
      </c>
      <c r="B1012" s="1" t="s">
        <v>0</v>
      </c>
      <c r="C1012" s="1" t="s">
        <v>1</v>
      </c>
      <c r="D1012" s="1" t="s">
        <v>12711</v>
      </c>
      <c r="E1012" s="1" t="s">
        <v>12712</v>
      </c>
      <c r="F1012" s="1" t="s">
        <v>12713</v>
      </c>
      <c r="G1012" s="2" t="s">
        <v>31</v>
      </c>
      <c r="H1012" s="2" t="s">
        <v>6</v>
      </c>
      <c r="I1012" s="2" t="s">
        <v>7</v>
      </c>
      <c r="J1012" s="2" t="s">
        <v>8</v>
      </c>
      <c r="K1012" s="2" t="s">
        <v>8</v>
      </c>
      <c r="L1012" s="2" t="s">
        <v>9</v>
      </c>
      <c r="N1012" s="1" t="s">
        <v>12715</v>
      </c>
      <c r="O1012" s="2" t="s">
        <v>549</v>
      </c>
      <c r="Q1012" s="2" t="s">
        <v>12</v>
      </c>
      <c r="R1012" s="2" t="s">
        <v>1211</v>
      </c>
      <c r="T1012" s="2" t="s">
        <v>14</v>
      </c>
      <c r="U1012" s="3">
        <v>0</v>
      </c>
      <c r="V1012" s="3">
        <v>2</v>
      </c>
      <c r="X1012" s="4" t="s">
        <v>1953</v>
      </c>
      <c r="Y1012" s="4" t="s">
        <v>976</v>
      </c>
      <c r="Z1012" s="4" t="s">
        <v>976</v>
      </c>
      <c r="AA1012" s="3">
        <v>20</v>
      </c>
      <c r="AB1012" s="3">
        <v>15</v>
      </c>
      <c r="AC1012" s="3">
        <v>17</v>
      </c>
      <c r="AD1012" s="3">
        <v>1</v>
      </c>
      <c r="AE1012" s="3">
        <v>1</v>
      </c>
      <c r="AF1012" s="3">
        <v>0</v>
      </c>
      <c r="AG1012" s="3">
        <v>0</v>
      </c>
      <c r="AH1012" s="3">
        <v>0</v>
      </c>
      <c r="AI1012" s="3">
        <v>0</v>
      </c>
      <c r="AJ1012" s="3">
        <v>0</v>
      </c>
      <c r="AK1012" s="3">
        <v>0</v>
      </c>
      <c r="AL1012" s="3">
        <v>0</v>
      </c>
      <c r="AM1012" s="3">
        <v>0</v>
      </c>
      <c r="AN1012" s="3">
        <v>0</v>
      </c>
      <c r="AO1012" s="3">
        <v>0</v>
      </c>
      <c r="AP1012" s="3">
        <v>0</v>
      </c>
      <c r="AQ1012" s="3">
        <v>0</v>
      </c>
      <c r="AR1012" s="2" t="s">
        <v>8</v>
      </c>
      <c r="AS1012" s="2" t="s">
        <v>6</v>
      </c>
      <c r="AT1012" s="5" t="str">
        <f t="shared" si="0"/>
        <v>HathiTrust Record</v>
      </c>
      <c r="AU1012" s="5" t="str">
        <f t="shared" si="1"/>
        <v>Catalog Record</v>
      </c>
      <c r="AV1012" s="5" t="str">
        <f t="shared" si="2"/>
        <v>WorldCat Record</v>
      </c>
      <c r="AW1012" s="2" t="s">
        <v>12716</v>
      </c>
      <c r="AX1012" s="2" t="s">
        <v>12717</v>
      </c>
      <c r="AY1012" s="2" t="s">
        <v>12718</v>
      </c>
      <c r="AZ1012" s="2" t="s">
        <v>12718</v>
      </c>
      <c r="BA1012" s="2" t="s">
        <v>12719</v>
      </c>
      <c r="BB1012" s="2" t="s">
        <v>21</v>
      </c>
      <c r="BE1012" s="2" t="s">
        <v>12733</v>
      </c>
      <c r="BF1012" s="2" t="s">
        <v>12734</v>
      </c>
    </row>
    <row r="1013" spans="1:58" ht="42.75" customHeight="1" x14ac:dyDescent="0.25">
      <c r="A1013" s="8" t="s">
        <v>8</v>
      </c>
      <c r="B1013" s="1" t="s">
        <v>0</v>
      </c>
      <c r="C1013" s="1" t="s">
        <v>1</v>
      </c>
      <c r="D1013" s="1" t="s">
        <v>12711</v>
      </c>
      <c r="E1013" s="1" t="s">
        <v>12712</v>
      </c>
      <c r="F1013" s="1" t="s">
        <v>12713</v>
      </c>
      <c r="G1013" s="2" t="s">
        <v>191</v>
      </c>
      <c r="H1013" s="2" t="s">
        <v>6</v>
      </c>
      <c r="I1013" s="2" t="s">
        <v>7</v>
      </c>
      <c r="J1013" s="2" t="s">
        <v>8</v>
      </c>
      <c r="K1013" s="2" t="s">
        <v>8</v>
      </c>
      <c r="L1013" s="2" t="s">
        <v>9</v>
      </c>
      <c r="N1013" s="1" t="s">
        <v>12715</v>
      </c>
      <c r="O1013" s="2" t="s">
        <v>549</v>
      </c>
      <c r="Q1013" s="2" t="s">
        <v>12</v>
      </c>
      <c r="R1013" s="2" t="s">
        <v>1211</v>
      </c>
      <c r="T1013" s="2" t="s">
        <v>14</v>
      </c>
      <c r="U1013" s="3">
        <v>0</v>
      </c>
      <c r="V1013" s="3">
        <v>2</v>
      </c>
      <c r="X1013" s="4" t="s">
        <v>1953</v>
      </c>
      <c r="Y1013" s="4" t="s">
        <v>976</v>
      </c>
      <c r="Z1013" s="4" t="s">
        <v>976</v>
      </c>
      <c r="AA1013" s="3">
        <v>20</v>
      </c>
      <c r="AB1013" s="3">
        <v>15</v>
      </c>
      <c r="AC1013" s="3">
        <v>17</v>
      </c>
      <c r="AD1013" s="3">
        <v>1</v>
      </c>
      <c r="AE1013" s="3">
        <v>1</v>
      </c>
      <c r="AF1013" s="3">
        <v>0</v>
      </c>
      <c r="AG1013" s="3">
        <v>0</v>
      </c>
      <c r="AH1013" s="3">
        <v>0</v>
      </c>
      <c r="AI1013" s="3">
        <v>0</v>
      </c>
      <c r="AJ1013" s="3">
        <v>0</v>
      </c>
      <c r="AK1013" s="3">
        <v>0</v>
      </c>
      <c r="AL1013" s="3">
        <v>0</v>
      </c>
      <c r="AM1013" s="3">
        <v>0</v>
      </c>
      <c r="AN1013" s="3">
        <v>0</v>
      </c>
      <c r="AO1013" s="3">
        <v>0</v>
      </c>
      <c r="AP1013" s="3">
        <v>0</v>
      </c>
      <c r="AQ1013" s="3">
        <v>0</v>
      </c>
      <c r="AR1013" s="2" t="s">
        <v>8</v>
      </c>
      <c r="AS1013" s="2" t="s">
        <v>6</v>
      </c>
      <c r="AT1013" s="5" t="str">
        <f t="shared" si="0"/>
        <v>HathiTrust Record</v>
      </c>
      <c r="AU1013" s="5" t="str">
        <f t="shared" si="1"/>
        <v>Catalog Record</v>
      </c>
      <c r="AV1013" s="5" t="str">
        <f t="shared" si="2"/>
        <v>WorldCat Record</v>
      </c>
      <c r="AW1013" s="2" t="s">
        <v>12716</v>
      </c>
      <c r="AX1013" s="2" t="s">
        <v>12717</v>
      </c>
      <c r="AY1013" s="2" t="s">
        <v>12718</v>
      </c>
      <c r="AZ1013" s="2" t="s">
        <v>12718</v>
      </c>
      <c r="BA1013" s="2" t="s">
        <v>12719</v>
      </c>
      <c r="BB1013" s="2" t="s">
        <v>21</v>
      </c>
      <c r="BE1013" s="2" t="s">
        <v>12735</v>
      </c>
      <c r="BF1013" s="2" t="s">
        <v>12736</v>
      </c>
    </row>
    <row r="1014" spans="1:58" ht="42.75" customHeight="1" x14ac:dyDescent="0.25">
      <c r="A1014" s="8" t="s">
        <v>8</v>
      </c>
      <c r="B1014" s="1" t="s">
        <v>0</v>
      </c>
      <c r="C1014" s="1" t="s">
        <v>1</v>
      </c>
      <c r="D1014" s="1" t="s">
        <v>12711</v>
      </c>
      <c r="E1014" s="1" t="s">
        <v>12712</v>
      </c>
      <c r="F1014" s="1" t="s">
        <v>12713</v>
      </c>
      <c r="G1014" s="2" t="s">
        <v>5</v>
      </c>
      <c r="H1014" s="2" t="s">
        <v>6</v>
      </c>
      <c r="I1014" s="2" t="s">
        <v>7</v>
      </c>
      <c r="J1014" s="2" t="s">
        <v>8</v>
      </c>
      <c r="K1014" s="2" t="s">
        <v>8</v>
      </c>
      <c r="L1014" s="2" t="s">
        <v>9</v>
      </c>
      <c r="N1014" s="1" t="s">
        <v>12715</v>
      </c>
      <c r="O1014" s="2" t="s">
        <v>549</v>
      </c>
      <c r="Q1014" s="2" t="s">
        <v>12</v>
      </c>
      <c r="R1014" s="2" t="s">
        <v>1211</v>
      </c>
      <c r="T1014" s="2" t="s">
        <v>14</v>
      </c>
      <c r="U1014" s="3">
        <v>0</v>
      </c>
      <c r="V1014" s="3">
        <v>2</v>
      </c>
      <c r="X1014" s="4" t="s">
        <v>1953</v>
      </c>
      <c r="Y1014" s="4" t="s">
        <v>976</v>
      </c>
      <c r="Z1014" s="4" t="s">
        <v>976</v>
      </c>
      <c r="AA1014" s="3">
        <v>20</v>
      </c>
      <c r="AB1014" s="3">
        <v>15</v>
      </c>
      <c r="AC1014" s="3">
        <v>17</v>
      </c>
      <c r="AD1014" s="3">
        <v>1</v>
      </c>
      <c r="AE1014" s="3">
        <v>1</v>
      </c>
      <c r="AF1014" s="3">
        <v>0</v>
      </c>
      <c r="AG1014" s="3">
        <v>0</v>
      </c>
      <c r="AH1014" s="3">
        <v>0</v>
      </c>
      <c r="AI1014" s="3">
        <v>0</v>
      </c>
      <c r="AJ1014" s="3">
        <v>0</v>
      </c>
      <c r="AK1014" s="3">
        <v>0</v>
      </c>
      <c r="AL1014" s="3">
        <v>0</v>
      </c>
      <c r="AM1014" s="3">
        <v>0</v>
      </c>
      <c r="AN1014" s="3">
        <v>0</v>
      </c>
      <c r="AO1014" s="3">
        <v>0</v>
      </c>
      <c r="AP1014" s="3">
        <v>0</v>
      </c>
      <c r="AQ1014" s="3">
        <v>0</v>
      </c>
      <c r="AR1014" s="2" t="s">
        <v>8</v>
      </c>
      <c r="AS1014" s="2" t="s">
        <v>6</v>
      </c>
      <c r="AT1014" s="5" t="str">
        <f t="shared" si="0"/>
        <v>HathiTrust Record</v>
      </c>
      <c r="AU1014" s="5" t="str">
        <f t="shared" si="1"/>
        <v>Catalog Record</v>
      </c>
      <c r="AV1014" s="5" t="str">
        <f t="shared" si="2"/>
        <v>WorldCat Record</v>
      </c>
      <c r="AW1014" s="2" t="s">
        <v>12716</v>
      </c>
      <c r="AX1014" s="2" t="s">
        <v>12717</v>
      </c>
      <c r="AY1014" s="2" t="s">
        <v>12718</v>
      </c>
      <c r="AZ1014" s="2" t="s">
        <v>12718</v>
      </c>
      <c r="BA1014" s="2" t="s">
        <v>12719</v>
      </c>
      <c r="BB1014" s="2" t="s">
        <v>21</v>
      </c>
      <c r="BE1014" s="2" t="s">
        <v>12737</v>
      </c>
      <c r="BF1014" s="2" t="s">
        <v>12738</v>
      </c>
    </row>
    <row r="1015" spans="1:58" ht="42.75" customHeight="1" x14ac:dyDescent="0.25">
      <c r="A1015" s="8" t="s">
        <v>8</v>
      </c>
      <c r="B1015" s="1" t="s">
        <v>0</v>
      </c>
      <c r="C1015" s="1" t="s">
        <v>1</v>
      </c>
      <c r="D1015" s="1" t="s">
        <v>12711</v>
      </c>
      <c r="E1015" s="1" t="s">
        <v>12712</v>
      </c>
      <c r="F1015" s="1" t="s">
        <v>12713</v>
      </c>
      <c r="G1015" s="2" t="s">
        <v>12739</v>
      </c>
      <c r="H1015" s="2" t="s">
        <v>6</v>
      </c>
      <c r="I1015" s="2" t="s">
        <v>7</v>
      </c>
      <c r="J1015" s="2" t="s">
        <v>8</v>
      </c>
      <c r="K1015" s="2" t="s">
        <v>8</v>
      </c>
      <c r="L1015" s="2" t="s">
        <v>9</v>
      </c>
      <c r="N1015" s="1" t="s">
        <v>12715</v>
      </c>
      <c r="O1015" s="2" t="s">
        <v>549</v>
      </c>
      <c r="Q1015" s="2" t="s">
        <v>12</v>
      </c>
      <c r="R1015" s="2" t="s">
        <v>1211</v>
      </c>
      <c r="T1015" s="2" t="s">
        <v>14</v>
      </c>
      <c r="U1015" s="3">
        <v>0</v>
      </c>
      <c r="V1015" s="3">
        <v>2</v>
      </c>
      <c r="X1015" s="4" t="s">
        <v>1953</v>
      </c>
      <c r="Y1015" s="4" t="s">
        <v>976</v>
      </c>
      <c r="Z1015" s="4" t="s">
        <v>976</v>
      </c>
      <c r="AA1015" s="3">
        <v>20</v>
      </c>
      <c r="AB1015" s="3">
        <v>15</v>
      </c>
      <c r="AC1015" s="3">
        <v>17</v>
      </c>
      <c r="AD1015" s="3">
        <v>1</v>
      </c>
      <c r="AE1015" s="3">
        <v>1</v>
      </c>
      <c r="AF1015" s="3">
        <v>0</v>
      </c>
      <c r="AG1015" s="3">
        <v>0</v>
      </c>
      <c r="AH1015" s="3">
        <v>0</v>
      </c>
      <c r="AI1015" s="3">
        <v>0</v>
      </c>
      <c r="AJ1015" s="3">
        <v>0</v>
      </c>
      <c r="AK1015" s="3">
        <v>0</v>
      </c>
      <c r="AL1015" s="3">
        <v>0</v>
      </c>
      <c r="AM1015" s="3">
        <v>0</v>
      </c>
      <c r="AN1015" s="3">
        <v>0</v>
      </c>
      <c r="AO1015" s="3">
        <v>0</v>
      </c>
      <c r="AP1015" s="3">
        <v>0</v>
      </c>
      <c r="AQ1015" s="3">
        <v>0</v>
      </c>
      <c r="AR1015" s="2" t="s">
        <v>8</v>
      </c>
      <c r="AS1015" s="2" t="s">
        <v>6</v>
      </c>
      <c r="AT1015" s="5" t="str">
        <f t="shared" si="0"/>
        <v>HathiTrust Record</v>
      </c>
      <c r="AU1015" s="5" t="str">
        <f t="shared" si="1"/>
        <v>Catalog Record</v>
      </c>
      <c r="AV1015" s="5" t="str">
        <f t="shared" si="2"/>
        <v>WorldCat Record</v>
      </c>
      <c r="AW1015" s="2" t="s">
        <v>12716</v>
      </c>
      <c r="AX1015" s="2" t="s">
        <v>12717</v>
      </c>
      <c r="AY1015" s="2" t="s">
        <v>12718</v>
      </c>
      <c r="AZ1015" s="2" t="s">
        <v>12718</v>
      </c>
      <c r="BA1015" s="2" t="s">
        <v>12719</v>
      </c>
      <c r="BB1015" s="2" t="s">
        <v>21</v>
      </c>
      <c r="BE1015" s="2" t="s">
        <v>12740</v>
      </c>
      <c r="BF1015" s="2" t="s">
        <v>12741</v>
      </c>
    </row>
    <row r="1016" spans="1:58" ht="42.75" customHeight="1" x14ac:dyDescent="0.25">
      <c r="A1016" s="8" t="s">
        <v>8</v>
      </c>
      <c r="B1016" s="1" t="s">
        <v>0</v>
      </c>
      <c r="C1016" s="1" t="s">
        <v>1</v>
      </c>
      <c r="D1016" s="1" t="s">
        <v>12711</v>
      </c>
      <c r="E1016" s="1" t="s">
        <v>12712</v>
      </c>
      <c r="F1016" s="1" t="s">
        <v>12713</v>
      </c>
      <c r="G1016" s="2" t="s">
        <v>25</v>
      </c>
      <c r="H1016" s="2" t="s">
        <v>6</v>
      </c>
      <c r="I1016" s="2" t="s">
        <v>7</v>
      </c>
      <c r="J1016" s="2" t="s">
        <v>8</v>
      </c>
      <c r="K1016" s="2" t="s">
        <v>8</v>
      </c>
      <c r="L1016" s="2" t="s">
        <v>9</v>
      </c>
      <c r="N1016" s="1" t="s">
        <v>12715</v>
      </c>
      <c r="O1016" s="2" t="s">
        <v>549</v>
      </c>
      <c r="Q1016" s="2" t="s">
        <v>12</v>
      </c>
      <c r="R1016" s="2" t="s">
        <v>1211</v>
      </c>
      <c r="T1016" s="2" t="s">
        <v>14</v>
      </c>
      <c r="U1016" s="3">
        <v>1</v>
      </c>
      <c r="V1016" s="3">
        <v>2</v>
      </c>
      <c r="X1016" s="4" t="s">
        <v>1953</v>
      </c>
      <c r="Y1016" s="4" t="s">
        <v>976</v>
      </c>
      <c r="Z1016" s="4" t="s">
        <v>976</v>
      </c>
      <c r="AA1016" s="3">
        <v>20</v>
      </c>
      <c r="AB1016" s="3">
        <v>15</v>
      </c>
      <c r="AC1016" s="3">
        <v>17</v>
      </c>
      <c r="AD1016" s="3">
        <v>1</v>
      </c>
      <c r="AE1016" s="3">
        <v>1</v>
      </c>
      <c r="AF1016" s="3">
        <v>0</v>
      </c>
      <c r="AG1016" s="3">
        <v>0</v>
      </c>
      <c r="AH1016" s="3">
        <v>0</v>
      </c>
      <c r="AI1016" s="3">
        <v>0</v>
      </c>
      <c r="AJ1016" s="3">
        <v>0</v>
      </c>
      <c r="AK1016" s="3">
        <v>0</v>
      </c>
      <c r="AL1016" s="3">
        <v>0</v>
      </c>
      <c r="AM1016" s="3">
        <v>0</v>
      </c>
      <c r="AN1016" s="3">
        <v>0</v>
      </c>
      <c r="AO1016" s="3">
        <v>0</v>
      </c>
      <c r="AP1016" s="3">
        <v>0</v>
      </c>
      <c r="AQ1016" s="3">
        <v>0</v>
      </c>
      <c r="AR1016" s="2" t="s">
        <v>8</v>
      </c>
      <c r="AS1016" s="2" t="s">
        <v>6</v>
      </c>
      <c r="AT1016" s="5" t="str">
        <f t="shared" si="0"/>
        <v>HathiTrust Record</v>
      </c>
      <c r="AU1016" s="5" t="str">
        <f t="shared" si="1"/>
        <v>Catalog Record</v>
      </c>
      <c r="AV1016" s="5" t="str">
        <f t="shared" si="2"/>
        <v>WorldCat Record</v>
      </c>
      <c r="AW1016" s="2" t="s">
        <v>12716</v>
      </c>
      <c r="AX1016" s="2" t="s">
        <v>12717</v>
      </c>
      <c r="AY1016" s="2" t="s">
        <v>12718</v>
      </c>
      <c r="AZ1016" s="2" t="s">
        <v>12718</v>
      </c>
      <c r="BA1016" s="2" t="s">
        <v>12719</v>
      </c>
      <c r="BB1016" s="2" t="s">
        <v>21</v>
      </c>
      <c r="BE1016" s="2" t="s">
        <v>12742</v>
      </c>
      <c r="BF1016" s="2" t="s">
        <v>12743</v>
      </c>
    </row>
    <row r="1017" spans="1:58" ht="42.75" customHeight="1" x14ac:dyDescent="0.25">
      <c r="A1017" s="8" t="s">
        <v>8</v>
      </c>
      <c r="B1017" s="1" t="s">
        <v>0</v>
      </c>
      <c r="C1017" s="1" t="s">
        <v>1</v>
      </c>
      <c r="D1017" s="1" t="s">
        <v>12744</v>
      </c>
      <c r="E1017" s="1" t="s">
        <v>12745</v>
      </c>
      <c r="F1017" s="1" t="s">
        <v>12746</v>
      </c>
      <c r="H1017" s="2" t="s">
        <v>8</v>
      </c>
      <c r="I1017" s="2" t="s">
        <v>7</v>
      </c>
      <c r="J1017" s="2" t="s">
        <v>8</v>
      </c>
      <c r="K1017" s="2" t="s">
        <v>8</v>
      </c>
      <c r="L1017" s="2" t="s">
        <v>9</v>
      </c>
      <c r="M1017" s="1" t="s">
        <v>12747</v>
      </c>
      <c r="N1017" s="1" t="s">
        <v>12748</v>
      </c>
      <c r="O1017" s="2" t="s">
        <v>657</v>
      </c>
      <c r="P1017" s="1" t="s">
        <v>83</v>
      </c>
      <c r="Q1017" s="2" t="s">
        <v>12</v>
      </c>
      <c r="R1017" s="2" t="s">
        <v>5791</v>
      </c>
      <c r="S1017" s="1" t="s">
        <v>12749</v>
      </c>
      <c r="T1017" s="2" t="s">
        <v>14</v>
      </c>
      <c r="U1017" s="3">
        <v>5</v>
      </c>
      <c r="V1017" s="3">
        <v>5</v>
      </c>
      <c r="W1017" s="4" t="s">
        <v>12750</v>
      </c>
      <c r="X1017" s="4" t="s">
        <v>12750</v>
      </c>
      <c r="Y1017" s="4" t="s">
        <v>8931</v>
      </c>
      <c r="Z1017" s="4" t="s">
        <v>8931</v>
      </c>
      <c r="AA1017" s="3">
        <v>318</v>
      </c>
      <c r="AB1017" s="3">
        <v>222</v>
      </c>
      <c r="AC1017" s="3">
        <v>445</v>
      </c>
      <c r="AD1017" s="3">
        <v>3</v>
      </c>
      <c r="AE1017" s="3">
        <v>5</v>
      </c>
      <c r="AF1017" s="3">
        <v>11</v>
      </c>
      <c r="AG1017" s="3">
        <v>18</v>
      </c>
      <c r="AH1017" s="3">
        <v>2</v>
      </c>
      <c r="AI1017" s="3">
        <v>3</v>
      </c>
      <c r="AJ1017" s="3">
        <v>2</v>
      </c>
      <c r="AK1017" s="3">
        <v>2</v>
      </c>
      <c r="AL1017" s="3">
        <v>6</v>
      </c>
      <c r="AM1017" s="3">
        <v>9</v>
      </c>
      <c r="AN1017" s="3">
        <v>2</v>
      </c>
      <c r="AO1017" s="3">
        <v>4</v>
      </c>
      <c r="AP1017" s="3">
        <v>1</v>
      </c>
      <c r="AQ1017" s="3">
        <v>3</v>
      </c>
      <c r="AR1017" s="2" t="s">
        <v>8</v>
      </c>
      <c r="AS1017" s="2" t="s">
        <v>8</v>
      </c>
      <c r="AU1017" s="5" t="str">
        <f>HYPERLINK("https://creighton-primo.hosted.exlibrisgroup.com/primo-explore/search?tab=default_tab&amp;search_scope=EVERYTHING&amp;vid=01CRU&amp;lang=en_US&amp;offset=0&amp;query=any,contains,991000679379702656","Catalog Record")</f>
        <v>Catalog Record</v>
      </c>
      <c r="AV1017" s="5" t="str">
        <f>HYPERLINK("http://www.worldcat.org/oclc/46548277","WorldCat Record")</f>
        <v>WorldCat Record</v>
      </c>
      <c r="AW1017" s="2" t="s">
        <v>12751</v>
      </c>
      <c r="AX1017" s="2" t="s">
        <v>12752</v>
      </c>
      <c r="AY1017" s="2" t="s">
        <v>12753</v>
      </c>
      <c r="AZ1017" s="2" t="s">
        <v>12753</v>
      </c>
      <c r="BA1017" s="2" t="s">
        <v>12754</v>
      </c>
      <c r="BB1017" s="2" t="s">
        <v>21</v>
      </c>
      <c r="BD1017" s="2" t="s">
        <v>12755</v>
      </c>
      <c r="BE1017" s="2" t="s">
        <v>12756</v>
      </c>
      <c r="BF1017" s="2" t="s">
        <v>12757</v>
      </c>
    </row>
    <row r="1018" spans="1:58" ht="42.75" customHeight="1" x14ac:dyDescent="0.25">
      <c r="A1018" s="8" t="s">
        <v>8</v>
      </c>
      <c r="B1018" s="1" t="s">
        <v>0</v>
      </c>
      <c r="C1018" s="1" t="s">
        <v>1</v>
      </c>
      <c r="D1018" s="1" t="s">
        <v>12758</v>
      </c>
      <c r="E1018" s="1" t="s">
        <v>12759</v>
      </c>
      <c r="F1018" s="1" t="s">
        <v>12760</v>
      </c>
      <c r="H1018" s="2" t="s">
        <v>8</v>
      </c>
      <c r="I1018" s="2" t="s">
        <v>7</v>
      </c>
      <c r="J1018" s="2" t="s">
        <v>8</v>
      </c>
      <c r="K1018" s="2" t="s">
        <v>8</v>
      </c>
      <c r="L1018" s="2" t="s">
        <v>9</v>
      </c>
      <c r="M1018" s="1" t="s">
        <v>12761</v>
      </c>
      <c r="N1018" s="1" t="s">
        <v>12762</v>
      </c>
      <c r="O1018" s="2" t="s">
        <v>51</v>
      </c>
      <c r="P1018" s="1" t="s">
        <v>732</v>
      </c>
      <c r="Q1018" s="2" t="s">
        <v>12</v>
      </c>
      <c r="R1018" s="2" t="s">
        <v>7008</v>
      </c>
      <c r="T1018" s="2" t="s">
        <v>14</v>
      </c>
      <c r="U1018" s="3">
        <v>11</v>
      </c>
      <c r="V1018" s="3">
        <v>11</v>
      </c>
      <c r="W1018" s="4" t="s">
        <v>6417</v>
      </c>
      <c r="X1018" s="4" t="s">
        <v>6417</v>
      </c>
      <c r="Y1018" s="4" t="s">
        <v>12763</v>
      </c>
      <c r="Z1018" s="4" t="s">
        <v>12763</v>
      </c>
      <c r="AA1018" s="3">
        <v>137</v>
      </c>
      <c r="AB1018" s="3">
        <v>69</v>
      </c>
      <c r="AC1018" s="3">
        <v>147</v>
      </c>
      <c r="AD1018" s="3">
        <v>1</v>
      </c>
      <c r="AE1018" s="3">
        <v>1</v>
      </c>
      <c r="AF1018" s="3">
        <v>0</v>
      </c>
      <c r="AG1018" s="3">
        <v>3</v>
      </c>
      <c r="AH1018" s="3">
        <v>0</v>
      </c>
      <c r="AI1018" s="3">
        <v>0</v>
      </c>
      <c r="AJ1018" s="3">
        <v>0</v>
      </c>
      <c r="AK1018" s="3">
        <v>0</v>
      </c>
      <c r="AL1018" s="3">
        <v>0</v>
      </c>
      <c r="AM1018" s="3">
        <v>0</v>
      </c>
      <c r="AN1018" s="3">
        <v>0</v>
      </c>
      <c r="AO1018" s="3">
        <v>0</v>
      </c>
      <c r="AP1018" s="3">
        <v>0</v>
      </c>
      <c r="AQ1018" s="3">
        <v>3</v>
      </c>
      <c r="AR1018" s="2" t="s">
        <v>8</v>
      </c>
      <c r="AS1018" s="2" t="s">
        <v>8</v>
      </c>
      <c r="AU1018" s="5" t="str">
        <f>HYPERLINK("https://creighton-primo.hosted.exlibrisgroup.com/primo-explore/search?tab=default_tab&amp;search_scope=EVERYTHING&amp;vid=01CRU&amp;lang=en_US&amp;offset=0&amp;query=any,contains,991001419959702656","Catalog Record")</f>
        <v>Catalog Record</v>
      </c>
      <c r="AV1018" s="5" t="str">
        <f>HYPERLINK("http://www.worldcat.org/oclc/16526391","WorldCat Record")</f>
        <v>WorldCat Record</v>
      </c>
      <c r="AW1018" s="2" t="s">
        <v>12764</v>
      </c>
      <c r="AX1018" s="2" t="s">
        <v>12765</v>
      </c>
      <c r="AY1018" s="2" t="s">
        <v>12766</v>
      </c>
      <c r="AZ1018" s="2" t="s">
        <v>12766</v>
      </c>
      <c r="BA1018" s="2" t="s">
        <v>12767</v>
      </c>
      <c r="BB1018" s="2" t="s">
        <v>21</v>
      </c>
      <c r="BD1018" s="2" t="s">
        <v>12768</v>
      </c>
      <c r="BE1018" s="2" t="s">
        <v>12769</v>
      </c>
      <c r="BF1018" s="2" t="s">
        <v>12770</v>
      </c>
    </row>
    <row r="1019" spans="1:58" ht="42.75" customHeight="1" x14ac:dyDescent="0.25">
      <c r="A1019" s="8" t="s">
        <v>8</v>
      </c>
      <c r="B1019" s="1" t="s">
        <v>0</v>
      </c>
      <c r="C1019" s="1" t="s">
        <v>1</v>
      </c>
      <c r="D1019" s="1" t="s">
        <v>12771</v>
      </c>
      <c r="E1019" s="1" t="s">
        <v>12772</v>
      </c>
      <c r="F1019" s="1" t="s">
        <v>12773</v>
      </c>
      <c r="H1019" s="2" t="s">
        <v>8</v>
      </c>
      <c r="I1019" s="2" t="s">
        <v>7</v>
      </c>
      <c r="J1019" s="2" t="s">
        <v>8</v>
      </c>
      <c r="K1019" s="2" t="s">
        <v>8</v>
      </c>
      <c r="L1019" s="2" t="s">
        <v>9</v>
      </c>
      <c r="M1019" s="1" t="s">
        <v>12774</v>
      </c>
      <c r="N1019" s="1" t="s">
        <v>12775</v>
      </c>
      <c r="O1019" s="2" t="s">
        <v>51</v>
      </c>
      <c r="Q1019" s="2" t="s">
        <v>12</v>
      </c>
      <c r="R1019" s="2" t="s">
        <v>34</v>
      </c>
      <c r="T1019" s="2" t="s">
        <v>14</v>
      </c>
      <c r="U1019" s="3">
        <v>13</v>
      </c>
      <c r="V1019" s="3">
        <v>13</v>
      </c>
      <c r="W1019" s="4" t="s">
        <v>12776</v>
      </c>
      <c r="X1019" s="4" t="s">
        <v>12776</v>
      </c>
      <c r="Y1019" s="4" t="s">
        <v>6846</v>
      </c>
      <c r="Z1019" s="4" t="s">
        <v>6846</v>
      </c>
      <c r="AA1019" s="3">
        <v>103</v>
      </c>
      <c r="AB1019" s="3">
        <v>63</v>
      </c>
      <c r="AC1019" s="3">
        <v>151</v>
      </c>
      <c r="AD1019" s="3">
        <v>1</v>
      </c>
      <c r="AE1019" s="3">
        <v>3</v>
      </c>
      <c r="AF1019" s="3">
        <v>0</v>
      </c>
      <c r="AG1019" s="3">
        <v>4</v>
      </c>
      <c r="AH1019" s="3">
        <v>0</v>
      </c>
      <c r="AI1019" s="3">
        <v>0</v>
      </c>
      <c r="AJ1019" s="3">
        <v>0</v>
      </c>
      <c r="AK1019" s="3">
        <v>1</v>
      </c>
      <c r="AL1019" s="3">
        <v>0</v>
      </c>
      <c r="AM1019" s="3">
        <v>2</v>
      </c>
      <c r="AN1019" s="3">
        <v>0</v>
      </c>
      <c r="AO1019" s="3">
        <v>2</v>
      </c>
      <c r="AP1019" s="3">
        <v>0</v>
      </c>
      <c r="AQ1019" s="3">
        <v>0</v>
      </c>
      <c r="AR1019" s="2" t="s">
        <v>8</v>
      </c>
      <c r="AS1019" s="2" t="s">
        <v>6</v>
      </c>
      <c r="AT1019" s="5" t="str">
        <f>HYPERLINK("http://catalog.hathitrust.org/Record/000872509","HathiTrust Record")</f>
        <v>HathiTrust Record</v>
      </c>
      <c r="AU1019" s="5" t="str">
        <f>HYPERLINK("https://creighton-primo.hosted.exlibrisgroup.com/primo-explore/search?tab=default_tab&amp;search_scope=EVERYTHING&amp;vid=01CRU&amp;lang=en_US&amp;offset=0&amp;query=any,contains,991001184699702656","Catalog Record")</f>
        <v>Catalog Record</v>
      </c>
      <c r="AV1019" s="5" t="str">
        <f>HYPERLINK("http://www.worldcat.org/oclc/15858504","WorldCat Record")</f>
        <v>WorldCat Record</v>
      </c>
      <c r="AW1019" s="2" t="s">
        <v>12777</v>
      </c>
      <c r="AX1019" s="2" t="s">
        <v>12778</v>
      </c>
      <c r="AY1019" s="2" t="s">
        <v>12779</v>
      </c>
      <c r="AZ1019" s="2" t="s">
        <v>12779</v>
      </c>
      <c r="BA1019" s="2" t="s">
        <v>12780</v>
      </c>
      <c r="BB1019" s="2" t="s">
        <v>21</v>
      </c>
      <c r="BD1019" s="2" t="s">
        <v>12781</v>
      </c>
      <c r="BE1019" s="2" t="s">
        <v>12782</v>
      </c>
      <c r="BF1019" s="2" t="s">
        <v>12783</v>
      </c>
    </row>
    <row r="1020" spans="1:58" ht="42.75" customHeight="1" x14ac:dyDescent="0.25">
      <c r="A1020" s="8" t="s">
        <v>8</v>
      </c>
      <c r="B1020" s="1" t="s">
        <v>0</v>
      </c>
      <c r="C1020" s="1" t="s">
        <v>1</v>
      </c>
      <c r="D1020" s="1" t="s">
        <v>12784</v>
      </c>
      <c r="E1020" s="1" t="s">
        <v>12785</v>
      </c>
      <c r="F1020" s="1" t="s">
        <v>12786</v>
      </c>
      <c r="H1020" s="2" t="s">
        <v>8</v>
      </c>
      <c r="I1020" s="2" t="s">
        <v>7</v>
      </c>
      <c r="J1020" s="2" t="s">
        <v>8</v>
      </c>
      <c r="K1020" s="2" t="s">
        <v>8</v>
      </c>
      <c r="L1020" s="2" t="s">
        <v>9</v>
      </c>
      <c r="M1020" s="1" t="s">
        <v>12787</v>
      </c>
      <c r="N1020" s="1" t="s">
        <v>12788</v>
      </c>
      <c r="O1020" s="2" t="s">
        <v>1017</v>
      </c>
      <c r="Q1020" s="2" t="s">
        <v>12</v>
      </c>
      <c r="R1020" s="2" t="s">
        <v>520</v>
      </c>
      <c r="T1020" s="2" t="s">
        <v>14</v>
      </c>
      <c r="U1020" s="3">
        <v>3</v>
      </c>
      <c r="V1020" s="3">
        <v>3</v>
      </c>
      <c r="W1020" s="4" t="s">
        <v>12789</v>
      </c>
      <c r="X1020" s="4" t="s">
        <v>12789</v>
      </c>
      <c r="Y1020" s="4" t="s">
        <v>148</v>
      </c>
      <c r="Z1020" s="4" t="s">
        <v>148</v>
      </c>
      <c r="AA1020" s="3">
        <v>101</v>
      </c>
      <c r="AB1020" s="3">
        <v>92</v>
      </c>
      <c r="AC1020" s="3">
        <v>148</v>
      </c>
      <c r="AD1020" s="3">
        <v>1</v>
      </c>
      <c r="AE1020" s="3">
        <v>1</v>
      </c>
      <c r="AF1020" s="3">
        <v>2</v>
      </c>
      <c r="AG1020" s="3">
        <v>9</v>
      </c>
      <c r="AH1020" s="3">
        <v>1</v>
      </c>
      <c r="AI1020" s="3">
        <v>1</v>
      </c>
      <c r="AJ1020" s="3">
        <v>0</v>
      </c>
      <c r="AK1020" s="3">
        <v>0</v>
      </c>
      <c r="AL1020" s="3">
        <v>0</v>
      </c>
      <c r="AM1020" s="3">
        <v>0</v>
      </c>
      <c r="AN1020" s="3">
        <v>0</v>
      </c>
      <c r="AO1020" s="3">
        <v>0</v>
      </c>
      <c r="AP1020" s="3">
        <v>1</v>
      </c>
      <c r="AQ1020" s="3">
        <v>8</v>
      </c>
      <c r="AR1020" s="2" t="s">
        <v>8</v>
      </c>
      <c r="AS1020" s="2" t="s">
        <v>6</v>
      </c>
      <c r="AT1020" s="5" t="str">
        <f>HYPERLINK("http://catalog.hathitrust.org/Record/001581856","HathiTrust Record")</f>
        <v>HathiTrust Record</v>
      </c>
      <c r="AU1020" s="5" t="str">
        <f>HYPERLINK("https://creighton-primo.hosted.exlibrisgroup.com/primo-explore/search?tab=default_tab&amp;search_scope=EVERYTHING&amp;vid=01CRU&amp;lang=en_US&amp;offset=0&amp;query=any,contains,991001544719702656","Catalog Record")</f>
        <v>Catalog Record</v>
      </c>
      <c r="AV1020" s="5" t="str">
        <f>HYPERLINK("http://www.worldcat.org/oclc/1117395","WorldCat Record")</f>
        <v>WorldCat Record</v>
      </c>
      <c r="AW1020" s="2" t="s">
        <v>12790</v>
      </c>
      <c r="AX1020" s="2" t="s">
        <v>12791</v>
      </c>
      <c r="AY1020" s="2" t="s">
        <v>12792</v>
      </c>
      <c r="AZ1020" s="2" t="s">
        <v>12792</v>
      </c>
      <c r="BA1020" s="2" t="s">
        <v>12793</v>
      </c>
      <c r="BB1020" s="2" t="s">
        <v>21</v>
      </c>
      <c r="BE1020" s="2" t="s">
        <v>12794</v>
      </c>
      <c r="BF1020" s="2" t="s">
        <v>12795</v>
      </c>
    </row>
    <row r="1021" spans="1:58" ht="42.75" customHeight="1" x14ac:dyDescent="0.25">
      <c r="A1021" s="8" t="s">
        <v>8</v>
      </c>
      <c r="B1021" s="1" t="s">
        <v>0</v>
      </c>
      <c r="C1021" s="1" t="s">
        <v>1</v>
      </c>
      <c r="D1021" s="1" t="s">
        <v>12796</v>
      </c>
      <c r="E1021" s="1" t="s">
        <v>12797</v>
      </c>
      <c r="F1021" s="1" t="s">
        <v>12798</v>
      </c>
      <c r="H1021" s="2" t="s">
        <v>8</v>
      </c>
      <c r="I1021" s="2" t="s">
        <v>7</v>
      </c>
      <c r="J1021" s="2" t="s">
        <v>8</v>
      </c>
      <c r="K1021" s="2" t="s">
        <v>8</v>
      </c>
      <c r="L1021" s="2" t="s">
        <v>9</v>
      </c>
      <c r="N1021" s="1" t="s">
        <v>12799</v>
      </c>
      <c r="O1021" s="2" t="s">
        <v>298</v>
      </c>
      <c r="Q1021" s="2" t="s">
        <v>12</v>
      </c>
      <c r="R1021" s="2" t="s">
        <v>34</v>
      </c>
      <c r="T1021" s="2" t="s">
        <v>14</v>
      </c>
      <c r="U1021" s="3">
        <v>9</v>
      </c>
      <c r="V1021" s="3">
        <v>9</v>
      </c>
      <c r="W1021" s="4" t="s">
        <v>12800</v>
      </c>
      <c r="X1021" s="4" t="s">
        <v>12800</v>
      </c>
      <c r="Y1021" s="4" t="s">
        <v>1632</v>
      </c>
      <c r="Z1021" s="4" t="s">
        <v>1632</v>
      </c>
      <c r="AA1021" s="3">
        <v>106</v>
      </c>
      <c r="AB1021" s="3">
        <v>78</v>
      </c>
      <c r="AC1021" s="3">
        <v>80</v>
      </c>
      <c r="AD1021" s="3">
        <v>1</v>
      </c>
      <c r="AE1021" s="3">
        <v>1</v>
      </c>
      <c r="AF1021" s="3">
        <v>7</v>
      </c>
      <c r="AG1021" s="3">
        <v>7</v>
      </c>
      <c r="AH1021" s="3">
        <v>0</v>
      </c>
      <c r="AI1021" s="3">
        <v>0</v>
      </c>
      <c r="AJ1021" s="3">
        <v>2</v>
      </c>
      <c r="AK1021" s="3">
        <v>2</v>
      </c>
      <c r="AL1021" s="3">
        <v>2</v>
      </c>
      <c r="AM1021" s="3">
        <v>2</v>
      </c>
      <c r="AN1021" s="3">
        <v>0</v>
      </c>
      <c r="AO1021" s="3">
        <v>0</v>
      </c>
      <c r="AP1021" s="3">
        <v>4</v>
      </c>
      <c r="AQ1021" s="3">
        <v>4</v>
      </c>
      <c r="AR1021" s="2" t="s">
        <v>8</v>
      </c>
      <c r="AS1021" s="2" t="s">
        <v>6</v>
      </c>
      <c r="AT1021" s="5" t="str">
        <f>HYPERLINK("http://catalog.hathitrust.org/Record/000868168","HathiTrust Record")</f>
        <v>HathiTrust Record</v>
      </c>
      <c r="AU1021" s="5" t="str">
        <f>HYPERLINK("https://creighton-primo.hosted.exlibrisgroup.com/primo-explore/search?tab=default_tab&amp;search_scope=EVERYTHING&amp;vid=01CRU&amp;lang=en_US&amp;offset=0&amp;query=any,contains,991001536069702656","Catalog Record")</f>
        <v>Catalog Record</v>
      </c>
      <c r="AV1021" s="5" t="str">
        <f>HYPERLINK("http://www.worldcat.org/oclc/14966334","WorldCat Record")</f>
        <v>WorldCat Record</v>
      </c>
      <c r="AW1021" s="2" t="s">
        <v>12801</v>
      </c>
      <c r="AX1021" s="2" t="s">
        <v>12802</v>
      </c>
      <c r="AY1021" s="2" t="s">
        <v>12803</v>
      </c>
      <c r="AZ1021" s="2" t="s">
        <v>12803</v>
      </c>
      <c r="BA1021" s="2" t="s">
        <v>12804</v>
      </c>
      <c r="BB1021" s="2" t="s">
        <v>21</v>
      </c>
      <c r="BD1021" s="2" t="s">
        <v>12805</v>
      </c>
      <c r="BE1021" s="2" t="s">
        <v>12806</v>
      </c>
      <c r="BF1021" s="2" t="s">
        <v>12807</v>
      </c>
    </row>
    <row r="1022" spans="1:58" ht="42.75" customHeight="1" x14ac:dyDescent="0.25">
      <c r="A1022" s="8" t="s">
        <v>8</v>
      </c>
      <c r="B1022" s="1" t="s">
        <v>0</v>
      </c>
      <c r="C1022" s="1" t="s">
        <v>1</v>
      </c>
      <c r="D1022" s="1" t="s">
        <v>12808</v>
      </c>
      <c r="E1022" s="1" t="s">
        <v>12809</v>
      </c>
      <c r="F1022" s="1" t="s">
        <v>12810</v>
      </c>
      <c r="H1022" s="2" t="s">
        <v>8</v>
      </c>
      <c r="I1022" s="2" t="s">
        <v>7</v>
      </c>
      <c r="J1022" s="2" t="s">
        <v>8</v>
      </c>
      <c r="K1022" s="2" t="s">
        <v>8</v>
      </c>
      <c r="L1022" s="2" t="s">
        <v>9</v>
      </c>
      <c r="M1022" s="1" t="s">
        <v>12811</v>
      </c>
      <c r="N1022" s="1" t="s">
        <v>12812</v>
      </c>
      <c r="O1022" s="2" t="s">
        <v>114</v>
      </c>
      <c r="Q1022" s="2" t="s">
        <v>12</v>
      </c>
      <c r="R1022" s="2" t="s">
        <v>456</v>
      </c>
      <c r="T1022" s="2" t="s">
        <v>14</v>
      </c>
      <c r="U1022" s="3">
        <v>16</v>
      </c>
      <c r="V1022" s="3">
        <v>16</v>
      </c>
      <c r="W1022" s="4" t="s">
        <v>12800</v>
      </c>
      <c r="X1022" s="4" t="s">
        <v>12800</v>
      </c>
      <c r="Y1022" s="4" t="s">
        <v>12469</v>
      </c>
      <c r="Z1022" s="4" t="s">
        <v>12469</v>
      </c>
      <c r="AA1022" s="3">
        <v>197</v>
      </c>
      <c r="AB1022" s="3">
        <v>148</v>
      </c>
      <c r="AC1022" s="3">
        <v>150</v>
      </c>
      <c r="AD1022" s="3">
        <v>2</v>
      </c>
      <c r="AE1022" s="3">
        <v>2</v>
      </c>
      <c r="AF1022" s="3">
        <v>6</v>
      </c>
      <c r="AG1022" s="3">
        <v>6</v>
      </c>
      <c r="AH1022" s="3">
        <v>0</v>
      </c>
      <c r="AI1022" s="3">
        <v>0</v>
      </c>
      <c r="AJ1022" s="3">
        <v>2</v>
      </c>
      <c r="AK1022" s="3">
        <v>2</v>
      </c>
      <c r="AL1022" s="3">
        <v>2</v>
      </c>
      <c r="AM1022" s="3">
        <v>2</v>
      </c>
      <c r="AN1022" s="3">
        <v>1</v>
      </c>
      <c r="AO1022" s="3">
        <v>1</v>
      </c>
      <c r="AP1022" s="3">
        <v>2</v>
      </c>
      <c r="AQ1022" s="3">
        <v>2</v>
      </c>
      <c r="AR1022" s="2" t="s">
        <v>8</v>
      </c>
      <c r="AS1022" s="2" t="s">
        <v>6</v>
      </c>
      <c r="AT1022" s="5" t="str">
        <f>HYPERLINK("http://catalog.hathitrust.org/Record/001572310","HathiTrust Record")</f>
        <v>HathiTrust Record</v>
      </c>
      <c r="AU1022" s="5" t="str">
        <f>HYPERLINK("https://creighton-primo.hosted.exlibrisgroup.com/primo-explore/search?tab=default_tab&amp;search_scope=EVERYTHING&amp;vid=01CRU&amp;lang=en_US&amp;offset=0&amp;query=any,contains,991001544749702656","Catalog Record")</f>
        <v>Catalog Record</v>
      </c>
      <c r="AV1022" s="5" t="str">
        <f>HYPERLINK("http://www.worldcat.org/oclc/596381","WorldCat Record")</f>
        <v>WorldCat Record</v>
      </c>
      <c r="AW1022" s="2" t="s">
        <v>12813</v>
      </c>
      <c r="AX1022" s="2" t="s">
        <v>12814</v>
      </c>
      <c r="AY1022" s="2" t="s">
        <v>12815</v>
      </c>
      <c r="AZ1022" s="2" t="s">
        <v>12815</v>
      </c>
      <c r="BA1022" s="2" t="s">
        <v>12816</v>
      </c>
      <c r="BB1022" s="2" t="s">
        <v>21</v>
      </c>
      <c r="BD1022" s="2" t="s">
        <v>12817</v>
      </c>
      <c r="BE1022" s="2" t="s">
        <v>12818</v>
      </c>
      <c r="BF1022" s="2" t="s">
        <v>12819</v>
      </c>
    </row>
    <row r="1023" spans="1:58" ht="42.75" customHeight="1" x14ac:dyDescent="0.25">
      <c r="A1023" s="8" t="s">
        <v>8</v>
      </c>
      <c r="B1023" s="1" t="s">
        <v>0</v>
      </c>
      <c r="C1023" s="1" t="s">
        <v>1</v>
      </c>
      <c r="D1023" s="1" t="s">
        <v>12820</v>
      </c>
      <c r="E1023" s="1" t="s">
        <v>12821</v>
      </c>
      <c r="F1023" s="1" t="s">
        <v>12822</v>
      </c>
      <c r="H1023" s="2" t="s">
        <v>8</v>
      </c>
      <c r="I1023" s="2" t="s">
        <v>7</v>
      </c>
      <c r="J1023" s="2" t="s">
        <v>8</v>
      </c>
      <c r="K1023" s="2" t="s">
        <v>8</v>
      </c>
      <c r="L1023" s="2" t="s">
        <v>9</v>
      </c>
      <c r="M1023" s="1" t="s">
        <v>12823</v>
      </c>
      <c r="N1023" s="1" t="s">
        <v>12824</v>
      </c>
      <c r="O1023" s="2" t="s">
        <v>1327</v>
      </c>
      <c r="Q1023" s="2" t="s">
        <v>12</v>
      </c>
      <c r="R1023" s="2" t="s">
        <v>658</v>
      </c>
      <c r="S1023" s="1" t="s">
        <v>12825</v>
      </c>
      <c r="T1023" s="2" t="s">
        <v>14</v>
      </c>
      <c r="U1023" s="3">
        <v>4</v>
      </c>
      <c r="V1023" s="3">
        <v>4</v>
      </c>
      <c r="W1023" s="4" t="s">
        <v>12826</v>
      </c>
      <c r="X1023" s="4" t="s">
        <v>12826</v>
      </c>
      <c r="Y1023" s="4" t="s">
        <v>6466</v>
      </c>
      <c r="Z1023" s="4" t="s">
        <v>6466</v>
      </c>
      <c r="AA1023" s="3">
        <v>234</v>
      </c>
      <c r="AB1023" s="3">
        <v>223</v>
      </c>
      <c r="AC1023" s="3">
        <v>226</v>
      </c>
      <c r="AD1023" s="3">
        <v>3</v>
      </c>
      <c r="AE1023" s="3">
        <v>3</v>
      </c>
      <c r="AF1023" s="3">
        <v>19</v>
      </c>
      <c r="AG1023" s="3">
        <v>19</v>
      </c>
      <c r="AH1023" s="3">
        <v>0</v>
      </c>
      <c r="AI1023" s="3">
        <v>0</v>
      </c>
      <c r="AJ1023" s="3">
        <v>1</v>
      </c>
      <c r="AK1023" s="3">
        <v>1</v>
      </c>
      <c r="AL1023" s="3">
        <v>2</v>
      </c>
      <c r="AM1023" s="3">
        <v>2</v>
      </c>
      <c r="AN1023" s="3">
        <v>1</v>
      </c>
      <c r="AO1023" s="3">
        <v>1</v>
      </c>
      <c r="AP1023" s="3">
        <v>16</v>
      </c>
      <c r="AQ1023" s="3">
        <v>16</v>
      </c>
      <c r="AR1023" s="2" t="s">
        <v>8</v>
      </c>
      <c r="AS1023" s="2" t="s">
        <v>8</v>
      </c>
      <c r="AU1023" s="5" t="str">
        <f>HYPERLINK("https://creighton-primo.hosted.exlibrisgroup.com/primo-explore/search?tab=default_tab&amp;search_scope=EVERYTHING&amp;vid=01CRU&amp;lang=en_US&amp;offset=0&amp;query=any,contains,991001527549702656","Catalog Record")</f>
        <v>Catalog Record</v>
      </c>
      <c r="AV1023" s="5" t="str">
        <f>HYPERLINK("http://www.worldcat.org/oclc/13581199","WorldCat Record")</f>
        <v>WorldCat Record</v>
      </c>
      <c r="AW1023" s="2" t="s">
        <v>12827</v>
      </c>
      <c r="AX1023" s="2" t="s">
        <v>12828</v>
      </c>
      <c r="AY1023" s="2" t="s">
        <v>12829</v>
      </c>
      <c r="AZ1023" s="2" t="s">
        <v>12829</v>
      </c>
      <c r="BA1023" s="2" t="s">
        <v>12830</v>
      </c>
      <c r="BB1023" s="2" t="s">
        <v>21</v>
      </c>
      <c r="BD1023" s="2" t="s">
        <v>12831</v>
      </c>
      <c r="BE1023" s="2" t="s">
        <v>12832</v>
      </c>
      <c r="BF1023" s="2" t="s">
        <v>12833</v>
      </c>
    </row>
    <row r="1024" spans="1:58" ht="42.75" customHeight="1" x14ac:dyDescent="0.25">
      <c r="A1024" s="8" t="s">
        <v>8</v>
      </c>
      <c r="B1024" s="1" t="s">
        <v>0</v>
      </c>
      <c r="C1024" s="1" t="s">
        <v>1</v>
      </c>
      <c r="D1024" s="1" t="s">
        <v>12834</v>
      </c>
      <c r="E1024" s="1" t="s">
        <v>12835</v>
      </c>
      <c r="F1024" s="1" t="s">
        <v>12836</v>
      </c>
      <c r="H1024" s="2" t="s">
        <v>8</v>
      </c>
      <c r="I1024" s="2" t="s">
        <v>7</v>
      </c>
      <c r="J1024" s="2" t="s">
        <v>6</v>
      </c>
      <c r="K1024" s="2" t="s">
        <v>8</v>
      </c>
      <c r="L1024" s="2" t="s">
        <v>9</v>
      </c>
      <c r="M1024" s="1" t="s">
        <v>12837</v>
      </c>
      <c r="N1024" s="1" t="s">
        <v>12838</v>
      </c>
      <c r="O1024" s="2" t="s">
        <v>440</v>
      </c>
      <c r="Q1024" s="2" t="s">
        <v>12</v>
      </c>
      <c r="R1024" s="2" t="s">
        <v>456</v>
      </c>
      <c r="T1024" s="2" t="s">
        <v>14</v>
      </c>
      <c r="U1024" s="3">
        <v>1</v>
      </c>
      <c r="V1024" s="3">
        <v>6</v>
      </c>
      <c r="X1024" s="4" t="s">
        <v>7123</v>
      </c>
      <c r="Y1024" s="4" t="s">
        <v>12469</v>
      </c>
      <c r="Z1024" s="4" t="s">
        <v>12839</v>
      </c>
      <c r="AA1024" s="3">
        <v>147</v>
      </c>
      <c r="AB1024" s="3">
        <v>127</v>
      </c>
      <c r="AC1024" s="3">
        <v>227</v>
      </c>
      <c r="AD1024" s="3">
        <v>3</v>
      </c>
      <c r="AE1024" s="3">
        <v>3</v>
      </c>
      <c r="AF1024" s="3">
        <v>11</v>
      </c>
      <c r="AG1024" s="3">
        <v>18</v>
      </c>
      <c r="AH1024" s="3">
        <v>1</v>
      </c>
      <c r="AI1024" s="3">
        <v>1</v>
      </c>
      <c r="AJ1024" s="3">
        <v>0</v>
      </c>
      <c r="AK1024" s="3">
        <v>0</v>
      </c>
      <c r="AL1024" s="3">
        <v>2</v>
      </c>
      <c r="AM1024" s="3">
        <v>3</v>
      </c>
      <c r="AN1024" s="3">
        <v>0</v>
      </c>
      <c r="AO1024" s="3">
        <v>0</v>
      </c>
      <c r="AP1024" s="3">
        <v>9</v>
      </c>
      <c r="AQ1024" s="3">
        <v>15</v>
      </c>
      <c r="AR1024" s="2" t="s">
        <v>6</v>
      </c>
      <c r="AS1024" s="2" t="s">
        <v>8</v>
      </c>
      <c r="AT1024" s="5" t="str">
        <f>HYPERLINK("http://catalog.hathitrust.org/Record/001560438","HathiTrust Record")</f>
        <v>HathiTrust Record</v>
      </c>
      <c r="AU1024" s="5" t="str">
        <f>HYPERLINK("https://creighton-primo.hosted.exlibrisgroup.com/primo-explore/search?tab=default_tab&amp;search_scope=EVERYTHING&amp;vid=01CRU&amp;lang=en_US&amp;offset=0&amp;query=any,contains,991001731379702656","Catalog Record")</f>
        <v>Catalog Record</v>
      </c>
      <c r="AV1024" s="5" t="str">
        <f>HYPERLINK("http://www.worldcat.org/oclc/81360683","WorldCat Record")</f>
        <v>WorldCat Record</v>
      </c>
      <c r="AW1024" s="2" t="s">
        <v>12840</v>
      </c>
      <c r="AX1024" s="2" t="s">
        <v>12841</v>
      </c>
      <c r="AY1024" s="2" t="s">
        <v>12842</v>
      </c>
      <c r="AZ1024" s="2" t="s">
        <v>12842</v>
      </c>
      <c r="BA1024" s="2" t="s">
        <v>12843</v>
      </c>
      <c r="BB1024" s="2" t="s">
        <v>21</v>
      </c>
      <c r="BE1024" s="2" t="s">
        <v>12844</v>
      </c>
      <c r="BF1024" s="2" t="s">
        <v>12845</v>
      </c>
    </row>
    <row r="1025" spans="1:58" ht="42.75" customHeight="1" x14ac:dyDescent="0.25">
      <c r="A1025" s="8" t="s">
        <v>8</v>
      </c>
      <c r="B1025" s="1" t="s">
        <v>0</v>
      </c>
      <c r="C1025" s="1" t="s">
        <v>1</v>
      </c>
      <c r="D1025" s="1" t="s">
        <v>12846</v>
      </c>
      <c r="E1025" s="1" t="s">
        <v>12847</v>
      </c>
      <c r="F1025" s="1" t="s">
        <v>12848</v>
      </c>
      <c r="H1025" s="2" t="s">
        <v>8</v>
      </c>
      <c r="I1025" s="2" t="s">
        <v>7</v>
      </c>
      <c r="J1025" s="2" t="s">
        <v>8</v>
      </c>
      <c r="K1025" s="2" t="s">
        <v>8</v>
      </c>
      <c r="L1025" s="2" t="s">
        <v>9</v>
      </c>
      <c r="N1025" s="1" t="s">
        <v>12849</v>
      </c>
      <c r="O1025" s="2" t="s">
        <v>642</v>
      </c>
      <c r="P1025" s="1" t="s">
        <v>1225</v>
      </c>
      <c r="Q1025" s="2" t="s">
        <v>12</v>
      </c>
      <c r="R1025" s="2" t="s">
        <v>1211</v>
      </c>
      <c r="T1025" s="2" t="s">
        <v>14</v>
      </c>
      <c r="U1025" s="3">
        <v>4</v>
      </c>
      <c r="V1025" s="3">
        <v>4</v>
      </c>
      <c r="W1025" s="4" t="s">
        <v>12826</v>
      </c>
      <c r="X1025" s="4" t="s">
        <v>12826</v>
      </c>
      <c r="Y1025" s="4" t="s">
        <v>6817</v>
      </c>
      <c r="Z1025" s="4" t="s">
        <v>6817</v>
      </c>
      <c r="AA1025" s="3">
        <v>157</v>
      </c>
      <c r="AB1025" s="3">
        <v>122</v>
      </c>
      <c r="AC1025" s="3">
        <v>511</v>
      </c>
      <c r="AD1025" s="3">
        <v>2</v>
      </c>
      <c r="AE1025" s="3">
        <v>17</v>
      </c>
      <c r="AF1025" s="3">
        <v>7</v>
      </c>
      <c r="AG1025" s="3">
        <v>23</v>
      </c>
      <c r="AH1025" s="3">
        <v>2</v>
      </c>
      <c r="AI1025" s="3">
        <v>6</v>
      </c>
      <c r="AJ1025" s="3">
        <v>2</v>
      </c>
      <c r="AK1025" s="3">
        <v>5</v>
      </c>
      <c r="AL1025" s="3">
        <v>3</v>
      </c>
      <c r="AM1025" s="3">
        <v>4</v>
      </c>
      <c r="AN1025" s="3">
        <v>1</v>
      </c>
      <c r="AO1025" s="3">
        <v>10</v>
      </c>
      <c r="AP1025" s="3">
        <v>1</v>
      </c>
      <c r="AQ1025" s="3">
        <v>1</v>
      </c>
      <c r="AR1025" s="2" t="s">
        <v>8</v>
      </c>
      <c r="AS1025" s="2" t="s">
        <v>6</v>
      </c>
      <c r="AT1025" s="5" t="str">
        <f>HYPERLINK("http://catalog.hathitrust.org/Record/004379456","HathiTrust Record")</f>
        <v>HathiTrust Record</v>
      </c>
      <c r="AU1025" s="5" t="str">
        <f>HYPERLINK("https://creighton-primo.hosted.exlibrisgroup.com/primo-explore/search?tab=default_tab&amp;search_scope=EVERYTHING&amp;vid=01CRU&amp;lang=en_US&amp;offset=0&amp;query=any,contains,991000380529702656","Catalog Record")</f>
        <v>Catalog Record</v>
      </c>
      <c r="AV1025" s="5" t="str">
        <f>HYPERLINK("http://www.worldcat.org/oclc/54007329","WorldCat Record")</f>
        <v>WorldCat Record</v>
      </c>
      <c r="AW1025" s="2" t="s">
        <v>12850</v>
      </c>
      <c r="AX1025" s="2" t="s">
        <v>12851</v>
      </c>
      <c r="AY1025" s="2" t="s">
        <v>12852</v>
      </c>
      <c r="AZ1025" s="2" t="s">
        <v>12852</v>
      </c>
      <c r="BA1025" s="2" t="s">
        <v>12853</v>
      </c>
      <c r="BB1025" s="2" t="s">
        <v>21</v>
      </c>
      <c r="BD1025" s="2" t="s">
        <v>12854</v>
      </c>
      <c r="BE1025" s="2" t="s">
        <v>12855</v>
      </c>
      <c r="BF1025" s="2" t="s">
        <v>12856</v>
      </c>
    </row>
    <row r="1026" spans="1:58" ht="42.75" customHeight="1" x14ac:dyDescent="0.25">
      <c r="A1026" s="8" t="s">
        <v>8</v>
      </c>
      <c r="B1026" s="1" t="s">
        <v>0</v>
      </c>
      <c r="C1026" s="1" t="s">
        <v>1</v>
      </c>
      <c r="D1026" s="1" t="s">
        <v>12857</v>
      </c>
      <c r="E1026" s="1" t="s">
        <v>12858</v>
      </c>
      <c r="F1026" s="1" t="s">
        <v>12859</v>
      </c>
      <c r="H1026" s="2" t="s">
        <v>8</v>
      </c>
      <c r="I1026" s="2" t="s">
        <v>7</v>
      </c>
      <c r="J1026" s="2" t="s">
        <v>8</v>
      </c>
      <c r="K1026" s="2" t="s">
        <v>8</v>
      </c>
      <c r="L1026" s="2" t="s">
        <v>9</v>
      </c>
      <c r="M1026" s="1" t="s">
        <v>12860</v>
      </c>
      <c r="N1026" s="1" t="s">
        <v>12861</v>
      </c>
      <c r="O1026" s="2" t="s">
        <v>298</v>
      </c>
      <c r="Q1026" s="2" t="s">
        <v>12</v>
      </c>
      <c r="R1026" s="2" t="s">
        <v>34</v>
      </c>
      <c r="T1026" s="2" t="s">
        <v>14</v>
      </c>
      <c r="U1026" s="3">
        <v>3</v>
      </c>
      <c r="V1026" s="3">
        <v>3</v>
      </c>
      <c r="W1026" s="4" t="s">
        <v>12862</v>
      </c>
      <c r="X1026" s="4" t="s">
        <v>12862</v>
      </c>
      <c r="Y1026" s="4" t="s">
        <v>148</v>
      </c>
      <c r="Z1026" s="4" t="s">
        <v>148</v>
      </c>
      <c r="AA1026" s="3">
        <v>355</v>
      </c>
      <c r="AB1026" s="3">
        <v>331</v>
      </c>
      <c r="AC1026" s="3">
        <v>338</v>
      </c>
      <c r="AD1026" s="3">
        <v>3</v>
      </c>
      <c r="AE1026" s="3">
        <v>3</v>
      </c>
      <c r="AF1026" s="3">
        <v>26</v>
      </c>
      <c r="AG1026" s="3">
        <v>26</v>
      </c>
      <c r="AH1026" s="3">
        <v>2</v>
      </c>
      <c r="AI1026" s="3">
        <v>2</v>
      </c>
      <c r="AJ1026" s="3">
        <v>5</v>
      </c>
      <c r="AK1026" s="3">
        <v>5</v>
      </c>
      <c r="AL1026" s="3">
        <v>8</v>
      </c>
      <c r="AM1026" s="3">
        <v>8</v>
      </c>
      <c r="AN1026" s="3">
        <v>2</v>
      </c>
      <c r="AO1026" s="3">
        <v>2</v>
      </c>
      <c r="AP1026" s="3">
        <v>11</v>
      </c>
      <c r="AQ1026" s="3">
        <v>11</v>
      </c>
      <c r="AR1026" s="2" t="s">
        <v>8</v>
      </c>
      <c r="AS1026" s="2" t="s">
        <v>6</v>
      </c>
      <c r="AT1026" s="5" t="str">
        <f>HYPERLINK("http://catalog.hathitrust.org/Record/000825578","HathiTrust Record")</f>
        <v>HathiTrust Record</v>
      </c>
      <c r="AU1026" s="5" t="str">
        <f>HYPERLINK("https://creighton-primo.hosted.exlibrisgroup.com/primo-explore/search?tab=default_tab&amp;search_scope=EVERYTHING&amp;vid=01CRU&amp;lang=en_US&amp;offset=0&amp;query=any,contains,991001264719702656","Catalog Record")</f>
        <v>Catalog Record</v>
      </c>
      <c r="AV1026" s="5" t="str">
        <f>HYPERLINK("http://www.worldcat.org/oclc/14358845","WorldCat Record")</f>
        <v>WorldCat Record</v>
      </c>
      <c r="AW1026" s="2" t="s">
        <v>12863</v>
      </c>
      <c r="AX1026" s="2" t="s">
        <v>12864</v>
      </c>
      <c r="AY1026" s="2" t="s">
        <v>12865</v>
      </c>
      <c r="AZ1026" s="2" t="s">
        <v>12865</v>
      </c>
      <c r="BA1026" s="2" t="s">
        <v>12866</v>
      </c>
      <c r="BB1026" s="2" t="s">
        <v>21</v>
      </c>
      <c r="BD1026" s="2" t="s">
        <v>12867</v>
      </c>
      <c r="BE1026" s="2" t="s">
        <v>12868</v>
      </c>
      <c r="BF1026" s="2" t="s">
        <v>12869</v>
      </c>
    </row>
    <row r="1027" spans="1:58" ht="42.75" customHeight="1" x14ac:dyDescent="0.25">
      <c r="A1027" s="8" t="s">
        <v>8</v>
      </c>
      <c r="B1027" s="1" t="s">
        <v>0</v>
      </c>
      <c r="C1027" s="1" t="s">
        <v>1</v>
      </c>
      <c r="D1027" s="1" t="s">
        <v>12870</v>
      </c>
      <c r="E1027" s="1" t="s">
        <v>12871</v>
      </c>
      <c r="F1027" s="1" t="s">
        <v>12872</v>
      </c>
      <c r="H1027" s="2" t="s">
        <v>8</v>
      </c>
      <c r="I1027" s="2" t="s">
        <v>7</v>
      </c>
      <c r="J1027" s="2" t="s">
        <v>8</v>
      </c>
      <c r="K1027" s="2" t="s">
        <v>8</v>
      </c>
      <c r="L1027" s="2" t="s">
        <v>9</v>
      </c>
      <c r="N1027" s="1" t="s">
        <v>12873</v>
      </c>
      <c r="O1027" s="2" t="s">
        <v>252</v>
      </c>
      <c r="Q1027" s="2" t="s">
        <v>12</v>
      </c>
      <c r="R1027" s="2" t="s">
        <v>34</v>
      </c>
      <c r="T1027" s="2" t="s">
        <v>14</v>
      </c>
      <c r="U1027" s="3">
        <v>4</v>
      </c>
      <c r="V1027" s="3">
        <v>4</v>
      </c>
      <c r="W1027" s="4" t="s">
        <v>6552</v>
      </c>
      <c r="X1027" s="4" t="s">
        <v>6552</v>
      </c>
      <c r="Y1027" s="4" t="s">
        <v>148</v>
      </c>
      <c r="Z1027" s="4" t="s">
        <v>148</v>
      </c>
      <c r="AA1027" s="3">
        <v>35</v>
      </c>
      <c r="AB1027" s="3">
        <v>30</v>
      </c>
      <c r="AC1027" s="3">
        <v>306</v>
      </c>
      <c r="AD1027" s="3">
        <v>1</v>
      </c>
      <c r="AE1027" s="3">
        <v>1</v>
      </c>
      <c r="AF1027" s="3">
        <v>0</v>
      </c>
      <c r="AG1027" s="3">
        <v>19</v>
      </c>
      <c r="AH1027" s="3">
        <v>0</v>
      </c>
      <c r="AI1027" s="3">
        <v>2</v>
      </c>
      <c r="AJ1027" s="3">
        <v>0</v>
      </c>
      <c r="AK1027" s="3">
        <v>0</v>
      </c>
      <c r="AL1027" s="3">
        <v>0</v>
      </c>
      <c r="AM1027" s="3">
        <v>2</v>
      </c>
      <c r="AN1027" s="3">
        <v>0</v>
      </c>
      <c r="AO1027" s="3">
        <v>0</v>
      </c>
      <c r="AP1027" s="3">
        <v>0</v>
      </c>
      <c r="AQ1027" s="3">
        <v>16</v>
      </c>
      <c r="AR1027" s="2" t="s">
        <v>8</v>
      </c>
      <c r="AS1027" s="2" t="s">
        <v>8</v>
      </c>
      <c r="AU1027" s="5" t="str">
        <f>HYPERLINK("https://creighton-primo.hosted.exlibrisgroup.com/primo-explore/search?tab=default_tab&amp;search_scope=EVERYTHING&amp;vid=01CRU&amp;lang=en_US&amp;offset=0&amp;query=any,contains,991001544779702656","Catalog Record")</f>
        <v>Catalog Record</v>
      </c>
      <c r="AV1027" s="5" t="str">
        <f>HYPERLINK("http://www.worldcat.org/oclc/7877405","WorldCat Record")</f>
        <v>WorldCat Record</v>
      </c>
      <c r="AW1027" s="2" t="s">
        <v>12874</v>
      </c>
      <c r="AX1027" s="2" t="s">
        <v>12875</v>
      </c>
      <c r="AY1027" s="2" t="s">
        <v>12876</v>
      </c>
      <c r="AZ1027" s="2" t="s">
        <v>12876</v>
      </c>
      <c r="BA1027" s="2" t="s">
        <v>12877</v>
      </c>
      <c r="BB1027" s="2" t="s">
        <v>21</v>
      </c>
      <c r="BD1027" s="2" t="s">
        <v>12878</v>
      </c>
      <c r="BE1027" s="2" t="s">
        <v>12879</v>
      </c>
      <c r="BF1027" s="2" t="s">
        <v>12880</v>
      </c>
    </row>
    <row r="1028" spans="1:58" ht="42.75" customHeight="1" x14ac:dyDescent="0.25">
      <c r="A1028" s="8" t="s">
        <v>8</v>
      </c>
      <c r="B1028" s="1" t="s">
        <v>0</v>
      </c>
      <c r="C1028" s="1" t="s">
        <v>1</v>
      </c>
      <c r="D1028" s="1" t="s">
        <v>12881</v>
      </c>
      <c r="E1028" s="1" t="s">
        <v>12882</v>
      </c>
      <c r="F1028" s="1" t="s">
        <v>12883</v>
      </c>
      <c r="H1028" s="2" t="s">
        <v>8</v>
      </c>
      <c r="I1028" s="2" t="s">
        <v>7</v>
      </c>
      <c r="J1028" s="2" t="s">
        <v>8</v>
      </c>
      <c r="K1028" s="2" t="s">
        <v>8</v>
      </c>
      <c r="L1028" s="2" t="s">
        <v>9</v>
      </c>
      <c r="M1028" s="1" t="s">
        <v>12884</v>
      </c>
      <c r="N1028" s="1" t="s">
        <v>12885</v>
      </c>
      <c r="O1028" s="2" t="s">
        <v>1327</v>
      </c>
      <c r="Q1028" s="2" t="s">
        <v>12</v>
      </c>
      <c r="R1028" s="2" t="s">
        <v>34</v>
      </c>
      <c r="S1028" s="1" t="s">
        <v>12886</v>
      </c>
      <c r="T1028" s="2" t="s">
        <v>14</v>
      </c>
      <c r="U1028" s="3">
        <v>3</v>
      </c>
      <c r="V1028" s="3">
        <v>3</v>
      </c>
      <c r="W1028" s="4" t="s">
        <v>12887</v>
      </c>
      <c r="X1028" s="4" t="s">
        <v>12887</v>
      </c>
      <c r="Y1028" s="4" t="s">
        <v>148</v>
      </c>
      <c r="Z1028" s="4" t="s">
        <v>148</v>
      </c>
      <c r="AA1028" s="3">
        <v>171</v>
      </c>
      <c r="AB1028" s="3">
        <v>129</v>
      </c>
      <c r="AC1028" s="3">
        <v>149</v>
      </c>
      <c r="AD1028" s="3">
        <v>1</v>
      </c>
      <c r="AE1028" s="3">
        <v>1</v>
      </c>
      <c r="AF1028" s="3">
        <v>3</v>
      </c>
      <c r="AG1028" s="3">
        <v>5</v>
      </c>
      <c r="AH1028" s="3">
        <v>2</v>
      </c>
      <c r="AI1028" s="3">
        <v>4</v>
      </c>
      <c r="AJ1028" s="3">
        <v>0</v>
      </c>
      <c r="AK1028" s="3">
        <v>0</v>
      </c>
      <c r="AL1028" s="3">
        <v>1</v>
      </c>
      <c r="AM1028" s="3">
        <v>2</v>
      </c>
      <c r="AN1028" s="3">
        <v>0</v>
      </c>
      <c r="AO1028" s="3">
        <v>0</v>
      </c>
      <c r="AP1028" s="3">
        <v>0</v>
      </c>
      <c r="AQ1028" s="3">
        <v>0</v>
      </c>
      <c r="AR1028" s="2" t="s">
        <v>8</v>
      </c>
      <c r="AS1028" s="2" t="s">
        <v>8</v>
      </c>
      <c r="AU1028" s="5" t="str">
        <f>HYPERLINK("https://creighton-primo.hosted.exlibrisgroup.com/primo-explore/search?tab=default_tab&amp;search_scope=EVERYTHING&amp;vid=01CRU&amp;lang=en_US&amp;offset=0&amp;query=any,contains,991001544819702656","Catalog Record")</f>
        <v>Catalog Record</v>
      </c>
      <c r="AV1028" s="5" t="str">
        <f>HYPERLINK("http://www.worldcat.org/oclc/14098478","WorldCat Record")</f>
        <v>WorldCat Record</v>
      </c>
      <c r="AW1028" s="2" t="s">
        <v>12888</v>
      </c>
      <c r="AX1028" s="2" t="s">
        <v>12889</v>
      </c>
      <c r="AY1028" s="2" t="s">
        <v>12890</v>
      </c>
      <c r="AZ1028" s="2" t="s">
        <v>12890</v>
      </c>
      <c r="BA1028" s="2" t="s">
        <v>12891</v>
      </c>
      <c r="BB1028" s="2" t="s">
        <v>21</v>
      </c>
      <c r="BD1028" s="2" t="s">
        <v>12892</v>
      </c>
      <c r="BE1028" s="2" t="s">
        <v>12893</v>
      </c>
      <c r="BF1028" s="2" t="s">
        <v>12894</v>
      </c>
    </row>
    <row r="1029" spans="1:58" ht="42.75" customHeight="1" x14ac:dyDescent="0.25">
      <c r="A1029" s="8" t="s">
        <v>8</v>
      </c>
      <c r="B1029" s="1" t="s">
        <v>0</v>
      </c>
      <c r="C1029" s="1" t="s">
        <v>1</v>
      </c>
      <c r="D1029" s="1" t="s">
        <v>12895</v>
      </c>
      <c r="E1029" s="1" t="s">
        <v>12896</v>
      </c>
      <c r="F1029" s="1" t="s">
        <v>12897</v>
      </c>
      <c r="H1029" s="2" t="s">
        <v>8</v>
      </c>
      <c r="I1029" s="2" t="s">
        <v>7</v>
      </c>
      <c r="J1029" s="2" t="s">
        <v>8</v>
      </c>
      <c r="K1029" s="2" t="s">
        <v>8</v>
      </c>
      <c r="L1029" s="2" t="s">
        <v>9</v>
      </c>
      <c r="M1029" s="1" t="s">
        <v>12898</v>
      </c>
      <c r="N1029" s="1" t="s">
        <v>12899</v>
      </c>
      <c r="O1029" s="2" t="s">
        <v>11</v>
      </c>
      <c r="P1029" s="1" t="s">
        <v>12900</v>
      </c>
      <c r="Q1029" s="2" t="s">
        <v>12</v>
      </c>
      <c r="R1029" s="2" t="s">
        <v>520</v>
      </c>
      <c r="T1029" s="2" t="s">
        <v>14</v>
      </c>
      <c r="U1029" s="3">
        <v>3</v>
      </c>
      <c r="V1029" s="3">
        <v>3</v>
      </c>
      <c r="W1029" s="4" t="s">
        <v>12901</v>
      </c>
      <c r="X1029" s="4" t="s">
        <v>12901</v>
      </c>
      <c r="Y1029" s="4" t="s">
        <v>148</v>
      </c>
      <c r="Z1029" s="4" t="s">
        <v>148</v>
      </c>
      <c r="AA1029" s="3">
        <v>296</v>
      </c>
      <c r="AB1029" s="3">
        <v>245</v>
      </c>
      <c r="AC1029" s="3">
        <v>513</v>
      </c>
      <c r="AD1029" s="3">
        <v>1</v>
      </c>
      <c r="AE1029" s="3">
        <v>5</v>
      </c>
      <c r="AF1029" s="3">
        <v>14</v>
      </c>
      <c r="AG1029" s="3">
        <v>35</v>
      </c>
      <c r="AH1029" s="3">
        <v>1</v>
      </c>
      <c r="AI1029" s="3">
        <v>7</v>
      </c>
      <c r="AJ1029" s="3">
        <v>1</v>
      </c>
      <c r="AK1029" s="3">
        <v>2</v>
      </c>
      <c r="AL1029" s="3">
        <v>3</v>
      </c>
      <c r="AM1029" s="3">
        <v>10</v>
      </c>
      <c r="AN1029" s="3">
        <v>0</v>
      </c>
      <c r="AO1029" s="3">
        <v>3</v>
      </c>
      <c r="AP1029" s="3">
        <v>11</v>
      </c>
      <c r="AQ1029" s="3">
        <v>19</v>
      </c>
      <c r="AR1029" s="2" t="s">
        <v>8</v>
      </c>
      <c r="AS1029" s="2" t="s">
        <v>6</v>
      </c>
      <c r="AT1029" s="5" t="str">
        <f>HYPERLINK("http://catalog.hathitrust.org/Record/000690441","HathiTrust Record")</f>
        <v>HathiTrust Record</v>
      </c>
      <c r="AU1029" s="5" t="str">
        <f>HYPERLINK("https://creighton-primo.hosted.exlibrisgroup.com/primo-explore/search?tab=default_tab&amp;search_scope=EVERYTHING&amp;vid=01CRU&amp;lang=en_US&amp;offset=0&amp;query=any,contains,991001544849702656","Catalog Record")</f>
        <v>Catalog Record</v>
      </c>
      <c r="AV1029" s="5" t="str">
        <f>HYPERLINK("http://www.worldcat.org/oclc/1984542","WorldCat Record")</f>
        <v>WorldCat Record</v>
      </c>
      <c r="AW1029" s="2" t="s">
        <v>12902</v>
      </c>
      <c r="AX1029" s="2" t="s">
        <v>12903</v>
      </c>
      <c r="AY1029" s="2" t="s">
        <v>12904</v>
      </c>
      <c r="AZ1029" s="2" t="s">
        <v>12904</v>
      </c>
      <c r="BA1029" s="2" t="s">
        <v>12905</v>
      </c>
      <c r="BB1029" s="2" t="s">
        <v>21</v>
      </c>
      <c r="BD1029" s="2" t="s">
        <v>12906</v>
      </c>
      <c r="BE1029" s="2" t="s">
        <v>12907</v>
      </c>
      <c r="BF1029" s="2" t="s">
        <v>12908</v>
      </c>
    </row>
    <row r="1030" spans="1:58" ht="42.75" customHeight="1" x14ac:dyDescent="0.25">
      <c r="A1030" s="8" t="s">
        <v>8</v>
      </c>
      <c r="B1030" s="1" t="s">
        <v>0</v>
      </c>
      <c r="C1030" s="1" t="s">
        <v>1</v>
      </c>
      <c r="D1030" s="1" t="s">
        <v>12909</v>
      </c>
      <c r="E1030" s="1" t="s">
        <v>12910</v>
      </c>
      <c r="F1030" s="1" t="s">
        <v>12911</v>
      </c>
      <c r="H1030" s="2" t="s">
        <v>8</v>
      </c>
      <c r="I1030" s="2" t="s">
        <v>7</v>
      </c>
      <c r="J1030" s="2" t="s">
        <v>8</v>
      </c>
      <c r="K1030" s="2" t="s">
        <v>8</v>
      </c>
      <c r="L1030" s="2" t="s">
        <v>9</v>
      </c>
      <c r="N1030" s="1" t="s">
        <v>12912</v>
      </c>
      <c r="O1030" s="2" t="s">
        <v>1629</v>
      </c>
      <c r="Q1030" s="2" t="s">
        <v>12</v>
      </c>
      <c r="R1030" s="2" t="s">
        <v>643</v>
      </c>
      <c r="T1030" s="2" t="s">
        <v>14</v>
      </c>
      <c r="U1030" s="3">
        <v>4</v>
      </c>
      <c r="V1030" s="3">
        <v>4</v>
      </c>
      <c r="W1030" s="4" t="s">
        <v>6552</v>
      </c>
      <c r="X1030" s="4" t="s">
        <v>6552</v>
      </c>
      <c r="Y1030" s="4" t="s">
        <v>148</v>
      </c>
      <c r="Z1030" s="4" t="s">
        <v>148</v>
      </c>
      <c r="AA1030" s="3">
        <v>318</v>
      </c>
      <c r="AB1030" s="3">
        <v>229</v>
      </c>
      <c r="AC1030" s="3">
        <v>231</v>
      </c>
      <c r="AD1030" s="3">
        <v>3</v>
      </c>
      <c r="AE1030" s="3">
        <v>3</v>
      </c>
      <c r="AF1030" s="3">
        <v>13</v>
      </c>
      <c r="AG1030" s="3">
        <v>13</v>
      </c>
      <c r="AH1030" s="3">
        <v>0</v>
      </c>
      <c r="AI1030" s="3">
        <v>0</v>
      </c>
      <c r="AJ1030" s="3">
        <v>2</v>
      </c>
      <c r="AK1030" s="3">
        <v>2</v>
      </c>
      <c r="AL1030" s="3">
        <v>3</v>
      </c>
      <c r="AM1030" s="3">
        <v>3</v>
      </c>
      <c r="AN1030" s="3">
        <v>1</v>
      </c>
      <c r="AO1030" s="3">
        <v>1</v>
      </c>
      <c r="AP1030" s="3">
        <v>8</v>
      </c>
      <c r="AQ1030" s="3">
        <v>8</v>
      </c>
      <c r="AR1030" s="2" t="s">
        <v>8</v>
      </c>
      <c r="AS1030" s="2" t="s">
        <v>6</v>
      </c>
      <c r="AT1030" s="5" t="str">
        <f>HYPERLINK("http://catalog.hathitrust.org/Record/000333529","HathiTrust Record")</f>
        <v>HathiTrust Record</v>
      </c>
      <c r="AU1030" s="5" t="str">
        <f>HYPERLINK("https://creighton-primo.hosted.exlibrisgroup.com/primo-explore/search?tab=default_tab&amp;search_scope=EVERYTHING&amp;vid=01CRU&amp;lang=en_US&amp;offset=0&amp;query=any,contains,991001544879702656","Catalog Record")</f>
        <v>Catalog Record</v>
      </c>
      <c r="AV1030" s="5" t="str">
        <f>HYPERLINK("http://www.worldcat.org/oclc/10018916","WorldCat Record")</f>
        <v>WorldCat Record</v>
      </c>
      <c r="AW1030" s="2" t="s">
        <v>12913</v>
      </c>
      <c r="AX1030" s="2" t="s">
        <v>12914</v>
      </c>
      <c r="AY1030" s="2" t="s">
        <v>12915</v>
      </c>
      <c r="AZ1030" s="2" t="s">
        <v>12915</v>
      </c>
      <c r="BA1030" s="2" t="s">
        <v>12916</v>
      </c>
      <c r="BB1030" s="2" t="s">
        <v>21</v>
      </c>
      <c r="BD1030" s="2" t="s">
        <v>12917</v>
      </c>
      <c r="BE1030" s="2" t="s">
        <v>12918</v>
      </c>
      <c r="BF1030" s="2" t="s">
        <v>12919</v>
      </c>
    </row>
    <row r="1031" spans="1:58" ht="42.75" customHeight="1" x14ac:dyDescent="0.25">
      <c r="A1031" s="8" t="s">
        <v>8</v>
      </c>
      <c r="B1031" s="1" t="s">
        <v>0</v>
      </c>
      <c r="C1031" s="1" t="s">
        <v>1</v>
      </c>
      <c r="D1031" s="1" t="s">
        <v>12920</v>
      </c>
      <c r="E1031" s="1" t="s">
        <v>12921</v>
      </c>
      <c r="F1031" s="1" t="s">
        <v>12922</v>
      </c>
      <c r="H1031" s="2" t="s">
        <v>8</v>
      </c>
      <c r="I1031" s="2" t="s">
        <v>7</v>
      </c>
      <c r="J1031" s="2" t="s">
        <v>8</v>
      </c>
      <c r="K1031" s="2" t="s">
        <v>8</v>
      </c>
      <c r="L1031" s="2" t="s">
        <v>9</v>
      </c>
      <c r="N1031" s="1" t="s">
        <v>12923</v>
      </c>
      <c r="O1031" s="2" t="s">
        <v>2919</v>
      </c>
      <c r="P1031" s="1" t="s">
        <v>12924</v>
      </c>
      <c r="Q1031" s="2" t="s">
        <v>12</v>
      </c>
      <c r="R1031" s="2" t="s">
        <v>815</v>
      </c>
      <c r="T1031" s="2" t="s">
        <v>14</v>
      </c>
      <c r="U1031" s="3">
        <v>1</v>
      </c>
      <c r="V1031" s="3">
        <v>1</v>
      </c>
      <c r="W1031" s="4" t="s">
        <v>10953</v>
      </c>
      <c r="X1031" s="4" t="s">
        <v>10953</v>
      </c>
      <c r="Y1031" s="4" t="s">
        <v>148</v>
      </c>
      <c r="Z1031" s="4" t="s">
        <v>148</v>
      </c>
      <c r="AA1031" s="3">
        <v>336</v>
      </c>
      <c r="AB1031" s="3">
        <v>287</v>
      </c>
      <c r="AC1031" s="3">
        <v>566</v>
      </c>
      <c r="AD1031" s="3">
        <v>1</v>
      </c>
      <c r="AE1031" s="3">
        <v>4</v>
      </c>
      <c r="AF1031" s="3">
        <v>18</v>
      </c>
      <c r="AG1031" s="3">
        <v>36</v>
      </c>
      <c r="AH1031" s="3">
        <v>1</v>
      </c>
      <c r="AI1031" s="3">
        <v>5</v>
      </c>
      <c r="AJ1031" s="3">
        <v>3</v>
      </c>
      <c r="AK1031" s="3">
        <v>3</v>
      </c>
      <c r="AL1031" s="3">
        <v>5</v>
      </c>
      <c r="AM1031" s="3">
        <v>9</v>
      </c>
      <c r="AN1031" s="3">
        <v>0</v>
      </c>
      <c r="AO1031" s="3">
        <v>1</v>
      </c>
      <c r="AP1031" s="3">
        <v>10</v>
      </c>
      <c r="AQ1031" s="3">
        <v>20</v>
      </c>
      <c r="AR1031" s="2" t="s">
        <v>8</v>
      </c>
      <c r="AS1031" s="2" t="s">
        <v>6</v>
      </c>
      <c r="AT1031" s="5" t="str">
        <f>HYPERLINK("http://catalog.hathitrust.org/Record/000022202","HathiTrust Record")</f>
        <v>HathiTrust Record</v>
      </c>
      <c r="AU1031" s="5" t="str">
        <f>HYPERLINK("https://creighton-primo.hosted.exlibrisgroup.com/primo-explore/search?tab=default_tab&amp;search_scope=EVERYTHING&amp;vid=01CRU&amp;lang=en_US&amp;offset=0&amp;query=any,contains,991001544909702656","Catalog Record")</f>
        <v>Catalog Record</v>
      </c>
      <c r="AV1031" s="5" t="str">
        <f>HYPERLINK("http://www.worldcat.org/oclc/1229530","WorldCat Record")</f>
        <v>WorldCat Record</v>
      </c>
      <c r="AW1031" s="2" t="s">
        <v>12925</v>
      </c>
      <c r="AX1031" s="2" t="s">
        <v>12926</v>
      </c>
      <c r="AY1031" s="2" t="s">
        <v>12927</v>
      </c>
      <c r="AZ1031" s="2" t="s">
        <v>12927</v>
      </c>
      <c r="BA1031" s="2" t="s">
        <v>12928</v>
      </c>
      <c r="BB1031" s="2" t="s">
        <v>21</v>
      </c>
      <c r="BD1031" s="2" t="s">
        <v>12929</v>
      </c>
      <c r="BE1031" s="2" t="s">
        <v>12930</v>
      </c>
      <c r="BF1031" s="2" t="s">
        <v>12931</v>
      </c>
    </row>
    <row r="1032" spans="1:58" ht="42.75" customHeight="1" x14ac:dyDescent="0.25">
      <c r="A1032" s="8" t="s">
        <v>8</v>
      </c>
      <c r="B1032" s="1" t="s">
        <v>0</v>
      </c>
      <c r="C1032" s="1" t="s">
        <v>1</v>
      </c>
      <c r="D1032" s="1" t="s">
        <v>12932</v>
      </c>
      <c r="E1032" s="1" t="s">
        <v>12933</v>
      </c>
      <c r="F1032" s="1" t="s">
        <v>12934</v>
      </c>
      <c r="H1032" s="2" t="s">
        <v>8</v>
      </c>
      <c r="I1032" s="2" t="s">
        <v>7</v>
      </c>
      <c r="J1032" s="2" t="s">
        <v>8</v>
      </c>
      <c r="K1032" s="2" t="s">
        <v>8</v>
      </c>
      <c r="L1032" s="2" t="s">
        <v>9</v>
      </c>
      <c r="N1032" s="1" t="s">
        <v>12935</v>
      </c>
      <c r="O1032" s="2" t="s">
        <v>266</v>
      </c>
      <c r="Q1032" s="2" t="s">
        <v>12</v>
      </c>
      <c r="R1032" s="2" t="s">
        <v>34</v>
      </c>
      <c r="T1032" s="2" t="s">
        <v>14</v>
      </c>
      <c r="U1032" s="3">
        <v>1</v>
      </c>
      <c r="V1032" s="3">
        <v>1</v>
      </c>
      <c r="W1032" s="4" t="s">
        <v>7112</v>
      </c>
      <c r="X1032" s="4" t="s">
        <v>7112</v>
      </c>
      <c r="Y1032" s="4" t="s">
        <v>148</v>
      </c>
      <c r="Z1032" s="4" t="s">
        <v>148</v>
      </c>
      <c r="AA1032" s="3">
        <v>226</v>
      </c>
      <c r="AB1032" s="3">
        <v>185</v>
      </c>
      <c r="AC1032" s="3">
        <v>188</v>
      </c>
      <c r="AD1032" s="3">
        <v>3</v>
      </c>
      <c r="AE1032" s="3">
        <v>3</v>
      </c>
      <c r="AF1032" s="3">
        <v>8</v>
      </c>
      <c r="AG1032" s="3">
        <v>8</v>
      </c>
      <c r="AH1032" s="3">
        <v>2</v>
      </c>
      <c r="AI1032" s="3">
        <v>2</v>
      </c>
      <c r="AJ1032" s="3">
        <v>0</v>
      </c>
      <c r="AK1032" s="3">
        <v>0</v>
      </c>
      <c r="AL1032" s="3">
        <v>3</v>
      </c>
      <c r="AM1032" s="3">
        <v>3</v>
      </c>
      <c r="AN1032" s="3">
        <v>1</v>
      </c>
      <c r="AO1032" s="3">
        <v>1</v>
      </c>
      <c r="AP1032" s="3">
        <v>3</v>
      </c>
      <c r="AQ1032" s="3">
        <v>3</v>
      </c>
      <c r="AR1032" s="2" t="s">
        <v>8</v>
      </c>
      <c r="AS1032" s="2" t="s">
        <v>6</v>
      </c>
      <c r="AT1032" s="5" t="str">
        <f>HYPERLINK("http://catalog.hathitrust.org/Record/007474961","HathiTrust Record")</f>
        <v>HathiTrust Record</v>
      </c>
      <c r="AU1032" s="5" t="str">
        <f>HYPERLINK("https://creighton-primo.hosted.exlibrisgroup.com/primo-explore/search?tab=default_tab&amp;search_scope=EVERYTHING&amp;vid=01CRU&amp;lang=en_US&amp;offset=0&amp;query=any,contains,991001545029702656","Catalog Record")</f>
        <v>Catalog Record</v>
      </c>
      <c r="AV1032" s="5" t="str">
        <f>HYPERLINK("http://www.worldcat.org/oclc/9112151","WorldCat Record")</f>
        <v>WorldCat Record</v>
      </c>
      <c r="AW1032" s="2" t="s">
        <v>12936</v>
      </c>
      <c r="AX1032" s="2" t="s">
        <v>12937</v>
      </c>
      <c r="AY1032" s="2" t="s">
        <v>12938</v>
      </c>
      <c r="AZ1032" s="2" t="s">
        <v>12938</v>
      </c>
      <c r="BA1032" s="2" t="s">
        <v>12939</v>
      </c>
      <c r="BB1032" s="2" t="s">
        <v>21</v>
      </c>
      <c r="BD1032" s="2" t="s">
        <v>12940</v>
      </c>
      <c r="BE1032" s="2" t="s">
        <v>12941</v>
      </c>
      <c r="BF1032" s="2" t="s">
        <v>12942</v>
      </c>
    </row>
    <row r="1033" spans="1:58" ht="42.75" customHeight="1" x14ac:dyDescent="0.25">
      <c r="A1033" s="8" t="s">
        <v>8</v>
      </c>
      <c r="B1033" s="1" t="s">
        <v>0</v>
      </c>
      <c r="C1033" s="1" t="s">
        <v>1</v>
      </c>
      <c r="D1033" s="1" t="s">
        <v>12943</v>
      </c>
      <c r="E1033" s="1" t="s">
        <v>12944</v>
      </c>
      <c r="F1033" s="1" t="s">
        <v>12945</v>
      </c>
      <c r="H1033" s="2" t="s">
        <v>8</v>
      </c>
      <c r="I1033" s="2" t="s">
        <v>7</v>
      </c>
      <c r="J1033" s="2" t="s">
        <v>8</v>
      </c>
      <c r="K1033" s="2" t="s">
        <v>8</v>
      </c>
      <c r="L1033" s="2" t="s">
        <v>9</v>
      </c>
      <c r="M1033" s="1" t="s">
        <v>7325</v>
      </c>
      <c r="N1033" s="1" t="s">
        <v>12946</v>
      </c>
      <c r="O1033" s="2" t="s">
        <v>266</v>
      </c>
      <c r="Q1033" s="2" t="s">
        <v>12</v>
      </c>
      <c r="R1033" s="2" t="s">
        <v>34</v>
      </c>
      <c r="T1033" s="2" t="s">
        <v>14</v>
      </c>
      <c r="U1033" s="3">
        <v>7</v>
      </c>
      <c r="V1033" s="3">
        <v>7</v>
      </c>
      <c r="W1033" s="4" t="s">
        <v>12947</v>
      </c>
      <c r="X1033" s="4" t="s">
        <v>12947</v>
      </c>
      <c r="Y1033" s="4" t="s">
        <v>148</v>
      </c>
      <c r="Z1033" s="4" t="s">
        <v>148</v>
      </c>
      <c r="AA1033" s="3">
        <v>1177</v>
      </c>
      <c r="AB1033" s="3">
        <v>1123</v>
      </c>
      <c r="AC1033" s="3">
        <v>1128</v>
      </c>
      <c r="AD1033" s="3">
        <v>11</v>
      </c>
      <c r="AE1033" s="3">
        <v>11</v>
      </c>
      <c r="AF1033" s="3">
        <v>37</v>
      </c>
      <c r="AG1033" s="3">
        <v>37</v>
      </c>
      <c r="AH1033" s="3">
        <v>8</v>
      </c>
      <c r="AI1033" s="3">
        <v>8</v>
      </c>
      <c r="AJ1033" s="3">
        <v>2</v>
      </c>
      <c r="AK1033" s="3">
        <v>2</v>
      </c>
      <c r="AL1033" s="3">
        <v>9</v>
      </c>
      <c r="AM1033" s="3">
        <v>9</v>
      </c>
      <c r="AN1033" s="3">
        <v>5</v>
      </c>
      <c r="AO1033" s="3">
        <v>5</v>
      </c>
      <c r="AP1033" s="3">
        <v>17</v>
      </c>
      <c r="AQ1033" s="3">
        <v>17</v>
      </c>
      <c r="AR1033" s="2" t="s">
        <v>8</v>
      </c>
      <c r="AS1033" s="2" t="s">
        <v>8</v>
      </c>
      <c r="AU1033" s="5" t="str">
        <f>HYPERLINK("https://creighton-primo.hosted.exlibrisgroup.com/primo-explore/search?tab=default_tab&amp;search_scope=EVERYTHING&amp;vid=01CRU&amp;lang=en_US&amp;offset=0&amp;query=any,contains,991001545069702656","Catalog Record")</f>
        <v>Catalog Record</v>
      </c>
      <c r="AV1033" s="5" t="str">
        <f>HYPERLINK("http://www.worldcat.org/oclc/9131740","WorldCat Record")</f>
        <v>WorldCat Record</v>
      </c>
      <c r="AW1033" s="2" t="s">
        <v>12948</v>
      </c>
      <c r="AX1033" s="2" t="s">
        <v>12949</v>
      </c>
      <c r="AY1033" s="2" t="s">
        <v>12950</v>
      </c>
      <c r="AZ1033" s="2" t="s">
        <v>12950</v>
      </c>
      <c r="BA1033" s="2" t="s">
        <v>12951</v>
      </c>
      <c r="BB1033" s="2" t="s">
        <v>21</v>
      </c>
      <c r="BD1033" s="2" t="s">
        <v>12952</v>
      </c>
      <c r="BE1033" s="2" t="s">
        <v>12953</v>
      </c>
      <c r="BF1033" s="2" t="s">
        <v>12954</v>
      </c>
    </row>
    <row r="1034" spans="1:58" ht="42.75" customHeight="1" x14ac:dyDescent="0.25">
      <c r="A1034" s="8" t="s">
        <v>8</v>
      </c>
      <c r="B1034" s="1" t="s">
        <v>0</v>
      </c>
      <c r="C1034" s="1" t="s">
        <v>1</v>
      </c>
      <c r="D1034" s="1" t="s">
        <v>12955</v>
      </c>
      <c r="E1034" s="1" t="s">
        <v>12956</v>
      </c>
      <c r="F1034" s="1" t="s">
        <v>12957</v>
      </c>
      <c r="H1034" s="2" t="s">
        <v>8</v>
      </c>
      <c r="I1034" s="2" t="s">
        <v>7</v>
      </c>
      <c r="J1034" s="2" t="s">
        <v>8</v>
      </c>
      <c r="K1034" s="2" t="s">
        <v>8</v>
      </c>
      <c r="L1034" s="2" t="s">
        <v>9</v>
      </c>
      <c r="M1034" s="1" t="s">
        <v>12958</v>
      </c>
      <c r="N1034" s="1" t="s">
        <v>12959</v>
      </c>
      <c r="O1034" s="2" t="s">
        <v>642</v>
      </c>
      <c r="P1034" s="1" t="s">
        <v>83</v>
      </c>
      <c r="Q1034" s="2" t="s">
        <v>12</v>
      </c>
      <c r="R1034" s="2" t="s">
        <v>643</v>
      </c>
      <c r="T1034" s="2" t="s">
        <v>14</v>
      </c>
      <c r="U1034" s="3">
        <v>1</v>
      </c>
      <c r="V1034" s="3">
        <v>1</v>
      </c>
      <c r="W1034" s="4" t="s">
        <v>12960</v>
      </c>
      <c r="X1034" s="4" t="s">
        <v>12960</v>
      </c>
      <c r="Y1034" s="4" t="s">
        <v>6817</v>
      </c>
      <c r="Z1034" s="4" t="s">
        <v>6817</v>
      </c>
      <c r="AA1034" s="3">
        <v>165</v>
      </c>
      <c r="AB1034" s="3">
        <v>99</v>
      </c>
      <c r="AC1034" s="3">
        <v>753</v>
      </c>
      <c r="AD1034" s="3">
        <v>1</v>
      </c>
      <c r="AE1034" s="3">
        <v>19</v>
      </c>
      <c r="AF1034" s="3">
        <v>3</v>
      </c>
      <c r="AG1034" s="3">
        <v>38</v>
      </c>
      <c r="AH1034" s="3">
        <v>0</v>
      </c>
      <c r="AI1034" s="3">
        <v>12</v>
      </c>
      <c r="AJ1034" s="3">
        <v>0</v>
      </c>
      <c r="AK1034" s="3">
        <v>5</v>
      </c>
      <c r="AL1034" s="3">
        <v>1</v>
      </c>
      <c r="AM1034" s="3">
        <v>10</v>
      </c>
      <c r="AN1034" s="3">
        <v>0</v>
      </c>
      <c r="AO1034" s="3">
        <v>11</v>
      </c>
      <c r="AP1034" s="3">
        <v>2</v>
      </c>
      <c r="AQ1034" s="3">
        <v>3</v>
      </c>
      <c r="AR1034" s="2" t="s">
        <v>8</v>
      </c>
      <c r="AS1034" s="2" t="s">
        <v>8</v>
      </c>
      <c r="AU1034" s="5" t="str">
        <f>HYPERLINK("https://creighton-primo.hosted.exlibrisgroup.com/primo-explore/search?tab=default_tab&amp;search_scope=EVERYTHING&amp;vid=01CRU&amp;lang=en_US&amp;offset=0&amp;query=any,contains,991000380679702656","Catalog Record")</f>
        <v>Catalog Record</v>
      </c>
      <c r="AV1034" s="5" t="str">
        <f>HYPERLINK("http://www.worldcat.org/oclc/52381060","WorldCat Record")</f>
        <v>WorldCat Record</v>
      </c>
      <c r="AW1034" s="2" t="s">
        <v>12961</v>
      </c>
      <c r="AX1034" s="2" t="s">
        <v>12962</v>
      </c>
      <c r="AY1034" s="2" t="s">
        <v>12963</v>
      </c>
      <c r="AZ1034" s="2" t="s">
        <v>12963</v>
      </c>
      <c r="BA1034" s="2" t="s">
        <v>12964</v>
      </c>
      <c r="BB1034" s="2" t="s">
        <v>21</v>
      </c>
      <c r="BD1034" s="2" t="s">
        <v>12965</v>
      </c>
      <c r="BE1034" s="2" t="s">
        <v>12966</v>
      </c>
      <c r="BF1034" s="2" t="s">
        <v>12967</v>
      </c>
    </row>
    <row r="1035" spans="1:58" ht="42.75" customHeight="1" x14ac:dyDescent="0.25">
      <c r="A1035" s="8" t="s">
        <v>8</v>
      </c>
      <c r="B1035" s="1" t="s">
        <v>0</v>
      </c>
      <c r="C1035" s="1" t="s">
        <v>1</v>
      </c>
      <c r="D1035" s="1" t="s">
        <v>12968</v>
      </c>
      <c r="E1035" s="1" t="s">
        <v>12969</v>
      </c>
      <c r="F1035" s="1" t="s">
        <v>12970</v>
      </c>
      <c r="H1035" s="2" t="s">
        <v>8</v>
      </c>
      <c r="I1035" s="2" t="s">
        <v>7</v>
      </c>
      <c r="J1035" s="2" t="s">
        <v>8</v>
      </c>
      <c r="K1035" s="2" t="s">
        <v>8</v>
      </c>
      <c r="L1035" s="2" t="s">
        <v>9</v>
      </c>
      <c r="M1035" s="1" t="s">
        <v>12971</v>
      </c>
      <c r="N1035" s="1" t="s">
        <v>12972</v>
      </c>
      <c r="O1035" s="2" t="s">
        <v>33</v>
      </c>
      <c r="Q1035" s="2" t="s">
        <v>12</v>
      </c>
      <c r="R1035" s="2" t="s">
        <v>774</v>
      </c>
      <c r="T1035" s="2" t="s">
        <v>14</v>
      </c>
      <c r="U1035" s="3">
        <v>5</v>
      </c>
      <c r="V1035" s="3">
        <v>5</v>
      </c>
      <c r="W1035" s="4" t="s">
        <v>5820</v>
      </c>
      <c r="X1035" s="4" t="s">
        <v>5820</v>
      </c>
      <c r="Y1035" s="4" t="s">
        <v>148</v>
      </c>
      <c r="Z1035" s="4" t="s">
        <v>148</v>
      </c>
      <c r="AA1035" s="3">
        <v>184</v>
      </c>
      <c r="AB1035" s="3">
        <v>166</v>
      </c>
      <c r="AC1035" s="3">
        <v>167</v>
      </c>
      <c r="AD1035" s="3">
        <v>2</v>
      </c>
      <c r="AE1035" s="3">
        <v>2</v>
      </c>
      <c r="AF1035" s="3">
        <v>13</v>
      </c>
      <c r="AG1035" s="3">
        <v>13</v>
      </c>
      <c r="AH1035" s="3">
        <v>2</v>
      </c>
      <c r="AI1035" s="3">
        <v>2</v>
      </c>
      <c r="AJ1035" s="3">
        <v>2</v>
      </c>
      <c r="AK1035" s="3">
        <v>2</v>
      </c>
      <c r="AL1035" s="3">
        <v>7</v>
      </c>
      <c r="AM1035" s="3">
        <v>7</v>
      </c>
      <c r="AN1035" s="3">
        <v>0</v>
      </c>
      <c r="AO1035" s="3">
        <v>0</v>
      </c>
      <c r="AP1035" s="3">
        <v>5</v>
      </c>
      <c r="AQ1035" s="3">
        <v>5</v>
      </c>
      <c r="AR1035" s="2" t="s">
        <v>8</v>
      </c>
      <c r="AS1035" s="2" t="s">
        <v>8</v>
      </c>
      <c r="AU1035" s="5" t="str">
        <f>HYPERLINK("https://creighton-primo.hosted.exlibrisgroup.com/primo-explore/search?tab=default_tab&amp;search_scope=EVERYTHING&amp;vid=01CRU&amp;lang=en_US&amp;offset=0&amp;query=any,contains,991001545119702656","Catalog Record")</f>
        <v>Catalog Record</v>
      </c>
      <c r="AV1035" s="5" t="str">
        <f>HYPERLINK("http://www.worldcat.org/oclc/8195707","WorldCat Record")</f>
        <v>WorldCat Record</v>
      </c>
      <c r="AW1035" s="2" t="s">
        <v>12973</v>
      </c>
      <c r="AX1035" s="2" t="s">
        <v>12974</v>
      </c>
      <c r="AY1035" s="2" t="s">
        <v>12975</v>
      </c>
      <c r="AZ1035" s="2" t="s">
        <v>12975</v>
      </c>
      <c r="BA1035" s="2" t="s">
        <v>12976</v>
      </c>
      <c r="BB1035" s="2" t="s">
        <v>21</v>
      </c>
      <c r="BD1035" s="2" t="s">
        <v>12977</v>
      </c>
      <c r="BE1035" s="2" t="s">
        <v>12978</v>
      </c>
      <c r="BF1035" s="2" t="s">
        <v>12979</v>
      </c>
    </row>
    <row r="1036" spans="1:58" ht="42.75" customHeight="1" x14ac:dyDescent="0.25">
      <c r="A1036" s="8" t="s">
        <v>8</v>
      </c>
      <c r="B1036" s="1" t="s">
        <v>0</v>
      </c>
      <c r="C1036" s="1" t="s">
        <v>1</v>
      </c>
      <c r="D1036" s="1" t="s">
        <v>12980</v>
      </c>
      <c r="E1036" s="1" t="s">
        <v>12981</v>
      </c>
      <c r="F1036" s="1" t="s">
        <v>12982</v>
      </c>
      <c r="H1036" s="2" t="s">
        <v>8</v>
      </c>
      <c r="I1036" s="2" t="s">
        <v>7</v>
      </c>
      <c r="J1036" s="2" t="s">
        <v>8</v>
      </c>
      <c r="K1036" s="2" t="s">
        <v>8</v>
      </c>
      <c r="L1036" s="2" t="s">
        <v>9</v>
      </c>
      <c r="N1036" s="1" t="s">
        <v>12983</v>
      </c>
      <c r="O1036" s="2" t="s">
        <v>627</v>
      </c>
      <c r="Q1036" s="2" t="s">
        <v>12</v>
      </c>
      <c r="R1036" s="2" t="s">
        <v>34</v>
      </c>
      <c r="T1036" s="2" t="s">
        <v>14</v>
      </c>
      <c r="U1036" s="3">
        <v>5</v>
      </c>
      <c r="V1036" s="3">
        <v>5</v>
      </c>
      <c r="W1036" s="4" t="s">
        <v>748</v>
      </c>
      <c r="X1036" s="4" t="s">
        <v>748</v>
      </c>
      <c r="Y1036" s="4" t="s">
        <v>54</v>
      </c>
      <c r="Z1036" s="4" t="s">
        <v>54</v>
      </c>
      <c r="AA1036" s="3">
        <v>143</v>
      </c>
      <c r="AB1036" s="3">
        <v>115</v>
      </c>
      <c r="AC1036" s="3">
        <v>139</v>
      </c>
      <c r="AD1036" s="3">
        <v>2</v>
      </c>
      <c r="AE1036" s="3">
        <v>2</v>
      </c>
      <c r="AF1036" s="3">
        <v>2</v>
      </c>
      <c r="AG1036" s="3">
        <v>2</v>
      </c>
      <c r="AH1036" s="3">
        <v>0</v>
      </c>
      <c r="AI1036" s="3">
        <v>0</v>
      </c>
      <c r="AJ1036" s="3">
        <v>0</v>
      </c>
      <c r="AK1036" s="3">
        <v>0</v>
      </c>
      <c r="AL1036" s="3">
        <v>1</v>
      </c>
      <c r="AM1036" s="3">
        <v>1</v>
      </c>
      <c r="AN1036" s="3">
        <v>1</v>
      </c>
      <c r="AO1036" s="3">
        <v>1</v>
      </c>
      <c r="AP1036" s="3">
        <v>0</v>
      </c>
      <c r="AQ1036" s="3">
        <v>0</v>
      </c>
      <c r="AR1036" s="2" t="s">
        <v>8</v>
      </c>
      <c r="AS1036" s="2" t="s">
        <v>6</v>
      </c>
      <c r="AT1036" s="5" t="str">
        <f>HYPERLINK("http://catalog.hathitrust.org/Record/001304044","HathiTrust Record")</f>
        <v>HathiTrust Record</v>
      </c>
      <c r="AU1036" s="5" t="str">
        <f>HYPERLINK("https://creighton-primo.hosted.exlibrisgroup.com/primo-explore/search?tab=default_tab&amp;search_scope=EVERYTHING&amp;vid=01CRU&amp;lang=en_US&amp;offset=0&amp;query=any,contains,991001316669702656","Catalog Record")</f>
        <v>Catalog Record</v>
      </c>
      <c r="AV1036" s="5" t="str">
        <f>HYPERLINK("http://www.worldcat.org/oclc/18834557","WorldCat Record")</f>
        <v>WorldCat Record</v>
      </c>
      <c r="AW1036" s="2" t="s">
        <v>12984</v>
      </c>
      <c r="AX1036" s="2" t="s">
        <v>12985</v>
      </c>
      <c r="AY1036" s="2" t="s">
        <v>12986</v>
      </c>
      <c r="AZ1036" s="2" t="s">
        <v>12986</v>
      </c>
      <c r="BA1036" s="2" t="s">
        <v>12987</v>
      </c>
      <c r="BB1036" s="2" t="s">
        <v>21</v>
      </c>
      <c r="BD1036" s="2" t="s">
        <v>12988</v>
      </c>
      <c r="BE1036" s="2" t="s">
        <v>12989</v>
      </c>
      <c r="BF1036" s="2" t="s">
        <v>12990</v>
      </c>
    </row>
    <row r="1037" spans="1:58" ht="42.75" customHeight="1" x14ac:dyDescent="0.25">
      <c r="A1037" s="8" t="s">
        <v>8</v>
      </c>
      <c r="B1037" s="1" t="s">
        <v>0</v>
      </c>
      <c r="C1037" s="1" t="s">
        <v>1</v>
      </c>
      <c r="D1037" s="1" t="s">
        <v>12991</v>
      </c>
      <c r="E1037" s="1" t="s">
        <v>12992</v>
      </c>
      <c r="F1037" s="1" t="s">
        <v>12993</v>
      </c>
      <c r="H1037" s="2" t="s">
        <v>8</v>
      </c>
      <c r="I1037" s="2" t="s">
        <v>7</v>
      </c>
      <c r="J1037" s="2" t="s">
        <v>8</v>
      </c>
      <c r="K1037" s="2" t="s">
        <v>8</v>
      </c>
      <c r="L1037" s="2" t="s">
        <v>9</v>
      </c>
      <c r="M1037" s="1" t="s">
        <v>12994</v>
      </c>
      <c r="N1037" s="1" t="s">
        <v>5764</v>
      </c>
      <c r="O1037" s="2" t="s">
        <v>67</v>
      </c>
      <c r="P1037" s="1" t="s">
        <v>732</v>
      </c>
      <c r="Q1037" s="2" t="s">
        <v>12</v>
      </c>
      <c r="R1037" s="2" t="s">
        <v>34</v>
      </c>
      <c r="T1037" s="2" t="s">
        <v>14</v>
      </c>
      <c r="U1037" s="3">
        <v>7</v>
      </c>
      <c r="V1037" s="3">
        <v>7</v>
      </c>
      <c r="W1037" s="4" t="s">
        <v>5820</v>
      </c>
      <c r="X1037" s="4" t="s">
        <v>5820</v>
      </c>
      <c r="Y1037" s="4" t="s">
        <v>148</v>
      </c>
      <c r="Z1037" s="4" t="s">
        <v>148</v>
      </c>
      <c r="AA1037" s="3">
        <v>230</v>
      </c>
      <c r="AB1037" s="3">
        <v>186</v>
      </c>
      <c r="AC1037" s="3">
        <v>372</v>
      </c>
      <c r="AD1037" s="3">
        <v>1</v>
      </c>
      <c r="AE1037" s="3">
        <v>3</v>
      </c>
      <c r="AF1037" s="3">
        <v>4</v>
      </c>
      <c r="AG1037" s="3">
        <v>19</v>
      </c>
      <c r="AH1037" s="3">
        <v>0</v>
      </c>
      <c r="AI1037" s="3">
        <v>2</v>
      </c>
      <c r="AJ1037" s="3">
        <v>2</v>
      </c>
      <c r="AK1037" s="3">
        <v>3</v>
      </c>
      <c r="AL1037" s="3">
        <v>3</v>
      </c>
      <c r="AM1037" s="3">
        <v>8</v>
      </c>
      <c r="AN1037" s="3">
        <v>0</v>
      </c>
      <c r="AO1037" s="3">
        <v>2</v>
      </c>
      <c r="AP1037" s="3">
        <v>0</v>
      </c>
      <c r="AQ1037" s="3">
        <v>8</v>
      </c>
      <c r="AR1037" s="2" t="s">
        <v>8</v>
      </c>
      <c r="AS1037" s="2" t="s">
        <v>6</v>
      </c>
      <c r="AT1037" s="5" t="str">
        <f>HYPERLINK("http://catalog.hathitrust.org/Record/000571883","HathiTrust Record")</f>
        <v>HathiTrust Record</v>
      </c>
      <c r="AU1037" s="5" t="str">
        <f>HYPERLINK("https://creighton-primo.hosted.exlibrisgroup.com/primo-explore/search?tab=default_tab&amp;search_scope=EVERYTHING&amp;vid=01CRU&amp;lang=en_US&amp;offset=0&amp;query=any,contains,991001545169702656","Catalog Record")</f>
        <v>Catalog Record</v>
      </c>
      <c r="AV1037" s="5" t="str">
        <f>HYPERLINK("http://www.worldcat.org/oclc/11754531","WorldCat Record")</f>
        <v>WorldCat Record</v>
      </c>
      <c r="AW1037" s="2" t="s">
        <v>12995</v>
      </c>
      <c r="AX1037" s="2" t="s">
        <v>12996</v>
      </c>
      <c r="AY1037" s="2" t="s">
        <v>12997</v>
      </c>
      <c r="AZ1037" s="2" t="s">
        <v>12997</v>
      </c>
      <c r="BA1037" s="2" t="s">
        <v>12998</v>
      </c>
      <c r="BB1037" s="2" t="s">
        <v>21</v>
      </c>
      <c r="BD1037" s="2" t="s">
        <v>12999</v>
      </c>
      <c r="BE1037" s="2" t="s">
        <v>13000</v>
      </c>
      <c r="BF1037" s="2" t="s">
        <v>13001</v>
      </c>
    </row>
    <row r="1038" spans="1:58" ht="42.75" customHeight="1" x14ac:dyDescent="0.25">
      <c r="A1038" s="8" t="s">
        <v>8</v>
      </c>
      <c r="B1038" s="1" t="s">
        <v>0</v>
      </c>
      <c r="C1038" s="1" t="s">
        <v>1</v>
      </c>
      <c r="D1038" s="1" t="s">
        <v>13002</v>
      </c>
      <c r="E1038" s="1" t="s">
        <v>13003</v>
      </c>
      <c r="F1038" s="1" t="s">
        <v>13004</v>
      </c>
      <c r="H1038" s="2" t="s">
        <v>8</v>
      </c>
      <c r="I1038" s="2" t="s">
        <v>7</v>
      </c>
      <c r="J1038" s="2" t="s">
        <v>8</v>
      </c>
      <c r="K1038" s="2" t="s">
        <v>8</v>
      </c>
      <c r="L1038" s="2" t="s">
        <v>9</v>
      </c>
      <c r="M1038" s="1" t="s">
        <v>13005</v>
      </c>
      <c r="N1038" s="1" t="s">
        <v>13006</v>
      </c>
      <c r="O1038" s="2" t="s">
        <v>144</v>
      </c>
      <c r="Q1038" s="2" t="s">
        <v>12</v>
      </c>
      <c r="R1038" s="2" t="s">
        <v>267</v>
      </c>
      <c r="T1038" s="2" t="s">
        <v>14</v>
      </c>
      <c r="U1038" s="3">
        <v>4</v>
      </c>
      <c r="V1038" s="3">
        <v>4</v>
      </c>
      <c r="W1038" s="4" t="s">
        <v>13007</v>
      </c>
      <c r="X1038" s="4" t="s">
        <v>13007</v>
      </c>
      <c r="Y1038" s="4" t="s">
        <v>12469</v>
      </c>
      <c r="Z1038" s="4" t="s">
        <v>12469</v>
      </c>
      <c r="AA1038" s="3">
        <v>73</v>
      </c>
      <c r="AB1038" s="3">
        <v>66</v>
      </c>
      <c r="AC1038" s="3">
        <v>68</v>
      </c>
      <c r="AD1038" s="3">
        <v>1</v>
      </c>
      <c r="AE1038" s="3">
        <v>1</v>
      </c>
      <c r="AF1038" s="3">
        <v>0</v>
      </c>
      <c r="AG1038" s="3">
        <v>0</v>
      </c>
      <c r="AH1038" s="3">
        <v>0</v>
      </c>
      <c r="AI1038" s="3">
        <v>0</v>
      </c>
      <c r="AJ1038" s="3">
        <v>0</v>
      </c>
      <c r="AK1038" s="3">
        <v>0</v>
      </c>
      <c r="AL1038" s="3">
        <v>0</v>
      </c>
      <c r="AM1038" s="3">
        <v>0</v>
      </c>
      <c r="AN1038" s="3">
        <v>0</v>
      </c>
      <c r="AO1038" s="3">
        <v>0</v>
      </c>
      <c r="AP1038" s="3">
        <v>0</v>
      </c>
      <c r="AQ1038" s="3">
        <v>0</v>
      </c>
      <c r="AR1038" s="2" t="s">
        <v>8</v>
      </c>
      <c r="AS1038" s="2" t="s">
        <v>6</v>
      </c>
      <c r="AT1038" s="5" t="str">
        <f>HYPERLINK("http://catalog.hathitrust.org/Record/010613192","HathiTrust Record")</f>
        <v>HathiTrust Record</v>
      </c>
      <c r="AU1038" s="5" t="str">
        <f>HYPERLINK("https://creighton-primo.hosted.exlibrisgroup.com/primo-explore/search?tab=default_tab&amp;search_scope=EVERYTHING&amp;vid=01CRU&amp;lang=en_US&amp;offset=0&amp;query=any,contains,991001545219702656","Catalog Record")</f>
        <v>Catalog Record</v>
      </c>
      <c r="AV1038" s="5" t="str">
        <f>HYPERLINK("http://www.worldcat.org/oclc/2101735","WorldCat Record")</f>
        <v>WorldCat Record</v>
      </c>
      <c r="AW1038" s="2" t="s">
        <v>13008</v>
      </c>
      <c r="AX1038" s="2" t="s">
        <v>13009</v>
      </c>
      <c r="AY1038" s="2" t="s">
        <v>13010</v>
      </c>
      <c r="AZ1038" s="2" t="s">
        <v>13010</v>
      </c>
      <c r="BA1038" s="2" t="s">
        <v>13011</v>
      </c>
      <c r="BB1038" s="2" t="s">
        <v>21</v>
      </c>
      <c r="BE1038" s="2" t="s">
        <v>13012</v>
      </c>
      <c r="BF1038" s="2" t="s">
        <v>13013</v>
      </c>
    </row>
    <row r="1039" spans="1:58" ht="42.75" customHeight="1" x14ac:dyDescent="0.25">
      <c r="A1039" s="8" t="s">
        <v>8</v>
      </c>
      <c r="B1039" s="1" t="s">
        <v>0</v>
      </c>
      <c r="C1039" s="1" t="s">
        <v>1</v>
      </c>
      <c r="D1039" s="1" t="s">
        <v>13014</v>
      </c>
      <c r="E1039" s="1" t="s">
        <v>13015</v>
      </c>
      <c r="F1039" s="1" t="s">
        <v>13016</v>
      </c>
      <c r="H1039" s="2" t="s">
        <v>8</v>
      </c>
      <c r="I1039" s="2" t="s">
        <v>7</v>
      </c>
      <c r="J1039" s="2" t="s">
        <v>8</v>
      </c>
      <c r="K1039" s="2" t="s">
        <v>8</v>
      </c>
      <c r="L1039" s="2" t="s">
        <v>9</v>
      </c>
      <c r="N1039" s="1" t="s">
        <v>8506</v>
      </c>
      <c r="O1039" s="2" t="s">
        <v>657</v>
      </c>
      <c r="P1039" s="1" t="s">
        <v>83</v>
      </c>
      <c r="Q1039" s="2" t="s">
        <v>12</v>
      </c>
      <c r="R1039" s="2" t="s">
        <v>643</v>
      </c>
      <c r="T1039" s="2" t="s">
        <v>14</v>
      </c>
      <c r="U1039" s="3">
        <v>0</v>
      </c>
      <c r="V1039" s="3">
        <v>0</v>
      </c>
      <c r="W1039" s="4" t="s">
        <v>8507</v>
      </c>
      <c r="X1039" s="4" t="s">
        <v>8507</v>
      </c>
      <c r="Y1039" s="4" t="s">
        <v>8507</v>
      </c>
      <c r="Z1039" s="4" t="s">
        <v>8507</v>
      </c>
      <c r="AA1039" s="3">
        <v>173</v>
      </c>
      <c r="AB1039" s="3">
        <v>96</v>
      </c>
      <c r="AC1039" s="3">
        <v>101</v>
      </c>
      <c r="AD1039" s="3">
        <v>1</v>
      </c>
      <c r="AE1039" s="3">
        <v>1</v>
      </c>
      <c r="AF1039" s="3">
        <v>2</v>
      </c>
      <c r="AG1039" s="3">
        <v>2</v>
      </c>
      <c r="AH1039" s="3">
        <v>0</v>
      </c>
      <c r="AI1039" s="3">
        <v>0</v>
      </c>
      <c r="AJ1039" s="3">
        <v>1</v>
      </c>
      <c r="AK1039" s="3">
        <v>1</v>
      </c>
      <c r="AL1039" s="3">
        <v>1</v>
      </c>
      <c r="AM1039" s="3">
        <v>1</v>
      </c>
      <c r="AN1039" s="3">
        <v>0</v>
      </c>
      <c r="AO1039" s="3">
        <v>0</v>
      </c>
      <c r="AP1039" s="3">
        <v>0</v>
      </c>
      <c r="AQ1039" s="3">
        <v>0</v>
      </c>
      <c r="AR1039" s="2" t="s">
        <v>8</v>
      </c>
      <c r="AS1039" s="2" t="s">
        <v>8</v>
      </c>
      <c r="AU1039" s="5" t="str">
        <f>HYPERLINK("https://creighton-primo.hosted.exlibrisgroup.com/primo-explore/search?tab=default_tab&amp;search_scope=EVERYTHING&amp;vid=01CRU&amp;lang=en_US&amp;offset=0&amp;query=any,contains,991000358479702656","Catalog Record")</f>
        <v>Catalog Record</v>
      </c>
      <c r="AV1039" s="5" t="str">
        <f>HYPERLINK("http://www.worldcat.org/oclc/46640695","WorldCat Record")</f>
        <v>WorldCat Record</v>
      </c>
      <c r="AW1039" s="2" t="s">
        <v>13017</v>
      </c>
      <c r="AX1039" s="2" t="s">
        <v>13018</v>
      </c>
      <c r="AY1039" s="2" t="s">
        <v>13019</v>
      </c>
      <c r="AZ1039" s="2" t="s">
        <v>13019</v>
      </c>
      <c r="BA1039" s="2" t="s">
        <v>13020</v>
      </c>
      <c r="BB1039" s="2" t="s">
        <v>21</v>
      </c>
      <c r="BD1039" s="2" t="s">
        <v>13021</v>
      </c>
      <c r="BE1039" s="2" t="s">
        <v>13022</v>
      </c>
      <c r="BF1039" s="2" t="s">
        <v>13023</v>
      </c>
    </row>
    <row r="1040" spans="1:58" ht="42.75" customHeight="1" x14ac:dyDescent="0.25">
      <c r="A1040" s="8" t="s">
        <v>8</v>
      </c>
      <c r="B1040" s="1" t="s">
        <v>0</v>
      </c>
      <c r="C1040" s="1" t="s">
        <v>1</v>
      </c>
      <c r="D1040" s="1" t="s">
        <v>13024</v>
      </c>
      <c r="E1040" s="1" t="s">
        <v>13025</v>
      </c>
      <c r="F1040" s="1" t="s">
        <v>13026</v>
      </c>
      <c r="H1040" s="2" t="s">
        <v>8</v>
      </c>
      <c r="I1040" s="2" t="s">
        <v>7</v>
      </c>
      <c r="J1040" s="2" t="s">
        <v>8</v>
      </c>
      <c r="K1040" s="2" t="s">
        <v>8</v>
      </c>
      <c r="L1040" s="2" t="s">
        <v>9</v>
      </c>
      <c r="N1040" s="1" t="s">
        <v>13027</v>
      </c>
      <c r="O1040" s="2" t="s">
        <v>844</v>
      </c>
      <c r="Q1040" s="2" t="s">
        <v>12</v>
      </c>
      <c r="R1040" s="2" t="s">
        <v>1211</v>
      </c>
      <c r="S1040" s="1" t="s">
        <v>13028</v>
      </c>
      <c r="T1040" s="2" t="s">
        <v>14</v>
      </c>
      <c r="U1040" s="3">
        <v>1</v>
      </c>
      <c r="V1040" s="3">
        <v>1</v>
      </c>
      <c r="W1040" s="4" t="s">
        <v>13029</v>
      </c>
      <c r="X1040" s="4" t="s">
        <v>13029</v>
      </c>
      <c r="Y1040" s="4" t="s">
        <v>9381</v>
      </c>
      <c r="Z1040" s="4" t="s">
        <v>9381</v>
      </c>
      <c r="AA1040" s="3">
        <v>136</v>
      </c>
      <c r="AB1040" s="3">
        <v>132</v>
      </c>
      <c r="AC1040" s="3">
        <v>134</v>
      </c>
      <c r="AD1040" s="3">
        <v>1</v>
      </c>
      <c r="AE1040" s="3">
        <v>1</v>
      </c>
      <c r="AF1040" s="3">
        <v>12</v>
      </c>
      <c r="AG1040" s="3">
        <v>12</v>
      </c>
      <c r="AH1040" s="3">
        <v>5</v>
      </c>
      <c r="AI1040" s="3">
        <v>5</v>
      </c>
      <c r="AJ1040" s="3">
        <v>4</v>
      </c>
      <c r="AK1040" s="3">
        <v>4</v>
      </c>
      <c r="AL1040" s="3">
        <v>6</v>
      </c>
      <c r="AM1040" s="3">
        <v>6</v>
      </c>
      <c r="AN1040" s="3">
        <v>0</v>
      </c>
      <c r="AO1040" s="3">
        <v>0</v>
      </c>
      <c r="AP1040" s="3">
        <v>0</v>
      </c>
      <c r="AQ1040" s="3">
        <v>0</v>
      </c>
      <c r="AR1040" s="2" t="s">
        <v>8</v>
      </c>
      <c r="AS1040" s="2" t="s">
        <v>6</v>
      </c>
      <c r="AT1040" s="5" t="str">
        <f>HYPERLINK("http://catalog.hathitrust.org/Record/003045662","HathiTrust Record")</f>
        <v>HathiTrust Record</v>
      </c>
      <c r="AU1040" s="5" t="str">
        <f>HYPERLINK("https://creighton-primo.hosted.exlibrisgroup.com/primo-explore/search?tab=default_tab&amp;search_scope=EVERYTHING&amp;vid=01CRU&amp;lang=en_US&amp;offset=0&amp;query=any,contains,991000258179702656","Catalog Record")</f>
        <v>Catalog Record</v>
      </c>
      <c r="AV1040" s="5" t="str">
        <f>HYPERLINK("http://www.worldcat.org/oclc/33396018","WorldCat Record")</f>
        <v>WorldCat Record</v>
      </c>
      <c r="AW1040" s="2" t="s">
        <v>13030</v>
      </c>
      <c r="AX1040" s="2" t="s">
        <v>13031</v>
      </c>
      <c r="AY1040" s="2" t="s">
        <v>13032</v>
      </c>
      <c r="AZ1040" s="2" t="s">
        <v>13032</v>
      </c>
      <c r="BA1040" s="2" t="s">
        <v>13033</v>
      </c>
      <c r="BB1040" s="2" t="s">
        <v>21</v>
      </c>
      <c r="BD1040" s="2" t="s">
        <v>13034</v>
      </c>
      <c r="BE1040" s="2" t="s">
        <v>13035</v>
      </c>
      <c r="BF1040" s="2" t="s">
        <v>13036</v>
      </c>
    </row>
    <row r="1041" spans="1:58" ht="42.75" customHeight="1" x14ac:dyDescent="0.25">
      <c r="A1041" s="8" t="s">
        <v>8</v>
      </c>
      <c r="B1041" s="1" t="s">
        <v>0</v>
      </c>
      <c r="C1041" s="1" t="s">
        <v>1</v>
      </c>
      <c r="D1041" s="1" t="s">
        <v>13037</v>
      </c>
      <c r="E1041" s="1" t="s">
        <v>13038</v>
      </c>
      <c r="F1041" s="1" t="s">
        <v>13039</v>
      </c>
      <c r="G1041" s="2" t="s">
        <v>13040</v>
      </c>
      <c r="H1041" s="2" t="s">
        <v>8</v>
      </c>
      <c r="I1041" s="2" t="s">
        <v>7</v>
      </c>
      <c r="J1041" s="2" t="s">
        <v>8</v>
      </c>
      <c r="K1041" s="2" t="s">
        <v>8</v>
      </c>
      <c r="L1041" s="2" t="s">
        <v>9</v>
      </c>
      <c r="M1041" s="1" t="s">
        <v>13041</v>
      </c>
      <c r="N1041" s="1" t="s">
        <v>13042</v>
      </c>
      <c r="O1041" s="2" t="s">
        <v>1157</v>
      </c>
      <c r="Q1041" s="2" t="s">
        <v>12</v>
      </c>
      <c r="R1041" s="2" t="s">
        <v>267</v>
      </c>
      <c r="T1041" s="2" t="s">
        <v>14</v>
      </c>
      <c r="U1041" s="3">
        <v>2</v>
      </c>
      <c r="V1041" s="3">
        <v>2</v>
      </c>
      <c r="W1041" s="4" t="s">
        <v>8133</v>
      </c>
      <c r="X1041" s="4" t="s">
        <v>8133</v>
      </c>
      <c r="Y1041" s="4" t="s">
        <v>12469</v>
      </c>
      <c r="Z1041" s="4" t="s">
        <v>12469</v>
      </c>
      <c r="AA1041" s="3">
        <v>74</v>
      </c>
      <c r="AB1041" s="3">
        <v>70</v>
      </c>
      <c r="AC1041" s="3">
        <v>74</v>
      </c>
      <c r="AD1041" s="3">
        <v>1</v>
      </c>
      <c r="AE1041" s="3">
        <v>1</v>
      </c>
      <c r="AF1041" s="3">
        <v>12</v>
      </c>
      <c r="AG1041" s="3">
        <v>12</v>
      </c>
      <c r="AH1041" s="3">
        <v>3</v>
      </c>
      <c r="AI1041" s="3">
        <v>3</v>
      </c>
      <c r="AJ1041" s="3">
        <v>1</v>
      </c>
      <c r="AK1041" s="3">
        <v>1</v>
      </c>
      <c r="AL1041" s="3">
        <v>9</v>
      </c>
      <c r="AM1041" s="3">
        <v>9</v>
      </c>
      <c r="AN1041" s="3">
        <v>0</v>
      </c>
      <c r="AO1041" s="3">
        <v>0</v>
      </c>
      <c r="AP1041" s="3">
        <v>1</v>
      </c>
      <c r="AQ1041" s="3">
        <v>1</v>
      </c>
      <c r="AR1041" s="2" t="s">
        <v>8</v>
      </c>
      <c r="AS1041" s="2" t="s">
        <v>6</v>
      </c>
      <c r="AT1041" s="5" t="str">
        <f>HYPERLINK("http://catalog.hathitrust.org/Record/102461824","HathiTrust Record")</f>
        <v>HathiTrust Record</v>
      </c>
      <c r="AU1041" s="5" t="str">
        <f>HYPERLINK("https://creighton-primo.hosted.exlibrisgroup.com/primo-explore/search?tab=default_tab&amp;search_scope=EVERYTHING&amp;vid=01CRU&amp;lang=en_US&amp;offset=0&amp;query=any,contains,991001545299702656","Catalog Record")</f>
        <v>Catalog Record</v>
      </c>
      <c r="AV1041" s="5" t="str">
        <f>HYPERLINK("http://www.worldcat.org/oclc/2549303","WorldCat Record")</f>
        <v>WorldCat Record</v>
      </c>
      <c r="AW1041" s="2" t="s">
        <v>13043</v>
      </c>
      <c r="AX1041" s="2" t="s">
        <v>13044</v>
      </c>
      <c r="AY1041" s="2" t="s">
        <v>13045</v>
      </c>
      <c r="AZ1041" s="2" t="s">
        <v>13045</v>
      </c>
      <c r="BA1041" s="2" t="s">
        <v>13046</v>
      </c>
      <c r="BB1041" s="2" t="s">
        <v>21</v>
      </c>
      <c r="BE1041" s="2" t="s">
        <v>13047</v>
      </c>
      <c r="BF1041" s="2" t="s">
        <v>13048</v>
      </c>
    </row>
    <row r="1042" spans="1:58" ht="42.75" customHeight="1" x14ac:dyDescent="0.25">
      <c r="A1042" s="8" t="s">
        <v>8</v>
      </c>
      <c r="B1042" s="1" t="s">
        <v>0</v>
      </c>
      <c r="C1042" s="1" t="s">
        <v>1</v>
      </c>
      <c r="D1042" s="1" t="s">
        <v>13049</v>
      </c>
      <c r="E1042" s="1" t="s">
        <v>13050</v>
      </c>
      <c r="F1042" s="1" t="s">
        <v>13051</v>
      </c>
      <c r="H1042" s="2" t="s">
        <v>8</v>
      </c>
      <c r="I1042" s="2" t="s">
        <v>7</v>
      </c>
      <c r="J1042" s="2" t="s">
        <v>8</v>
      </c>
      <c r="K1042" s="2" t="s">
        <v>8</v>
      </c>
      <c r="L1042" s="2" t="s">
        <v>9</v>
      </c>
      <c r="M1042" s="1" t="s">
        <v>13052</v>
      </c>
      <c r="N1042" s="1" t="s">
        <v>13053</v>
      </c>
      <c r="O1042" s="2" t="s">
        <v>673</v>
      </c>
      <c r="Q1042" s="2" t="s">
        <v>12</v>
      </c>
      <c r="R1042" s="2" t="s">
        <v>577</v>
      </c>
      <c r="T1042" s="2" t="s">
        <v>14</v>
      </c>
      <c r="U1042" s="3">
        <v>5</v>
      </c>
      <c r="V1042" s="3">
        <v>5</v>
      </c>
      <c r="W1042" s="4" t="s">
        <v>13054</v>
      </c>
      <c r="X1042" s="4" t="s">
        <v>13054</v>
      </c>
      <c r="Y1042" s="4" t="s">
        <v>13055</v>
      </c>
      <c r="Z1042" s="4" t="s">
        <v>13055</v>
      </c>
      <c r="AA1042" s="3">
        <v>72</v>
      </c>
      <c r="AB1042" s="3">
        <v>65</v>
      </c>
      <c r="AC1042" s="3">
        <v>558</v>
      </c>
      <c r="AD1042" s="3">
        <v>3</v>
      </c>
      <c r="AE1042" s="3">
        <v>3</v>
      </c>
      <c r="AF1042" s="3">
        <v>0</v>
      </c>
      <c r="AG1042" s="3">
        <v>3</v>
      </c>
      <c r="AH1042" s="3">
        <v>0</v>
      </c>
      <c r="AI1042" s="3">
        <v>2</v>
      </c>
      <c r="AJ1042" s="3">
        <v>0</v>
      </c>
      <c r="AK1042" s="3">
        <v>2</v>
      </c>
      <c r="AL1042" s="3">
        <v>0</v>
      </c>
      <c r="AM1042" s="3">
        <v>2</v>
      </c>
      <c r="AN1042" s="3">
        <v>0</v>
      </c>
      <c r="AO1042" s="3">
        <v>0</v>
      </c>
      <c r="AP1042" s="3">
        <v>0</v>
      </c>
      <c r="AQ1042" s="3">
        <v>0</v>
      </c>
      <c r="AR1042" s="2" t="s">
        <v>8</v>
      </c>
      <c r="AS1042" s="2" t="s">
        <v>8</v>
      </c>
      <c r="AU1042" s="5" t="str">
        <f>HYPERLINK("https://creighton-primo.hosted.exlibrisgroup.com/primo-explore/search?tab=default_tab&amp;search_scope=EVERYTHING&amp;vid=01CRU&amp;lang=en_US&amp;offset=0&amp;query=any,contains,991000670559702656","Catalog Record")</f>
        <v>Catalog Record</v>
      </c>
      <c r="AV1042" s="5" t="str">
        <f>HYPERLINK("http://www.worldcat.org/oclc/93884356","WorldCat Record")</f>
        <v>WorldCat Record</v>
      </c>
      <c r="AW1042" s="2" t="s">
        <v>13056</v>
      </c>
      <c r="AX1042" s="2" t="s">
        <v>13057</v>
      </c>
      <c r="AY1042" s="2" t="s">
        <v>13058</v>
      </c>
      <c r="AZ1042" s="2" t="s">
        <v>13058</v>
      </c>
      <c r="BA1042" s="2" t="s">
        <v>13059</v>
      </c>
      <c r="BB1042" s="2" t="s">
        <v>21</v>
      </c>
      <c r="BD1042" s="2" t="s">
        <v>13060</v>
      </c>
      <c r="BE1042" s="2" t="s">
        <v>13061</v>
      </c>
      <c r="BF1042" s="2" t="s">
        <v>13062</v>
      </c>
    </row>
    <row r="1043" spans="1:58" ht="42.75" customHeight="1" x14ac:dyDescent="0.25">
      <c r="A1043" s="8" t="s">
        <v>8</v>
      </c>
      <c r="B1043" s="1" t="s">
        <v>0</v>
      </c>
      <c r="C1043" s="1" t="s">
        <v>1</v>
      </c>
      <c r="D1043" s="1" t="s">
        <v>13063</v>
      </c>
      <c r="E1043" s="1" t="s">
        <v>13064</v>
      </c>
      <c r="F1043" s="1" t="s">
        <v>13065</v>
      </c>
      <c r="H1043" s="2" t="s">
        <v>8</v>
      </c>
      <c r="I1043" s="2" t="s">
        <v>7</v>
      </c>
      <c r="J1043" s="2" t="s">
        <v>6</v>
      </c>
      <c r="K1043" s="2" t="s">
        <v>8</v>
      </c>
      <c r="L1043" s="2" t="s">
        <v>9</v>
      </c>
      <c r="N1043" s="1" t="s">
        <v>13066</v>
      </c>
      <c r="O1043" s="2" t="s">
        <v>830</v>
      </c>
      <c r="P1043" s="1" t="s">
        <v>83</v>
      </c>
      <c r="Q1043" s="2" t="s">
        <v>12</v>
      </c>
      <c r="R1043" s="2" t="s">
        <v>774</v>
      </c>
      <c r="T1043" s="2" t="s">
        <v>14</v>
      </c>
      <c r="U1043" s="3">
        <v>1</v>
      </c>
      <c r="V1043" s="3">
        <v>4</v>
      </c>
      <c r="X1043" s="4" t="s">
        <v>10561</v>
      </c>
      <c r="Y1043" s="4" t="s">
        <v>13067</v>
      </c>
      <c r="Z1043" s="4" t="s">
        <v>13068</v>
      </c>
      <c r="AA1043" s="3">
        <v>250</v>
      </c>
      <c r="AB1043" s="3">
        <v>202</v>
      </c>
      <c r="AC1043" s="3">
        <v>341</v>
      </c>
      <c r="AD1043" s="3">
        <v>1</v>
      </c>
      <c r="AE1043" s="3">
        <v>1</v>
      </c>
      <c r="AF1043" s="3">
        <v>9</v>
      </c>
      <c r="AG1043" s="3">
        <v>12</v>
      </c>
      <c r="AH1043" s="3">
        <v>3</v>
      </c>
      <c r="AI1043" s="3">
        <v>5</v>
      </c>
      <c r="AJ1043" s="3">
        <v>2</v>
      </c>
      <c r="AK1043" s="3">
        <v>2</v>
      </c>
      <c r="AL1043" s="3">
        <v>4</v>
      </c>
      <c r="AM1043" s="3">
        <v>5</v>
      </c>
      <c r="AN1043" s="3">
        <v>0</v>
      </c>
      <c r="AO1043" s="3">
        <v>0</v>
      </c>
      <c r="AP1043" s="3">
        <v>1</v>
      </c>
      <c r="AQ1043" s="3">
        <v>2</v>
      </c>
      <c r="AR1043" s="2" t="s">
        <v>8</v>
      </c>
      <c r="AS1043" s="2" t="s">
        <v>6</v>
      </c>
      <c r="AT1043" s="5" t="str">
        <f>HYPERLINK("http://catalog.hathitrust.org/Record/004305698","HathiTrust Record")</f>
        <v>HathiTrust Record</v>
      </c>
      <c r="AU1043" s="5" t="str">
        <f>HYPERLINK("https://creighton-primo.hosted.exlibrisgroup.com/primo-explore/search?tab=default_tab&amp;search_scope=EVERYTHING&amp;vid=01CRU&amp;lang=en_US&amp;offset=0&amp;query=any,contains,991000426629702656","Catalog Record")</f>
        <v>Catalog Record</v>
      </c>
      <c r="AV1043" s="5" t="str">
        <f>HYPERLINK("http://www.worldcat.org/oclc/50803931","WorldCat Record")</f>
        <v>WorldCat Record</v>
      </c>
      <c r="AW1043" s="2" t="s">
        <v>13069</v>
      </c>
      <c r="AX1043" s="2" t="s">
        <v>13070</v>
      </c>
      <c r="AY1043" s="2" t="s">
        <v>13071</v>
      </c>
      <c r="AZ1043" s="2" t="s">
        <v>13071</v>
      </c>
      <c r="BA1043" s="2" t="s">
        <v>13072</v>
      </c>
      <c r="BB1043" s="2" t="s">
        <v>21</v>
      </c>
      <c r="BD1043" s="2" t="s">
        <v>13073</v>
      </c>
      <c r="BE1043" s="2" t="s">
        <v>13074</v>
      </c>
      <c r="BF1043" s="2" t="s">
        <v>13075</v>
      </c>
    </row>
    <row r="1044" spans="1:58" ht="42.75" customHeight="1" x14ac:dyDescent="0.25">
      <c r="A1044" s="8" t="s">
        <v>8</v>
      </c>
      <c r="B1044" s="1" t="s">
        <v>0</v>
      </c>
      <c r="C1044" s="1" t="s">
        <v>1</v>
      </c>
      <c r="D1044" s="1" t="s">
        <v>13063</v>
      </c>
      <c r="E1044" s="1" t="s">
        <v>13064</v>
      </c>
      <c r="F1044" s="1" t="s">
        <v>13065</v>
      </c>
      <c r="H1044" s="2" t="s">
        <v>8</v>
      </c>
      <c r="I1044" s="2" t="s">
        <v>885</v>
      </c>
      <c r="J1044" s="2" t="s">
        <v>6</v>
      </c>
      <c r="K1044" s="2" t="s">
        <v>8</v>
      </c>
      <c r="L1044" s="2" t="s">
        <v>9</v>
      </c>
      <c r="N1044" s="1" t="s">
        <v>13066</v>
      </c>
      <c r="O1044" s="2" t="s">
        <v>830</v>
      </c>
      <c r="P1044" s="1" t="s">
        <v>83</v>
      </c>
      <c r="Q1044" s="2" t="s">
        <v>12</v>
      </c>
      <c r="R1044" s="2" t="s">
        <v>774</v>
      </c>
      <c r="T1044" s="2" t="s">
        <v>14</v>
      </c>
      <c r="U1044" s="3">
        <v>3</v>
      </c>
      <c r="V1044" s="3">
        <v>4</v>
      </c>
      <c r="W1044" s="4" t="s">
        <v>10561</v>
      </c>
      <c r="X1044" s="4" t="s">
        <v>10561</v>
      </c>
      <c r="Y1044" s="4" t="s">
        <v>13068</v>
      </c>
      <c r="Z1044" s="4" t="s">
        <v>13068</v>
      </c>
      <c r="AA1044" s="3">
        <v>250</v>
      </c>
      <c r="AB1044" s="3">
        <v>202</v>
      </c>
      <c r="AC1044" s="3">
        <v>341</v>
      </c>
      <c r="AD1044" s="3">
        <v>1</v>
      </c>
      <c r="AE1044" s="3">
        <v>1</v>
      </c>
      <c r="AF1044" s="3">
        <v>9</v>
      </c>
      <c r="AG1044" s="3">
        <v>12</v>
      </c>
      <c r="AH1044" s="3">
        <v>3</v>
      </c>
      <c r="AI1044" s="3">
        <v>5</v>
      </c>
      <c r="AJ1044" s="3">
        <v>2</v>
      </c>
      <c r="AK1044" s="3">
        <v>2</v>
      </c>
      <c r="AL1044" s="3">
        <v>4</v>
      </c>
      <c r="AM1044" s="3">
        <v>5</v>
      </c>
      <c r="AN1044" s="3">
        <v>0</v>
      </c>
      <c r="AO1044" s="3">
        <v>0</v>
      </c>
      <c r="AP1044" s="3">
        <v>1</v>
      </c>
      <c r="AQ1044" s="3">
        <v>2</v>
      </c>
      <c r="AR1044" s="2" t="s">
        <v>8</v>
      </c>
      <c r="AS1044" s="2" t="s">
        <v>6</v>
      </c>
      <c r="AT1044" s="5" t="str">
        <f>HYPERLINK("http://catalog.hathitrust.org/Record/004305698","HathiTrust Record")</f>
        <v>HathiTrust Record</v>
      </c>
      <c r="AU1044" s="5" t="str">
        <f>HYPERLINK("https://creighton-primo.hosted.exlibrisgroup.com/primo-explore/search?tab=default_tab&amp;search_scope=EVERYTHING&amp;vid=01CRU&amp;lang=en_US&amp;offset=0&amp;query=any,contains,991000426629702656","Catalog Record")</f>
        <v>Catalog Record</v>
      </c>
      <c r="AV1044" s="5" t="str">
        <f>HYPERLINK("http://www.worldcat.org/oclc/50803931","WorldCat Record")</f>
        <v>WorldCat Record</v>
      </c>
      <c r="AW1044" s="2" t="s">
        <v>13069</v>
      </c>
      <c r="AX1044" s="2" t="s">
        <v>13070</v>
      </c>
      <c r="AY1044" s="2" t="s">
        <v>13071</v>
      </c>
      <c r="AZ1044" s="2" t="s">
        <v>13071</v>
      </c>
      <c r="BA1044" s="2" t="s">
        <v>13072</v>
      </c>
      <c r="BB1044" s="2" t="s">
        <v>21</v>
      </c>
      <c r="BD1044" s="2" t="s">
        <v>13073</v>
      </c>
      <c r="BE1044" s="2" t="s">
        <v>13076</v>
      </c>
      <c r="BF1044" s="2" t="s">
        <v>13077</v>
      </c>
    </row>
    <row r="1045" spans="1:58" ht="42.75" customHeight="1" x14ac:dyDescent="0.25">
      <c r="A1045" s="8" t="s">
        <v>8</v>
      </c>
      <c r="B1045" s="1" t="s">
        <v>0</v>
      </c>
      <c r="C1045" s="1" t="s">
        <v>1</v>
      </c>
      <c r="D1045" s="1" t="s">
        <v>13078</v>
      </c>
      <c r="E1045" s="1" t="s">
        <v>13079</v>
      </c>
      <c r="F1045" s="1" t="s">
        <v>13080</v>
      </c>
      <c r="G1045" s="2" t="s">
        <v>13081</v>
      </c>
      <c r="H1045" s="2" t="s">
        <v>6</v>
      </c>
      <c r="I1045" s="2" t="s">
        <v>7</v>
      </c>
      <c r="J1045" s="2" t="s">
        <v>8</v>
      </c>
      <c r="K1045" s="2" t="s">
        <v>8</v>
      </c>
      <c r="L1045" s="2" t="s">
        <v>7</v>
      </c>
      <c r="N1045" s="1" t="s">
        <v>13082</v>
      </c>
      <c r="O1045" s="2" t="s">
        <v>2089</v>
      </c>
      <c r="Q1045" s="2" t="s">
        <v>12</v>
      </c>
      <c r="R1045" s="2" t="s">
        <v>1170</v>
      </c>
      <c r="T1045" s="2" t="s">
        <v>14</v>
      </c>
      <c r="U1045" s="3">
        <v>1</v>
      </c>
      <c r="V1045" s="3">
        <v>2</v>
      </c>
      <c r="W1045" s="4" t="s">
        <v>13083</v>
      </c>
      <c r="X1045" s="4" t="s">
        <v>13084</v>
      </c>
      <c r="Y1045" s="4" t="s">
        <v>2539</v>
      </c>
      <c r="Z1045" s="4" t="s">
        <v>2539</v>
      </c>
      <c r="AA1045" s="3">
        <v>717</v>
      </c>
      <c r="AB1045" s="3">
        <v>603</v>
      </c>
      <c r="AC1045" s="3">
        <v>807</v>
      </c>
      <c r="AD1045" s="3">
        <v>3</v>
      </c>
      <c r="AE1045" s="3">
        <v>6</v>
      </c>
      <c r="AF1045" s="3">
        <v>20</v>
      </c>
      <c r="AG1045" s="3">
        <v>32</v>
      </c>
      <c r="AH1045" s="3">
        <v>10</v>
      </c>
      <c r="AI1045" s="3">
        <v>15</v>
      </c>
      <c r="AJ1045" s="3">
        <v>4</v>
      </c>
      <c r="AK1045" s="3">
        <v>7</v>
      </c>
      <c r="AL1045" s="3">
        <v>7</v>
      </c>
      <c r="AM1045" s="3">
        <v>11</v>
      </c>
      <c r="AN1045" s="3">
        <v>2</v>
      </c>
      <c r="AO1045" s="3">
        <v>4</v>
      </c>
      <c r="AP1045" s="3">
        <v>0</v>
      </c>
      <c r="AQ1045" s="3">
        <v>0</v>
      </c>
      <c r="AR1045" s="2" t="s">
        <v>8</v>
      </c>
      <c r="AS1045" s="2" t="s">
        <v>6</v>
      </c>
      <c r="AT1045" s="5" t="str">
        <f>HYPERLINK("http://catalog.hathitrust.org/Record/004967431","HathiTrust Record")</f>
        <v>HathiTrust Record</v>
      </c>
      <c r="AU1045" s="5" t="str">
        <f>HYPERLINK("https://creighton-primo.hosted.exlibrisgroup.com/primo-explore/search?tab=default_tab&amp;search_scope=EVERYTHING&amp;vid=01CRU&amp;lang=en_US&amp;offset=0&amp;query=any,contains,991000478049702656","Catalog Record")</f>
        <v>Catalog Record</v>
      </c>
      <c r="AV1045" s="5" t="str">
        <f>HYPERLINK("http://www.worldcat.org/oclc/60791594","WorldCat Record")</f>
        <v>WorldCat Record</v>
      </c>
      <c r="AW1045" s="2" t="s">
        <v>13085</v>
      </c>
      <c r="AX1045" s="2" t="s">
        <v>13086</v>
      </c>
      <c r="AY1045" s="2" t="s">
        <v>13087</v>
      </c>
      <c r="AZ1045" s="2" t="s">
        <v>13087</v>
      </c>
      <c r="BA1045" s="2" t="s">
        <v>13088</v>
      </c>
      <c r="BB1045" s="2" t="s">
        <v>21</v>
      </c>
      <c r="BD1045" s="2" t="s">
        <v>13089</v>
      </c>
      <c r="BE1045" s="2" t="s">
        <v>13090</v>
      </c>
      <c r="BF1045" s="2" t="s">
        <v>13091</v>
      </c>
    </row>
    <row r="1046" spans="1:58" ht="42.75" customHeight="1" x14ac:dyDescent="0.25">
      <c r="A1046" s="8" t="s">
        <v>8</v>
      </c>
      <c r="B1046" s="1" t="s">
        <v>0</v>
      </c>
      <c r="C1046" s="1" t="s">
        <v>1</v>
      </c>
      <c r="D1046" s="1" t="s">
        <v>13078</v>
      </c>
      <c r="E1046" s="1" t="s">
        <v>13079</v>
      </c>
      <c r="F1046" s="1" t="s">
        <v>13080</v>
      </c>
      <c r="G1046" s="2" t="s">
        <v>7671</v>
      </c>
      <c r="H1046" s="2" t="s">
        <v>6</v>
      </c>
      <c r="I1046" s="2" t="s">
        <v>7</v>
      </c>
      <c r="J1046" s="2" t="s">
        <v>8</v>
      </c>
      <c r="K1046" s="2" t="s">
        <v>8</v>
      </c>
      <c r="L1046" s="2" t="s">
        <v>7</v>
      </c>
      <c r="N1046" s="1" t="s">
        <v>13082</v>
      </c>
      <c r="O1046" s="2" t="s">
        <v>2089</v>
      </c>
      <c r="Q1046" s="2" t="s">
        <v>12</v>
      </c>
      <c r="R1046" s="2" t="s">
        <v>1170</v>
      </c>
      <c r="T1046" s="2" t="s">
        <v>14</v>
      </c>
      <c r="U1046" s="3">
        <v>0</v>
      </c>
      <c r="V1046" s="3">
        <v>2</v>
      </c>
      <c r="X1046" s="4" t="s">
        <v>13084</v>
      </c>
      <c r="Y1046" s="4" t="s">
        <v>2539</v>
      </c>
      <c r="Z1046" s="4" t="s">
        <v>2539</v>
      </c>
      <c r="AA1046" s="3">
        <v>717</v>
      </c>
      <c r="AB1046" s="3">
        <v>603</v>
      </c>
      <c r="AC1046" s="3">
        <v>807</v>
      </c>
      <c r="AD1046" s="3">
        <v>3</v>
      </c>
      <c r="AE1046" s="3">
        <v>6</v>
      </c>
      <c r="AF1046" s="3">
        <v>20</v>
      </c>
      <c r="AG1046" s="3">
        <v>32</v>
      </c>
      <c r="AH1046" s="3">
        <v>10</v>
      </c>
      <c r="AI1046" s="3">
        <v>15</v>
      </c>
      <c r="AJ1046" s="3">
        <v>4</v>
      </c>
      <c r="AK1046" s="3">
        <v>7</v>
      </c>
      <c r="AL1046" s="3">
        <v>7</v>
      </c>
      <c r="AM1046" s="3">
        <v>11</v>
      </c>
      <c r="AN1046" s="3">
        <v>2</v>
      </c>
      <c r="AO1046" s="3">
        <v>4</v>
      </c>
      <c r="AP1046" s="3">
        <v>0</v>
      </c>
      <c r="AQ1046" s="3">
        <v>0</v>
      </c>
      <c r="AR1046" s="2" t="s">
        <v>8</v>
      </c>
      <c r="AS1046" s="2" t="s">
        <v>6</v>
      </c>
      <c r="AT1046" s="5" t="str">
        <f>HYPERLINK("http://catalog.hathitrust.org/Record/004967431","HathiTrust Record")</f>
        <v>HathiTrust Record</v>
      </c>
      <c r="AU1046" s="5" t="str">
        <f>HYPERLINK("https://creighton-primo.hosted.exlibrisgroup.com/primo-explore/search?tab=default_tab&amp;search_scope=EVERYTHING&amp;vid=01CRU&amp;lang=en_US&amp;offset=0&amp;query=any,contains,991000478049702656","Catalog Record")</f>
        <v>Catalog Record</v>
      </c>
      <c r="AV1046" s="5" t="str">
        <f>HYPERLINK("http://www.worldcat.org/oclc/60791594","WorldCat Record")</f>
        <v>WorldCat Record</v>
      </c>
      <c r="AW1046" s="2" t="s">
        <v>13085</v>
      </c>
      <c r="AX1046" s="2" t="s">
        <v>13086</v>
      </c>
      <c r="AY1046" s="2" t="s">
        <v>13087</v>
      </c>
      <c r="AZ1046" s="2" t="s">
        <v>13087</v>
      </c>
      <c r="BA1046" s="2" t="s">
        <v>13088</v>
      </c>
      <c r="BB1046" s="2" t="s">
        <v>21</v>
      </c>
      <c r="BD1046" s="2" t="s">
        <v>13089</v>
      </c>
      <c r="BE1046" s="2" t="s">
        <v>13092</v>
      </c>
      <c r="BF1046" s="2" t="s">
        <v>13093</v>
      </c>
    </row>
    <row r="1047" spans="1:58" ht="42.75" customHeight="1" x14ac:dyDescent="0.25">
      <c r="A1047" s="8" t="s">
        <v>8</v>
      </c>
      <c r="B1047" s="1" t="s">
        <v>0</v>
      </c>
      <c r="C1047" s="1" t="s">
        <v>1</v>
      </c>
      <c r="D1047" s="1" t="s">
        <v>13078</v>
      </c>
      <c r="E1047" s="1" t="s">
        <v>13079</v>
      </c>
      <c r="F1047" s="1" t="s">
        <v>13080</v>
      </c>
      <c r="G1047" s="2" t="s">
        <v>3733</v>
      </c>
      <c r="H1047" s="2" t="s">
        <v>6</v>
      </c>
      <c r="I1047" s="2" t="s">
        <v>7</v>
      </c>
      <c r="J1047" s="2" t="s">
        <v>8</v>
      </c>
      <c r="K1047" s="2" t="s">
        <v>8</v>
      </c>
      <c r="L1047" s="2" t="s">
        <v>7</v>
      </c>
      <c r="N1047" s="1" t="s">
        <v>13082</v>
      </c>
      <c r="O1047" s="2" t="s">
        <v>2089</v>
      </c>
      <c r="Q1047" s="2" t="s">
        <v>12</v>
      </c>
      <c r="R1047" s="2" t="s">
        <v>1170</v>
      </c>
      <c r="T1047" s="2" t="s">
        <v>14</v>
      </c>
      <c r="U1047" s="3">
        <v>0</v>
      </c>
      <c r="V1047" s="3">
        <v>2</v>
      </c>
      <c r="W1047" s="4" t="s">
        <v>13084</v>
      </c>
      <c r="X1047" s="4" t="s">
        <v>13084</v>
      </c>
      <c r="Y1047" s="4" t="s">
        <v>2539</v>
      </c>
      <c r="Z1047" s="4" t="s">
        <v>2539</v>
      </c>
      <c r="AA1047" s="3">
        <v>717</v>
      </c>
      <c r="AB1047" s="3">
        <v>603</v>
      </c>
      <c r="AC1047" s="3">
        <v>807</v>
      </c>
      <c r="AD1047" s="3">
        <v>3</v>
      </c>
      <c r="AE1047" s="3">
        <v>6</v>
      </c>
      <c r="AF1047" s="3">
        <v>20</v>
      </c>
      <c r="AG1047" s="3">
        <v>32</v>
      </c>
      <c r="AH1047" s="3">
        <v>10</v>
      </c>
      <c r="AI1047" s="3">
        <v>15</v>
      </c>
      <c r="AJ1047" s="3">
        <v>4</v>
      </c>
      <c r="AK1047" s="3">
        <v>7</v>
      </c>
      <c r="AL1047" s="3">
        <v>7</v>
      </c>
      <c r="AM1047" s="3">
        <v>11</v>
      </c>
      <c r="AN1047" s="3">
        <v>2</v>
      </c>
      <c r="AO1047" s="3">
        <v>4</v>
      </c>
      <c r="AP1047" s="3">
        <v>0</v>
      </c>
      <c r="AQ1047" s="3">
        <v>0</v>
      </c>
      <c r="AR1047" s="2" t="s">
        <v>8</v>
      </c>
      <c r="AS1047" s="2" t="s">
        <v>6</v>
      </c>
      <c r="AT1047" s="5" t="str">
        <f>HYPERLINK("http://catalog.hathitrust.org/Record/004967431","HathiTrust Record")</f>
        <v>HathiTrust Record</v>
      </c>
      <c r="AU1047" s="5" t="str">
        <f>HYPERLINK("https://creighton-primo.hosted.exlibrisgroup.com/primo-explore/search?tab=default_tab&amp;search_scope=EVERYTHING&amp;vid=01CRU&amp;lang=en_US&amp;offset=0&amp;query=any,contains,991000478049702656","Catalog Record")</f>
        <v>Catalog Record</v>
      </c>
      <c r="AV1047" s="5" t="str">
        <f>HYPERLINK("http://www.worldcat.org/oclc/60791594","WorldCat Record")</f>
        <v>WorldCat Record</v>
      </c>
      <c r="AW1047" s="2" t="s">
        <v>13085</v>
      </c>
      <c r="AX1047" s="2" t="s">
        <v>13086</v>
      </c>
      <c r="AY1047" s="2" t="s">
        <v>13087</v>
      </c>
      <c r="AZ1047" s="2" t="s">
        <v>13087</v>
      </c>
      <c r="BA1047" s="2" t="s">
        <v>13088</v>
      </c>
      <c r="BB1047" s="2" t="s">
        <v>21</v>
      </c>
      <c r="BD1047" s="2" t="s">
        <v>13089</v>
      </c>
      <c r="BE1047" s="2" t="s">
        <v>13094</v>
      </c>
      <c r="BF1047" s="2" t="s">
        <v>13095</v>
      </c>
    </row>
    <row r="1048" spans="1:58" ht="42.75" customHeight="1" x14ac:dyDescent="0.25">
      <c r="A1048" s="8" t="s">
        <v>8</v>
      </c>
      <c r="B1048" s="1" t="s">
        <v>0</v>
      </c>
      <c r="C1048" s="1" t="s">
        <v>1</v>
      </c>
      <c r="D1048" s="1" t="s">
        <v>13078</v>
      </c>
      <c r="E1048" s="1" t="s">
        <v>13079</v>
      </c>
      <c r="F1048" s="1" t="s">
        <v>13080</v>
      </c>
      <c r="G1048" s="2" t="s">
        <v>13096</v>
      </c>
      <c r="H1048" s="2" t="s">
        <v>6</v>
      </c>
      <c r="I1048" s="2" t="s">
        <v>7</v>
      </c>
      <c r="J1048" s="2" t="s">
        <v>8</v>
      </c>
      <c r="K1048" s="2" t="s">
        <v>8</v>
      </c>
      <c r="L1048" s="2" t="s">
        <v>7</v>
      </c>
      <c r="N1048" s="1" t="s">
        <v>13082</v>
      </c>
      <c r="O1048" s="2" t="s">
        <v>2089</v>
      </c>
      <c r="Q1048" s="2" t="s">
        <v>12</v>
      </c>
      <c r="R1048" s="2" t="s">
        <v>1170</v>
      </c>
      <c r="T1048" s="2" t="s">
        <v>14</v>
      </c>
      <c r="U1048" s="3">
        <v>0</v>
      </c>
      <c r="V1048" s="3">
        <v>2</v>
      </c>
      <c r="X1048" s="4" t="s">
        <v>13084</v>
      </c>
      <c r="Y1048" s="4" t="s">
        <v>2539</v>
      </c>
      <c r="Z1048" s="4" t="s">
        <v>2539</v>
      </c>
      <c r="AA1048" s="3">
        <v>717</v>
      </c>
      <c r="AB1048" s="3">
        <v>603</v>
      </c>
      <c r="AC1048" s="3">
        <v>807</v>
      </c>
      <c r="AD1048" s="3">
        <v>3</v>
      </c>
      <c r="AE1048" s="3">
        <v>6</v>
      </c>
      <c r="AF1048" s="3">
        <v>20</v>
      </c>
      <c r="AG1048" s="3">
        <v>32</v>
      </c>
      <c r="AH1048" s="3">
        <v>10</v>
      </c>
      <c r="AI1048" s="3">
        <v>15</v>
      </c>
      <c r="AJ1048" s="3">
        <v>4</v>
      </c>
      <c r="AK1048" s="3">
        <v>7</v>
      </c>
      <c r="AL1048" s="3">
        <v>7</v>
      </c>
      <c r="AM1048" s="3">
        <v>11</v>
      </c>
      <c r="AN1048" s="3">
        <v>2</v>
      </c>
      <c r="AO1048" s="3">
        <v>4</v>
      </c>
      <c r="AP1048" s="3">
        <v>0</v>
      </c>
      <c r="AQ1048" s="3">
        <v>0</v>
      </c>
      <c r="AR1048" s="2" t="s">
        <v>8</v>
      </c>
      <c r="AS1048" s="2" t="s">
        <v>6</v>
      </c>
      <c r="AT1048" s="5" t="str">
        <f>HYPERLINK("http://catalog.hathitrust.org/Record/004967431","HathiTrust Record")</f>
        <v>HathiTrust Record</v>
      </c>
      <c r="AU1048" s="5" t="str">
        <f>HYPERLINK("https://creighton-primo.hosted.exlibrisgroup.com/primo-explore/search?tab=default_tab&amp;search_scope=EVERYTHING&amp;vid=01CRU&amp;lang=en_US&amp;offset=0&amp;query=any,contains,991000478049702656","Catalog Record")</f>
        <v>Catalog Record</v>
      </c>
      <c r="AV1048" s="5" t="str">
        <f>HYPERLINK("http://www.worldcat.org/oclc/60791594","WorldCat Record")</f>
        <v>WorldCat Record</v>
      </c>
      <c r="AW1048" s="2" t="s">
        <v>13085</v>
      </c>
      <c r="AX1048" s="2" t="s">
        <v>13086</v>
      </c>
      <c r="AY1048" s="2" t="s">
        <v>13087</v>
      </c>
      <c r="AZ1048" s="2" t="s">
        <v>13087</v>
      </c>
      <c r="BA1048" s="2" t="s">
        <v>13088</v>
      </c>
      <c r="BB1048" s="2" t="s">
        <v>21</v>
      </c>
      <c r="BD1048" s="2" t="s">
        <v>13089</v>
      </c>
      <c r="BE1048" s="2" t="s">
        <v>13097</v>
      </c>
      <c r="BF1048" s="2" t="s">
        <v>13098</v>
      </c>
    </row>
    <row r="1049" spans="1:58" ht="42.75" customHeight="1" x14ac:dyDescent="0.25">
      <c r="A1049" s="8" t="s">
        <v>8</v>
      </c>
      <c r="B1049" s="1" t="s">
        <v>0</v>
      </c>
      <c r="C1049" s="1" t="s">
        <v>1</v>
      </c>
      <c r="D1049" s="1" t="s">
        <v>13078</v>
      </c>
      <c r="E1049" s="1" t="s">
        <v>13079</v>
      </c>
      <c r="F1049" s="1" t="s">
        <v>13080</v>
      </c>
      <c r="G1049" s="2" t="s">
        <v>13099</v>
      </c>
      <c r="H1049" s="2" t="s">
        <v>6</v>
      </c>
      <c r="I1049" s="2" t="s">
        <v>7</v>
      </c>
      <c r="J1049" s="2" t="s">
        <v>8</v>
      </c>
      <c r="K1049" s="2" t="s">
        <v>8</v>
      </c>
      <c r="L1049" s="2" t="s">
        <v>7</v>
      </c>
      <c r="N1049" s="1" t="s">
        <v>13082</v>
      </c>
      <c r="O1049" s="2" t="s">
        <v>2089</v>
      </c>
      <c r="Q1049" s="2" t="s">
        <v>12</v>
      </c>
      <c r="R1049" s="2" t="s">
        <v>1170</v>
      </c>
      <c r="T1049" s="2" t="s">
        <v>14</v>
      </c>
      <c r="U1049" s="3">
        <v>1</v>
      </c>
      <c r="V1049" s="3">
        <v>2</v>
      </c>
      <c r="X1049" s="4" t="s">
        <v>13084</v>
      </c>
      <c r="Y1049" s="4" t="s">
        <v>2539</v>
      </c>
      <c r="Z1049" s="4" t="s">
        <v>2539</v>
      </c>
      <c r="AA1049" s="3">
        <v>717</v>
      </c>
      <c r="AB1049" s="3">
        <v>603</v>
      </c>
      <c r="AC1049" s="3">
        <v>807</v>
      </c>
      <c r="AD1049" s="3">
        <v>3</v>
      </c>
      <c r="AE1049" s="3">
        <v>6</v>
      </c>
      <c r="AF1049" s="3">
        <v>20</v>
      </c>
      <c r="AG1049" s="3">
        <v>32</v>
      </c>
      <c r="AH1049" s="3">
        <v>10</v>
      </c>
      <c r="AI1049" s="3">
        <v>15</v>
      </c>
      <c r="AJ1049" s="3">
        <v>4</v>
      </c>
      <c r="AK1049" s="3">
        <v>7</v>
      </c>
      <c r="AL1049" s="3">
        <v>7</v>
      </c>
      <c r="AM1049" s="3">
        <v>11</v>
      </c>
      <c r="AN1049" s="3">
        <v>2</v>
      </c>
      <c r="AO1049" s="3">
        <v>4</v>
      </c>
      <c r="AP1049" s="3">
        <v>0</v>
      </c>
      <c r="AQ1049" s="3">
        <v>0</v>
      </c>
      <c r="AR1049" s="2" t="s">
        <v>8</v>
      </c>
      <c r="AS1049" s="2" t="s">
        <v>6</v>
      </c>
      <c r="AT1049" s="5" t="str">
        <f>HYPERLINK("http://catalog.hathitrust.org/Record/004967431","HathiTrust Record")</f>
        <v>HathiTrust Record</v>
      </c>
      <c r="AU1049" s="5" t="str">
        <f>HYPERLINK("https://creighton-primo.hosted.exlibrisgroup.com/primo-explore/search?tab=default_tab&amp;search_scope=EVERYTHING&amp;vid=01CRU&amp;lang=en_US&amp;offset=0&amp;query=any,contains,991000478049702656","Catalog Record")</f>
        <v>Catalog Record</v>
      </c>
      <c r="AV1049" s="5" t="str">
        <f>HYPERLINK("http://www.worldcat.org/oclc/60791594","WorldCat Record")</f>
        <v>WorldCat Record</v>
      </c>
      <c r="AW1049" s="2" t="s">
        <v>13085</v>
      </c>
      <c r="AX1049" s="2" t="s">
        <v>13086</v>
      </c>
      <c r="AY1049" s="2" t="s">
        <v>13087</v>
      </c>
      <c r="AZ1049" s="2" t="s">
        <v>13087</v>
      </c>
      <c r="BA1049" s="2" t="s">
        <v>13088</v>
      </c>
      <c r="BB1049" s="2" t="s">
        <v>21</v>
      </c>
      <c r="BD1049" s="2" t="s">
        <v>13089</v>
      </c>
      <c r="BE1049" s="2" t="s">
        <v>13100</v>
      </c>
      <c r="BF1049" s="2" t="s">
        <v>13101</v>
      </c>
    </row>
    <row r="1050" spans="1:58" ht="42.75" customHeight="1" x14ac:dyDescent="0.25">
      <c r="A1050" s="8" t="s">
        <v>8</v>
      </c>
      <c r="B1050" s="1" t="s">
        <v>0</v>
      </c>
      <c r="C1050" s="1" t="s">
        <v>1</v>
      </c>
      <c r="D1050" s="1" t="s">
        <v>13102</v>
      </c>
      <c r="E1050" s="1" t="s">
        <v>13103</v>
      </c>
      <c r="F1050" s="1" t="s">
        <v>13104</v>
      </c>
      <c r="H1050" s="2" t="s">
        <v>8</v>
      </c>
      <c r="I1050" s="2" t="s">
        <v>7</v>
      </c>
      <c r="J1050" s="2" t="s">
        <v>8</v>
      </c>
      <c r="K1050" s="2" t="s">
        <v>8</v>
      </c>
      <c r="L1050" s="2" t="s">
        <v>7</v>
      </c>
      <c r="N1050" s="1" t="s">
        <v>13105</v>
      </c>
      <c r="O1050" s="2" t="s">
        <v>830</v>
      </c>
      <c r="Q1050" s="2" t="s">
        <v>12</v>
      </c>
      <c r="R1050" s="2" t="s">
        <v>13</v>
      </c>
      <c r="T1050" s="2" t="s">
        <v>14</v>
      </c>
      <c r="U1050" s="3">
        <v>0</v>
      </c>
      <c r="V1050" s="3">
        <v>0</v>
      </c>
      <c r="W1050" s="4" t="s">
        <v>13084</v>
      </c>
      <c r="X1050" s="4" t="s">
        <v>13084</v>
      </c>
      <c r="Y1050" s="4" t="s">
        <v>13106</v>
      </c>
      <c r="Z1050" s="4" t="s">
        <v>13106</v>
      </c>
      <c r="AA1050" s="3">
        <v>116</v>
      </c>
      <c r="AB1050" s="3">
        <v>82</v>
      </c>
      <c r="AC1050" s="3">
        <v>788</v>
      </c>
      <c r="AD1050" s="3">
        <v>1</v>
      </c>
      <c r="AE1050" s="3">
        <v>12</v>
      </c>
      <c r="AF1050" s="3">
        <v>3</v>
      </c>
      <c r="AG1050" s="3">
        <v>37</v>
      </c>
      <c r="AH1050" s="3">
        <v>1</v>
      </c>
      <c r="AI1050" s="3">
        <v>10</v>
      </c>
      <c r="AJ1050" s="3">
        <v>1</v>
      </c>
      <c r="AK1050" s="3">
        <v>9</v>
      </c>
      <c r="AL1050" s="3">
        <v>1</v>
      </c>
      <c r="AM1050" s="3">
        <v>11</v>
      </c>
      <c r="AN1050" s="3">
        <v>0</v>
      </c>
      <c r="AO1050" s="3">
        <v>10</v>
      </c>
      <c r="AP1050" s="3">
        <v>0</v>
      </c>
      <c r="AQ1050" s="3">
        <v>2</v>
      </c>
      <c r="AR1050" s="2" t="s">
        <v>8</v>
      </c>
      <c r="AS1050" s="2" t="s">
        <v>8</v>
      </c>
      <c r="AU1050" s="5" t="str">
        <f>HYPERLINK("https://creighton-primo.hosted.exlibrisgroup.com/primo-explore/search?tab=default_tab&amp;search_scope=EVERYTHING&amp;vid=01CRU&amp;lang=en_US&amp;offset=0&amp;query=any,contains,991000478379702656","Catalog Record")</f>
        <v>Catalog Record</v>
      </c>
      <c r="AV1050" s="5" t="str">
        <f>HYPERLINK("http://www.worldcat.org/oclc/53398008","WorldCat Record")</f>
        <v>WorldCat Record</v>
      </c>
      <c r="AW1050" s="2" t="s">
        <v>13107</v>
      </c>
      <c r="AX1050" s="2" t="s">
        <v>13108</v>
      </c>
      <c r="AY1050" s="2" t="s">
        <v>13109</v>
      </c>
      <c r="AZ1050" s="2" t="s">
        <v>13109</v>
      </c>
      <c r="BA1050" s="2" t="s">
        <v>13110</v>
      </c>
      <c r="BB1050" s="2" t="s">
        <v>21</v>
      </c>
      <c r="BD1050" s="2" t="s">
        <v>13111</v>
      </c>
      <c r="BE1050" s="2" t="s">
        <v>13112</v>
      </c>
      <c r="BF1050" s="2" t="s">
        <v>13113</v>
      </c>
    </row>
    <row r="1051" spans="1:58" ht="42.75" customHeight="1" x14ac:dyDescent="0.25">
      <c r="A1051" s="8" t="s">
        <v>8</v>
      </c>
      <c r="B1051" s="1" t="s">
        <v>0</v>
      </c>
      <c r="C1051" s="1" t="s">
        <v>1</v>
      </c>
      <c r="D1051" s="1" t="s">
        <v>13114</v>
      </c>
      <c r="E1051" s="1" t="s">
        <v>13115</v>
      </c>
      <c r="F1051" s="1" t="s">
        <v>13116</v>
      </c>
      <c r="H1051" s="2" t="s">
        <v>8</v>
      </c>
      <c r="I1051" s="2" t="s">
        <v>7</v>
      </c>
      <c r="J1051" s="2" t="s">
        <v>8</v>
      </c>
      <c r="K1051" s="2" t="s">
        <v>8</v>
      </c>
      <c r="L1051" s="2" t="s">
        <v>9</v>
      </c>
      <c r="M1051" s="1" t="s">
        <v>13117</v>
      </c>
      <c r="N1051" s="1" t="s">
        <v>13118</v>
      </c>
      <c r="O1051" s="2" t="s">
        <v>614</v>
      </c>
      <c r="Q1051" s="2" t="s">
        <v>12</v>
      </c>
      <c r="R1051" s="2" t="s">
        <v>628</v>
      </c>
      <c r="T1051" s="2" t="s">
        <v>14</v>
      </c>
      <c r="U1051" s="3">
        <v>33</v>
      </c>
      <c r="V1051" s="3">
        <v>33</v>
      </c>
      <c r="W1051" s="4" t="s">
        <v>13119</v>
      </c>
      <c r="X1051" s="4" t="s">
        <v>13119</v>
      </c>
      <c r="Y1051" s="4" t="s">
        <v>13120</v>
      </c>
      <c r="Z1051" s="4" t="s">
        <v>13120</v>
      </c>
      <c r="AA1051" s="3">
        <v>551</v>
      </c>
      <c r="AB1051" s="3">
        <v>472</v>
      </c>
      <c r="AC1051" s="3">
        <v>651</v>
      </c>
      <c r="AD1051" s="3">
        <v>2</v>
      </c>
      <c r="AE1051" s="3">
        <v>2</v>
      </c>
      <c r="AF1051" s="3">
        <v>25</v>
      </c>
      <c r="AG1051" s="3">
        <v>31</v>
      </c>
      <c r="AH1051" s="3">
        <v>10</v>
      </c>
      <c r="AI1051" s="3">
        <v>15</v>
      </c>
      <c r="AJ1051" s="3">
        <v>6</v>
      </c>
      <c r="AK1051" s="3">
        <v>7</v>
      </c>
      <c r="AL1051" s="3">
        <v>16</v>
      </c>
      <c r="AM1051" s="3">
        <v>18</v>
      </c>
      <c r="AN1051" s="3">
        <v>1</v>
      </c>
      <c r="AO1051" s="3">
        <v>1</v>
      </c>
      <c r="AP1051" s="3">
        <v>0</v>
      </c>
      <c r="AQ1051" s="3">
        <v>0</v>
      </c>
      <c r="AR1051" s="2" t="s">
        <v>8</v>
      </c>
      <c r="AS1051" s="2" t="s">
        <v>8</v>
      </c>
      <c r="AU1051" s="5" t="str">
        <f>HYPERLINK("https://creighton-primo.hosted.exlibrisgroup.com/primo-explore/search?tab=default_tab&amp;search_scope=EVERYTHING&amp;vid=01CRU&amp;lang=en_US&amp;offset=0&amp;query=any,contains,991000560769702656","Catalog Record")</f>
        <v>Catalog Record</v>
      </c>
      <c r="AV1051" s="5" t="str">
        <f>HYPERLINK("http://www.worldcat.org/oclc/24065969","WorldCat Record")</f>
        <v>WorldCat Record</v>
      </c>
      <c r="AW1051" s="2" t="s">
        <v>13121</v>
      </c>
      <c r="AX1051" s="2" t="s">
        <v>13122</v>
      </c>
      <c r="AY1051" s="2" t="s">
        <v>13123</v>
      </c>
      <c r="AZ1051" s="2" t="s">
        <v>13123</v>
      </c>
      <c r="BA1051" s="2" t="s">
        <v>13124</v>
      </c>
      <c r="BB1051" s="2" t="s">
        <v>21</v>
      </c>
      <c r="BD1051" s="2" t="s">
        <v>13125</v>
      </c>
      <c r="BE1051" s="2" t="s">
        <v>13126</v>
      </c>
      <c r="BF1051" s="2" t="s">
        <v>13127</v>
      </c>
    </row>
    <row r="1052" spans="1:58" ht="42.75" customHeight="1" x14ac:dyDescent="0.25">
      <c r="A1052" s="8" t="s">
        <v>8</v>
      </c>
      <c r="B1052" s="1" t="s">
        <v>0</v>
      </c>
      <c r="C1052" s="1" t="s">
        <v>1</v>
      </c>
      <c r="D1052" s="1" t="s">
        <v>13128</v>
      </c>
      <c r="E1052" s="1" t="s">
        <v>13129</v>
      </c>
      <c r="F1052" s="1" t="s">
        <v>13130</v>
      </c>
      <c r="H1052" s="2" t="s">
        <v>8</v>
      </c>
      <c r="I1052" s="2" t="s">
        <v>7</v>
      </c>
      <c r="J1052" s="2" t="s">
        <v>8</v>
      </c>
      <c r="K1052" s="2" t="s">
        <v>8</v>
      </c>
      <c r="L1052" s="2" t="s">
        <v>9</v>
      </c>
      <c r="N1052" s="1" t="s">
        <v>13131</v>
      </c>
      <c r="O1052" s="2" t="s">
        <v>208</v>
      </c>
      <c r="Q1052" s="2" t="s">
        <v>12</v>
      </c>
      <c r="R1052" s="2" t="s">
        <v>815</v>
      </c>
      <c r="T1052" s="2" t="s">
        <v>14</v>
      </c>
      <c r="U1052" s="3">
        <v>1</v>
      </c>
      <c r="V1052" s="3">
        <v>1</v>
      </c>
      <c r="W1052" s="4" t="s">
        <v>13132</v>
      </c>
      <c r="X1052" s="4" t="s">
        <v>13132</v>
      </c>
      <c r="Y1052" s="4" t="s">
        <v>13133</v>
      </c>
      <c r="Z1052" s="4" t="s">
        <v>13133</v>
      </c>
      <c r="AA1052" s="3">
        <v>101</v>
      </c>
      <c r="AB1052" s="3">
        <v>90</v>
      </c>
      <c r="AC1052" s="3">
        <v>90</v>
      </c>
      <c r="AD1052" s="3">
        <v>1</v>
      </c>
      <c r="AE1052" s="3">
        <v>1</v>
      </c>
      <c r="AF1052" s="3">
        <v>6</v>
      </c>
      <c r="AG1052" s="3">
        <v>6</v>
      </c>
      <c r="AH1052" s="3">
        <v>1</v>
      </c>
      <c r="AI1052" s="3">
        <v>1</v>
      </c>
      <c r="AJ1052" s="3">
        <v>2</v>
      </c>
      <c r="AK1052" s="3">
        <v>2</v>
      </c>
      <c r="AL1052" s="3">
        <v>6</v>
      </c>
      <c r="AM1052" s="3">
        <v>6</v>
      </c>
      <c r="AN1052" s="3">
        <v>0</v>
      </c>
      <c r="AO1052" s="3">
        <v>0</v>
      </c>
      <c r="AP1052" s="3">
        <v>0</v>
      </c>
      <c r="AQ1052" s="3">
        <v>0</v>
      </c>
      <c r="AR1052" s="2" t="s">
        <v>8</v>
      </c>
      <c r="AS1052" s="2" t="s">
        <v>8</v>
      </c>
      <c r="AU1052" s="5" t="str">
        <f>HYPERLINK("https://creighton-primo.hosted.exlibrisgroup.com/primo-explore/search?tab=default_tab&amp;search_scope=EVERYTHING&amp;vid=01CRU&amp;lang=en_US&amp;offset=0&amp;query=any,contains,991001083019702656","Catalog Record")</f>
        <v>Catalog Record</v>
      </c>
      <c r="AV1052" s="5" t="str">
        <f>HYPERLINK("http://www.worldcat.org/oclc/3369658","WorldCat Record")</f>
        <v>WorldCat Record</v>
      </c>
      <c r="AW1052" s="2" t="s">
        <v>13134</v>
      </c>
      <c r="AX1052" s="2" t="s">
        <v>13135</v>
      </c>
      <c r="AY1052" s="2" t="s">
        <v>13136</v>
      </c>
      <c r="AZ1052" s="2" t="s">
        <v>13136</v>
      </c>
      <c r="BA1052" s="2" t="s">
        <v>13137</v>
      </c>
      <c r="BB1052" s="2" t="s">
        <v>21</v>
      </c>
      <c r="BE1052" s="2" t="s">
        <v>13138</v>
      </c>
      <c r="BF1052" s="2" t="s">
        <v>13139</v>
      </c>
    </row>
    <row r="1053" spans="1:58" ht="42.75" customHeight="1" x14ac:dyDescent="0.25">
      <c r="A1053" s="8" t="s">
        <v>8</v>
      </c>
      <c r="B1053" s="1" t="s">
        <v>0</v>
      </c>
      <c r="C1053" s="1" t="s">
        <v>1</v>
      </c>
      <c r="D1053" s="1" t="s">
        <v>13140</v>
      </c>
      <c r="E1053" s="1" t="s">
        <v>13141</v>
      </c>
      <c r="F1053" s="1" t="s">
        <v>13142</v>
      </c>
      <c r="H1053" s="2" t="s">
        <v>8</v>
      </c>
      <c r="I1053" s="2" t="s">
        <v>7</v>
      </c>
      <c r="J1053" s="2" t="s">
        <v>8</v>
      </c>
      <c r="K1053" s="2" t="s">
        <v>8</v>
      </c>
      <c r="L1053" s="2" t="s">
        <v>9</v>
      </c>
      <c r="M1053" s="1" t="s">
        <v>13143</v>
      </c>
      <c r="N1053" s="1" t="s">
        <v>13144</v>
      </c>
      <c r="O1053" s="2" t="s">
        <v>874</v>
      </c>
      <c r="Q1053" s="2" t="s">
        <v>12</v>
      </c>
      <c r="R1053" s="2" t="s">
        <v>628</v>
      </c>
      <c r="S1053" s="1" t="s">
        <v>13145</v>
      </c>
      <c r="T1053" s="2" t="s">
        <v>14</v>
      </c>
      <c r="U1053" s="3">
        <v>1</v>
      </c>
      <c r="V1053" s="3">
        <v>1</v>
      </c>
      <c r="W1053" s="4" t="s">
        <v>9148</v>
      </c>
      <c r="X1053" s="4" t="s">
        <v>9148</v>
      </c>
      <c r="Y1053" s="4" t="s">
        <v>8507</v>
      </c>
      <c r="Z1053" s="4" t="s">
        <v>8507</v>
      </c>
      <c r="AA1053" s="3">
        <v>157</v>
      </c>
      <c r="AB1053" s="3">
        <v>139</v>
      </c>
      <c r="AC1053" s="3">
        <v>139</v>
      </c>
      <c r="AD1053" s="3">
        <v>2</v>
      </c>
      <c r="AE1053" s="3">
        <v>2</v>
      </c>
      <c r="AF1053" s="3">
        <v>7</v>
      </c>
      <c r="AG1053" s="3">
        <v>7</v>
      </c>
      <c r="AH1053" s="3">
        <v>1</v>
      </c>
      <c r="AI1053" s="3">
        <v>1</v>
      </c>
      <c r="AJ1053" s="3">
        <v>1</v>
      </c>
      <c r="AK1053" s="3">
        <v>1</v>
      </c>
      <c r="AL1053" s="3">
        <v>5</v>
      </c>
      <c r="AM1053" s="3">
        <v>5</v>
      </c>
      <c r="AN1053" s="3">
        <v>1</v>
      </c>
      <c r="AO1053" s="3">
        <v>1</v>
      </c>
      <c r="AP1053" s="3">
        <v>0</v>
      </c>
      <c r="AQ1053" s="3">
        <v>0</v>
      </c>
      <c r="AR1053" s="2" t="s">
        <v>8</v>
      </c>
      <c r="AS1053" s="2" t="s">
        <v>8</v>
      </c>
      <c r="AU1053" s="5" t="str">
        <f>HYPERLINK("https://creighton-primo.hosted.exlibrisgroup.com/primo-explore/search?tab=default_tab&amp;search_scope=EVERYTHING&amp;vid=01CRU&amp;lang=en_US&amp;offset=0&amp;query=any,contains,991000358869702656","Catalog Record")</f>
        <v>Catalog Record</v>
      </c>
      <c r="AV1053" s="5" t="str">
        <f>HYPERLINK("http://www.worldcat.org/oclc/36252897","WorldCat Record")</f>
        <v>WorldCat Record</v>
      </c>
      <c r="AW1053" s="2" t="s">
        <v>13146</v>
      </c>
      <c r="AX1053" s="2" t="s">
        <v>13147</v>
      </c>
      <c r="AY1053" s="2" t="s">
        <v>13148</v>
      </c>
      <c r="AZ1053" s="2" t="s">
        <v>13148</v>
      </c>
      <c r="BA1053" s="2" t="s">
        <v>13149</v>
      </c>
      <c r="BB1053" s="2" t="s">
        <v>21</v>
      </c>
      <c r="BD1053" s="2" t="s">
        <v>13150</v>
      </c>
      <c r="BE1053" s="2" t="s">
        <v>13151</v>
      </c>
      <c r="BF1053" s="2" t="s">
        <v>13152</v>
      </c>
    </row>
  </sheetData>
  <sheetProtection sheet="1" objects="1" scenarios="1"/>
  <protectedRanges>
    <protectedRange sqref="A1:A1053" name="Range1"/>
  </protectedRanges>
  <dataValidations count="1">
    <dataValidation type="list" allowBlank="1" showInputMessage="1" showErrorMessage="1" sqref="A2:A1053" xr:uid="{5BCAEF62-6065-460B-8993-55E2F59022D4}">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64AE29EC-612B-49B8-AF42-17C5FC128DF5}"/>
</file>

<file path=customXml/itemProps2.xml><?xml version="1.0" encoding="utf-8"?>
<ds:datastoreItem xmlns:ds="http://schemas.openxmlformats.org/officeDocument/2006/customXml" ds:itemID="{E36E8C1A-6844-44C0-AB5D-F6C60C9338C1}"/>
</file>

<file path=customXml/itemProps3.xml><?xml version="1.0" encoding="utf-8"?>
<ds:datastoreItem xmlns:ds="http://schemas.openxmlformats.org/officeDocument/2006/customXml" ds:itemID="{D7E21972-2049-4B18-A544-2ABCDEBA56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2022-03-03T17:51:27Z</dcterms:created>
  <dcterms:modified xsi:type="dcterms:W3CDTF">2022-03-03T17:54:15Z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291700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